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N:\FMS\Illustrative Financials\2025 Illustrated Financial Statements\Carolina County\Final Documents for website\"/>
    </mc:Choice>
  </mc:AlternateContent>
  <xr:revisionPtr revIDLastSave="0" documentId="13_ncr:1_{B91A6A02-E360-4A5F-9650-0F7F3124199E}" xr6:coauthVersionLast="47" xr6:coauthVersionMax="47" xr10:uidLastSave="{00000000-0000-0000-0000-000000000000}"/>
  <bookViews>
    <workbookView xWindow="22932" yWindow="-204" windowWidth="23256" windowHeight="12456" tabRatio="938" xr2:uid="{E15E7984-50E3-4C03-9BFF-C0D4B9D82DBD}"/>
  </bookViews>
  <sheets>
    <sheet name="GWNetPos 68 Exh 1" sheetId="1" r:id="rId1"/>
    <sheet name="GWStmtAct" sheetId="3" state="hidden" r:id="rId2"/>
    <sheet name="GWStmtAct 68 Exh 2" sheetId="4" r:id="rId3"/>
    <sheet name="Balance Sheet Exh 3" sheetId="5" r:id="rId4"/>
    <sheet name="Rev, exp, chgs in fb Exh 4" sheetId="6" r:id="rId5"/>
    <sheet name="Rec chg fund bal to chg Exh 5" sheetId="7" r:id="rId6"/>
    <sheet name="GF-BudAct Exh 6" sheetId="63" r:id="rId7"/>
    <sheet name="ARPA BudAct Exh 7" sheetId="67" r:id="rId8"/>
    <sheet name="Opioid-BudAct Exh 8" sheetId="66" r:id="rId9"/>
    <sheet name="Net Pos-Prop Exh 9" sheetId="9" r:id="rId10"/>
    <sheet name="Rev, exp-Prop Exh 10" sheetId="10" r:id="rId11"/>
    <sheet name="EFCF Exh 11" sheetId="11" r:id="rId12"/>
    <sheet name="Fiduciary SNP Exh12" sheetId="12" r:id="rId13"/>
    <sheet name="Fiduciary-ChgNetPos Exh 13" sheetId="13" r:id="rId14"/>
    <sheet name="RSI - LGERS 1" sheetId="14" r:id="rId15"/>
    <sheet name="RSI - LGERS 2" sheetId="15" r:id="rId16"/>
    <sheet name="RSI - LGERS 1TDA" sheetId="16" r:id="rId17"/>
    <sheet name="RSI - LGERS 2TDA" sheetId="17" r:id="rId18"/>
    <sheet name="RSI- ROD 1" sheetId="18" r:id="rId19"/>
    <sheet name="RSI - ROD 2" sheetId="19" r:id="rId20"/>
    <sheet name="RSI - LEO 1" sheetId="20" r:id="rId21"/>
    <sheet name="RSI - LEO 2" sheetId="21" r:id="rId22"/>
    <sheet name="RSI - OPEB 1" sheetId="22" r:id="rId23"/>
    <sheet name="RSI  - OPEB 2" sheetId="23" r:id="rId24"/>
    <sheet name="GFIS_BA" sheetId="25" r:id="rId25"/>
    <sheet name="TAX Rev-BA1" sheetId="26" r:id="rId26"/>
    <sheet name="SR-BA8 (ARP)" sheetId="60" r:id="rId27"/>
    <sheet name="SR-BA7 (Opioid) Annual" sheetId="59" r:id="rId28"/>
    <sheet name="SR-BA7 (Opioid)Multi Yr" sheetId="65" r:id="rId29"/>
    <sheet name="Comb BS-Nonmajor" sheetId="27" r:id="rId30"/>
    <sheet name="Com Rev, Exp-Nonmajor" sheetId="28" r:id="rId31"/>
    <sheet name="SR-BA2" sheetId="29" r:id="rId32"/>
    <sheet name="SR-BA3" sheetId="30" r:id="rId33"/>
    <sheet name="SR-BA4 (dss client funds)" sheetId="31" r:id="rId34"/>
    <sheet name="SR-BA5 (Deed of Trust)" sheetId="32" r:id="rId35"/>
    <sheet name="SR-BA6 (Fines &amp; Forfeiture)" sheetId="33" r:id="rId36"/>
    <sheet name="CP-BA1" sheetId="36" r:id="rId37"/>
    <sheet name="CP-BA2" sheetId="37" r:id="rId38"/>
    <sheet name="CRF Consol-BA1" sheetId="38" r:id="rId39"/>
    <sheet name=" EF-BA1 2pg" sheetId="39" r:id="rId40"/>
    <sheet name="EF-BA2" sheetId="40" r:id="rId41"/>
    <sheet name="EF-BA3 3pg" sheetId="41" r:id="rId42"/>
    <sheet name="EF-BA4" sheetId="42" r:id="rId43"/>
    <sheet name="EF-BA5 2pg" sheetId="43" r:id="rId44"/>
    <sheet name="EF-BA6" sheetId="44" r:id="rId45"/>
    <sheet name="Comb Fid Assets&amp;Liabilities" sheetId="45" state="hidden" r:id="rId46"/>
    <sheet name="Comb Fid Fund-ChgNetPos" sheetId="46" state="hidden" r:id="rId47"/>
    <sheet name="Comb Custodial SNP" sheetId="47" r:id="rId48"/>
    <sheet name="Comb Custodial ChgNetPos" sheetId="48" r:id="rId49"/>
    <sheet name="TDA Balance Sheet" sheetId="49" r:id="rId50"/>
    <sheet name="TDA Rev Exp ChgFB" sheetId="50" r:id="rId51"/>
    <sheet name="TDA BA" sheetId="51" r:id="rId52"/>
    <sheet name="AnalysisTxLevy" sheetId="53" r:id="rId53"/>
    <sheet name="TaxesRec" sheetId="52" r:id="rId54"/>
    <sheet name="SM Top10 TaxP" sheetId="55" r:id="rId55"/>
    <sheet name="SM Levy Analysis" sheetId="54" r:id="rId56"/>
    <sheet name="e911 Reconciliation2" sheetId="56" state="hidden" r:id="rId57"/>
    <sheet name="Major Fund Calculation " sheetId="57" r:id="rId58"/>
    <sheet name="MD&amp;A Calcs" sheetId="61" state="hidden" r:id="rId59"/>
    <sheet name="Sheet1" sheetId="58" state="hidden" r:id="rId60"/>
  </sheets>
  <definedNames>
    <definedName name="_Fill" localSheetId="6" hidden="1">#REF!</definedName>
    <definedName name="_Fill" localSheetId="8" hidden="1">#REF!</definedName>
    <definedName name="_Fill" localSheetId="28" hidden="1">#REF!</definedName>
    <definedName name="_Fill" hidden="1">#REF!</definedName>
    <definedName name="_xlnm.Print_Area" localSheetId="39">' EF-BA1 2pg'!$A$1:$J$85</definedName>
    <definedName name="_xlnm.Print_Area" localSheetId="52">AnalysisTxLevy!$A$1:$L$55</definedName>
    <definedName name="_xlnm.Print_Area" localSheetId="3">'Balance Sheet Exh 3'!$A$1:$J$87</definedName>
    <definedName name="_xlnm.Print_Area" localSheetId="30">'Com Rev, Exp-Nonmajor'!$A$1:$T$42</definedName>
    <definedName name="_xlnm.Print_Area" localSheetId="29">'Comb BS-Nonmajor'!$A$1:$T$45</definedName>
    <definedName name="_xlnm.Print_Area" localSheetId="47">'Comb Custodial SNP'!$A$1:$F$26</definedName>
    <definedName name="_xlnm.Print_Area" localSheetId="45">'Comb Fid Assets&amp;Liabilities'!$A$1:$I$28</definedName>
    <definedName name="_xlnm.Print_Area" localSheetId="46">'Comb Fid Fund-ChgNetPos'!$A$1:$J$34</definedName>
    <definedName name="_xlnm.Print_Area" localSheetId="56">'e911 Reconciliation2'!$A$1:$F$34</definedName>
    <definedName name="_xlnm.Print_Area" localSheetId="40">'EF-BA2'!$A$1:$M$23</definedName>
    <definedName name="_xlnm.Print_Area" localSheetId="11">'EFCF Exh 11'!$A$1:$K$63</definedName>
    <definedName name="_xlnm.Print_Area" localSheetId="12">'Fiduciary SNP Exh12'!$A$1:$G$30</definedName>
    <definedName name="_xlnm.Print_Area" localSheetId="13">'Fiduciary-ChgNetPos Exh 13'!$A$1:$J$36</definedName>
    <definedName name="_xlnm.Print_Area" localSheetId="6">'GF-BudAct Exh 6'!$A$1:$L$70</definedName>
    <definedName name="_xlnm.Print_Area" localSheetId="24">GFIS_BA!$A$1:$I$415</definedName>
    <definedName name="_xlnm.Print_Area" localSheetId="0">'GWNetPos 68 Exh 1'!$A$1:$L$64</definedName>
    <definedName name="_xlnm.Print_Area" localSheetId="2">'GWStmtAct 68 Exh 2'!$A$1:$T$53</definedName>
    <definedName name="_xlnm.Print_Area" localSheetId="57">'Major Fund Calculation '!$A$1:$O$47</definedName>
    <definedName name="_xlnm.Print_Area" localSheetId="9">'Net Pos-Prop Exh 9'!$A$1:$H$64</definedName>
    <definedName name="_xlnm.Print_Area" localSheetId="8">'Opioid-BudAct Exh 8'!$A$1:$L$37</definedName>
    <definedName name="_xlnm.Print_Area" localSheetId="5">'Rec chg fund bal to chg Exh 5'!$A$1:$H$35</definedName>
    <definedName name="_xlnm.Print_Area" localSheetId="4">'Rev, exp, chgs in fb Exh 4'!$A$1:$J$61</definedName>
    <definedName name="_xlnm.Print_Area" localSheetId="10">'Rev, exp-Prop Exh 10'!$A$1:$H$47</definedName>
    <definedName name="_xlnm.Print_Area" localSheetId="21">'RSI - LEO 2'!$A$1:$N$28</definedName>
    <definedName name="_xlnm.Print_Area" localSheetId="14">'RSI - LGERS 1'!$A$1:$U$25</definedName>
    <definedName name="_xlnm.Print_Area" localSheetId="16">'RSI - LGERS 1TDA'!$A$1:$U$25</definedName>
    <definedName name="_xlnm.Print_Area" localSheetId="15">'RSI - LGERS 2'!$A$1:$T$40</definedName>
    <definedName name="_xlnm.Print_Area" localSheetId="17">'RSI - LGERS 2TDA'!$A$2:$T$24</definedName>
    <definedName name="_xlnm.Print_Area" localSheetId="19">'RSI - ROD 2'!$A$2:$T$34</definedName>
    <definedName name="_xlnm.Print_Area" localSheetId="18">'RSI- ROD 1'!$A$1:$T$21</definedName>
    <definedName name="_xlnm.Print_Area" localSheetId="25">'TAX Rev-BA1'!$A$1:$K$41</definedName>
    <definedName name="_xlnm.Print_Area" localSheetId="51">'TDA BA'!$A$1:$K$42</definedName>
    <definedName name="_xlnm.Print_Area" localSheetId="50">'TDA Rev Exp ChgFB'!$A$1:$C$42</definedName>
    <definedName name="_xlnm.Print_Titles" localSheetId="39">' EF-BA1 2pg'!$1:$5</definedName>
    <definedName name="_xlnm.Print_Titles" localSheetId="41">'EF-BA3 3pg'!$1:$5</definedName>
    <definedName name="_xlnm.Print_Titles" localSheetId="43">'EF-BA5 2pg'!$1:$5</definedName>
    <definedName name="_xlnm.Print_Titles" localSheetId="11">'EFCF Exh 11'!$1:$6</definedName>
    <definedName name="_xlnm.Print_Titles" localSheetId="24">GFIS_BA!$1:$10</definedName>
    <definedName name="Z_A8748736_0722_49EB_85B6_C9B52DDCFE0E_.wvu.Cols" localSheetId="3" hidden="1">'Balance Sheet Exh 3'!$K:$K</definedName>
    <definedName name="Z_A8748736_0722_49EB_85B6_C9B52DDCFE0E_.wvu.Cols" localSheetId="11" hidden="1">'EFCF Exh 11'!$L:$L</definedName>
    <definedName name="Z_A8748736_0722_49EB_85B6_C9B52DDCFE0E_.wvu.Cols" localSheetId="24" hidden="1">GFIS_BA!$J:$K</definedName>
    <definedName name="Z_A8748736_0722_49EB_85B6_C9B52DDCFE0E_.wvu.Cols" localSheetId="9" hidden="1">'Net Pos-Prop Exh 9'!$J:$K</definedName>
    <definedName name="Z_A8748736_0722_49EB_85B6_C9B52DDCFE0E_.wvu.Cols" localSheetId="5" hidden="1">'Rec chg fund bal to chg Exh 5'!$G:$G</definedName>
    <definedName name="Z_A8748736_0722_49EB_85B6_C9B52DDCFE0E_.wvu.Cols" localSheetId="20" hidden="1">'RSI - LEO 1'!#REF!</definedName>
    <definedName name="Z_A8748736_0722_49EB_85B6_C9B52DDCFE0E_.wvu.Cols" localSheetId="49" hidden="1">'TDA Balance Sheet'!$E:$E</definedName>
    <definedName name="Z_A8748736_0722_49EB_85B6_C9B52DDCFE0E_.wvu.PrintArea" localSheetId="39" hidden="1">' EF-BA1 2pg'!$A$1:$J$85</definedName>
    <definedName name="Z_A8748736_0722_49EB_85B6_C9B52DDCFE0E_.wvu.PrintArea" localSheetId="52" hidden="1">AnalysisTxLevy!$A$1:$L$55</definedName>
    <definedName name="Z_A8748736_0722_49EB_85B6_C9B52DDCFE0E_.wvu.PrintArea" localSheetId="3" hidden="1">'Balance Sheet Exh 3'!$A$1:$J$84</definedName>
    <definedName name="Z_A8748736_0722_49EB_85B6_C9B52DDCFE0E_.wvu.PrintArea" localSheetId="30" hidden="1">'Com Rev, Exp-Nonmajor'!$A$1:$T$42</definedName>
    <definedName name="Z_A8748736_0722_49EB_85B6_C9B52DDCFE0E_.wvu.PrintArea" localSheetId="29" hidden="1">'Comb BS-Nonmajor'!$A$1:$T$45</definedName>
    <definedName name="Z_A8748736_0722_49EB_85B6_C9B52DDCFE0E_.wvu.PrintArea" localSheetId="47" hidden="1">'Comb Custodial SNP'!$A$1:$F$26</definedName>
    <definedName name="Z_A8748736_0722_49EB_85B6_C9B52DDCFE0E_.wvu.PrintArea" localSheetId="45" hidden="1">'Comb Fid Assets&amp;Liabilities'!$A$1:$I$28</definedName>
    <definedName name="Z_A8748736_0722_49EB_85B6_C9B52DDCFE0E_.wvu.PrintArea" localSheetId="46" hidden="1">'Comb Fid Fund-ChgNetPos'!$A$1:$J$34</definedName>
    <definedName name="Z_A8748736_0722_49EB_85B6_C9B52DDCFE0E_.wvu.PrintArea" localSheetId="56" hidden="1">'e911 Reconciliation2'!$A$1:$F$34</definedName>
    <definedName name="Z_A8748736_0722_49EB_85B6_C9B52DDCFE0E_.wvu.PrintArea" localSheetId="40" hidden="1">'EF-BA2'!$A$1:$M$23</definedName>
    <definedName name="Z_A8748736_0722_49EB_85B6_C9B52DDCFE0E_.wvu.PrintArea" localSheetId="11" hidden="1">'EFCF Exh 11'!$A$1:$K$63</definedName>
    <definedName name="Z_A8748736_0722_49EB_85B6_C9B52DDCFE0E_.wvu.PrintArea" localSheetId="12" hidden="1">'Fiduciary SNP Exh12'!$A$1:$G$30</definedName>
    <definedName name="Z_A8748736_0722_49EB_85B6_C9B52DDCFE0E_.wvu.PrintArea" localSheetId="13" hidden="1">'Fiduciary-ChgNetPos Exh 13'!$A$1:$J$36</definedName>
    <definedName name="Z_A8748736_0722_49EB_85B6_C9B52DDCFE0E_.wvu.PrintArea" localSheetId="24" hidden="1">GFIS_BA!$A$1:$I$415</definedName>
    <definedName name="Z_A8748736_0722_49EB_85B6_C9B52DDCFE0E_.wvu.PrintArea" localSheetId="0" hidden="1">'GWNetPos 68 Exh 1'!$A$1:$L$60</definedName>
    <definedName name="Z_A8748736_0722_49EB_85B6_C9B52DDCFE0E_.wvu.PrintArea" localSheetId="2" hidden="1">'GWStmtAct 68 Exh 2'!$A$1:$T$53</definedName>
    <definedName name="Z_A8748736_0722_49EB_85B6_C9B52DDCFE0E_.wvu.PrintArea" localSheetId="57" hidden="1">'Major Fund Calculation '!$A$1:$O$47</definedName>
    <definedName name="Z_A8748736_0722_49EB_85B6_C9B52DDCFE0E_.wvu.PrintArea" localSheetId="9" hidden="1">'Net Pos-Prop Exh 9'!$A$1:$H$64</definedName>
    <definedName name="Z_A8748736_0722_49EB_85B6_C9B52DDCFE0E_.wvu.PrintArea" localSheetId="5" hidden="1">'Rec chg fund bal to chg Exh 5'!$A$1:$F$34</definedName>
    <definedName name="Z_A8748736_0722_49EB_85B6_C9B52DDCFE0E_.wvu.PrintArea" localSheetId="4" hidden="1">'Rev, exp, chgs in fb Exh 4'!$A$1:$J$61</definedName>
    <definedName name="Z_A8748736_0722_49EB_85B6_C9B52DDCFE0E_.wvu.PrintArea" localSheetId="10" hidden="1">'Rev, exp-Prop Exh 10'!$A$1:$H$47</definedName>
    <definedName name="Z_A8748736_0722_49EB_85B6_C9B52DDCFE0E_.wvu.PrintArea" localSheetId="23" hidden="1">'RSI  - OPEB 2'!$A$1:$K$33</definedName>
    <definedName name="Z_A8748736_0722_49EB_85B6_C9B52DDCFE0E_.wvu.PrintArea" localSheetId="14" hidden="1">'RSI - LGERS 1'!$A$1:$P$24</definedName>
    <definedName name="Z_A8748736_0722_49EB_85B6_C9B52DDCFE0E_.wvu.PrintArea" localSheetId="16" hidden="1">'RSI - LGERS 1TDA'!$A$1:$P$24</definedName>
    <definedName name="Z_A8748736_0722_49EB_85B6_C9B52DDCFE0E_.wvu.PrintArea" localSheetId="15" hidden="1">'RSI - LGERS 2'!$A$2:$P$37</definedName>
    <definedName name="Z_A8748736_0722_49EB_85B6_C9B52DDCFE0E_.wvu.PrintArea" localSheetId="17" hidden="1">'RSI - LGERS 2TDA'!$A$2:$P$24</definedName>
    <definedName name="Z_A8748736_0722_49EB_85B6_C9B52DDCFE0E_.wvu.PrintArea" localSheetId="19" hidden="1">'RSI - ROD 2'!$A$2:$P$32</definedName>
    <definedName name="Z_A8748736_0722_49EB_85B6_C9B52DDCFE0E_.wvu.PrintArea" localSheetId="18" hidden="1">'RSI- ROD 1'!$A$1:$P$21</definedName>
    <definedName name="Z_A8748736_0722_49EB_85B6_C9B52DDCFE0E_.wvu.PrintArea" localSheetId="25" hidden="1">'TAX Rev-BA1'!$A$1:$K$41</definedName>
    <definedName name="Z_A8748736_0722_49EB_85B6_C9B52DDCFE0E_.wvu.PrintArea" localSheetId="51" hidden="1">'TDA BA'!$A$1:$K$38</definedName>
    <definedName name="Z_A8748736_0722_49EB_85B6_C9B52DDCFE0E_.wvu.PrintTitles" localSheetId="39" hidden="1">' EF-BA1 2pg'!$1:$5</definedName>
    <definedName name="Z_A8748736_0722_49EB_85B6_C9B52DDCFE0E_.wvu.PrintTitles" localSheetId="41" hidden="1">'EF-BA3 3pg'!$1:$5</definedName>
    <definedName name="Z_A8748736_0722_49EB_85B6_C9B52DDCFE0E_.wvu.PrintTitles" localSheetId="43" hidden="1">'EF-BA5 2pg'!$1:$5</definedName>
    <definedName name="Z_A8748736_0722_49EB_85B6_C9B52DDCFE0E_.wvu.PrintTitles" localSheetId="11" hidden="1">'EFCF Exh 11'!$1:$6</definedName>
    <definedName name="Z_A8748736_0722_49EB_85B6_C9B52DDCFE0E_.wvu.PrintTitles" localSheetId="24" hidden="1">GFIS_BA!$1:$7</definedName>
    <definedName name="Z_A8748736_0722_49EB_85B6_C9B52DDCFE0E_.wvu.Rows" localSheetId="41" hidden="1">'EF-BA3 3pg'!$136:$136</definedName>
    <definedName name="Z_A8748736_0722_49EB_85B6_C9B52DDCFE0E_.wvu.Rows" localSheetId="24" hidden="1">GFIS_BA!$406:$407</definedName>
    <definedName name="Z_A8748736_0722_49EB_85B6_C9B52DDCFE0E_.wvu.Rows" localSheetId="4" hidden="1">'Rev, exp, chgs in fb Exh 4'!$54:$55</definedName>
    <definedName name="Z_A8748736_0722_49EB_85B6_C9B52DDCFE0E_.wvu.Rows" localSheetId="10" hidden="1">'Rev, exp-Prop Exh 10'!$41:$41</definedName>
    <definedName name="Z_A8748736_0722_49EB_85B6_C9B52DDCFE0E_.wvu.Rows" localSheetId="23" hidden="1">'RSI  - OPEB 2'!$15:$15</definedName>
    <definedName name="Z_AB48C5D7_99F4_4378_A0F9_05018B348977_.wvu.PrintTitles" localSheetId="6" hidden="1">'GF-BudAct Exh 6'!$1:$6</definedName>
    <definedName name="Z_AB48C5D7_99F4_4378_A0F9_05018B348977_.wvu.PrintTitles" localSheetId="8" hidden="1">'Opioid-BudAct Exh 8'!$1:$6</definedName>
    <definedName name="Z_E0C60316_4586_4AAF_92CB_FA82BB1EB755_.wvu.PrintArea" localSheetId="39" hidden="1">' EF-BA1 2pg'!$A$1:$J$85</definedName>
    <definedName name="Z_E0C60316_4586_4AAF_92CB_FA82BB1EB755_.wvu.PrintArea" localSheetId="52" hidden="1">AnalysisTxLevy!$A$1:$L$55</definedName>
    <definedName name="Z_E0C60316_4586_4AAF_92CB_FA82BB1EB755_.wvu.PrintArea" localSheetId="3" hidden="1">'Balance Sheet Exh 3'!$A$1:$J$84</definedName>
    <definedName name="Z_E0C60316_4586_4AAF_92CB_FA82BB1EB755_.wvu.PrintArea" localSheetId="29" hidden="1">'Comb BS-Nonmajor'!$A$1:$T$49</definedName>
    <definedName name="Z_E0C60316_4586_4AAF_92CB_FA82BB1EB755_.wvu.PrintArea" localSheetId="45" hidden="1">'Comb Fid Assets&amp;Liabilities'!$A$1:$I$28</definedName>
    <definedName name="Z_E0C60316_4586_4AAF_92CB_FA82BB1EB755_.wvu.PrintArea" localSheetId="46" hidden="1">'Comb Fid Fund-ChgNetPos'!$A$1:$J$34</definedName>
    <definedName name="Z_E0C60316_4586_4AAF_92CB_FA82BB1EB755_.wvu.PrintArea" localSheetId="56" hidden="1">'e911 Reconciliation2'!$A$1:$F$34</definedName>
    <definedName name="Z_E0C60316_4586_4AAF_92CB_FA82BB1EB755_.wvu.PrintArea" localSheetId="40" hidden="1">'EF-BA2'!$A$1:$M$23</definedName>
    <definedName name="Z_E0C60316_4586_4AAF_92CB_FA82BB1EB755_.wvu.PrintArea" localSheetId="11" hidden="1">'EFCF Exh 11'!$A$1:$K$63</definedName>
    <definedName name="Z_E0C60316_4586_4AAF_92CB_FA82BB1EB755_.wvu.PrintArea" localSheetId="12" hidden="1">'Fiduciary SNP Exh12'!$A$1:$G$34</definedName>
    <definedName name="Z_E0C60316_4586_4AAF_92CB_FA82BB1EB755_.wvu.PrintArea" localSheetId="13" hidden="1">'Fiduciary-ChgNetPos Exh 13'!$A$1:$H$37</definedName>
    <definedName name="Z_E0C60316_4586_4AAF_92CB_FA82BB1EB755_.wvu.PrintArea" localSheetId="24" hidden="1">GFIS_BA!$A$1:$I$415</definedName>
    <definedName name="Z_E0C60316_4586_4AAF_92CB_FA82BB1EB755_.wvu.PrintArea" localSheetId="0" hidden="1">'GWNetPos 68 Exh 1'!$A$1:$J$62</definedName>
    <definedName name="Z_E0C60316_4586_4AAF_92CB_FA82BB1EB755_.wvu.PrintArea" localSheetId="2" hidden="1">'GWStmtAct 68 Exh 2'!$A$1:$T$53</definedName>
    <definedName name="Z_E0C60316_4586_4AAF_92CB_FA82BB1EB755_.wvu.PrintArea" localSheetId="57" hidden="1">'Major Fund Calculation '!$A$1:$O$47</definedName>
    <definedName name="Z_E0C60316_4586_4AAF_92CB_FA82BB1EB755_.wvu.PrintArea" localSheetId="9" hidden="1">'Net Pos-Prop Exh 9'!$A$1:$H$64</definedName>
    <definedName name="Z_E0C60316_4586_4AAF_92CB_FA82BB1EB755_.wvu.PrintArea" localSheetId="5" hidden="1">'Rec chg fund bal to chg Exh 5'!$A$1:$F$34</definedName>
    <definedName name="Z_E0C60316_4586_4AAF_92CB_FA82BB1EB755_.wvu.PrintArea" localSheetId="4" hidden="1">'Rev, exp, chgs in fb Exh 4'!$A$1:$J$61</definedName>
    <definedName name="Z_E0C60316_4586_4AAF_92CB_FA82BB1EB755_.wvu.PrintArea" localSheetId="10" hidden="1">'Rev, exp-Prop Exh 10'!$A$1:$H$47</definedName>
    <definedName name="Z_E0C60316_4586_4AAF_92CB_FA82BB1EB755_.wvu.PrintArea" localSheetId="23" hidden="1">'RSI  - OPEB 2'!$A$1:$J$34</definedName>
    <definedName name="Z_E0C60316_4586_4AAF_92CB_FA82BB1EB755_.wvu.PrintArea" localSheetId="14" hidden="1">'RSI - LGERS 1'!$A$2:$O$30</definedName>
    <definedName name="Z_E0C60316_4586_4AAF_92CB_FA82BB1EB755_.wvu.PrintArea" localSheetId="16" hidden="1">'RSI - LGERS 1TDA'!$A$2:$O$29</definedName>
    <definedName name="Z_E0C60316_4586_4AAF_92CB_FA82BB1EB755_.wvu.PrintArea" localSheetId="19" hidden="1">'RSI - ROD 2'!$A$2:$O$40</definedName>
    <definedName name="Z_E0C60316_4586_4AAF_92CB_FA82BB1EB755_.wvu.PrintArea" localSheetId="18" hidden="1">'RSI- ROD 1'!$A$1:$P$26</definedName>
    <definedName name="Z_E0C60316_4586_4AAF_92CB_FA82BB1EB755_.wvu.PrintArea" localSheetId="25" hidden="1">'TAX Rev-BA1'!$A$1:$K$41</definedName>
    <definedName name="Z_E0C60316_4586_4AAF_92CB_FA82BB1EB755_.wvu.PrintArea" localSheetId="51" hidden="1">'TDA BA'!$A$1:$K$38</definedName>
    <definedName name="Z_E0C60316_4586_4AAF_92CB_FA82BB1EB755_.wvu.PrintTitles" localSheetId="39" hidden="1">' EF-BA1 2pg'!$1:$5</definedName>
    <definedName name="Z_E0C60316_4586_4AAF_92CB_FA82BB1EB755_.wvu.PrintTitles" localSheetId="41" hidden="1">'EF-BA3 3pg'!$1:$5</definedName>
    <definedName name="Z_E0C60316_4586_4AAF_92CB_FA82BB1EB755_.wvu.PrintTitles" localSheetId="43" hidden="1">'EF-BA5 2pg'!$1:$5</definedName>
    <definedName name="Z_E0C60316_4586_4AAF_92CB_FA82BB1EB755_.wvu.PrintTitles" localSheetId="11" hidden="1">'EFCF Exh 11'!$1:$6</definedName>
    <definedName name="Z_E0C60316_4586_4AAF_92CB_FA82BB1EB755_.wvu.PrintTitles" localSheetId="24" hidden="1">GFIS_BA!$1:$7</definedName>
  </definedNames>
  <calcPr calcId="191028"/>
  <customWorkbookViews>
    <customWorkbookView name="Ryan Chapman - Personal View" guid="{E0C60316-4586-4AAF-92CB-FA82BB1EB755}" mergeInterval="0" personalView="1" maximized="1" xWindow="-8" yWindow="-8" windowWidth="1936" windowHeight="1176" tabRatio="817" activeSheetId="1"/>
    <customWorkbookView name="Eric Faust - Personal View" guid="{A8748736-0722-49EB-85B6-C9B52DDCFE0E}" mergeInterval="0" personalView="1" maximized="1" xWindow="-8" yWindow="-8" windowWidth="1936" windowHeight="1056" activeSheetId="5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52" l="1"/>
  <c r="A4" i="12"/>
  <c r="A4" i="11"/>
  <c r="J24" i="67"/>
  <c r="H24" i="67"/>
  <c r="L23" i="67"/>
  <c r="L24" i="67" s="1"/>
  <c r="F23" i="67"/>
  <c r="F24" i="67" s="1"/>
  <c r="L20" i="67"/>
  <c r="J20" i="67"/>
  <c r="J26" i="67" s="1"/>
  <c r="J29" i="67" s="1"/>
  <c r="H20" i="67"/>
  <c r="H26" i="67" s="1"/>
  <c r="L19" i="67"/>
  <c r="F19" i="67"/>
  <c r="N19" i="67" s="1"/>
  <c r="N20" i="67" s="1"/>
  <c r="J15" i="67"/>
  <c r="H15" i="67"/>
  <c r="F15" i="67"/>
  <c r="L14" i="67"/>
  <c r="L15" i="67" s="1"/>
  <c r="E5" i="67"/>
  <c r="H12" i="5"/>
  <c r="H51" i="5"/>
  <c r="J50" i="5"/>
  <c r="K49" i="6"/>
  <c r="K47" i="6"/>
  <c r="F20" i="67" l="1"/>
  <c r="F26" i="67"/>
  <c r="L26" i="67"/>
  <c r="N14" i="67"/>
  <c r="N15" i="67" s="1"/>
  <c r="N23" i="67"/>
  <c r="N24" i="67" s="1"/>
  <c r="E16" i="7"/>
  <c r="E18" i="7"/>
  <c r="N26" i="67" l="1"/>
  <c r="K23" i="7"/>
  <c r="N23" i="7" s="1"/>
  <c r="I12" i="7"/>
  <c r="M14" i="7" s="1"/>
  <c r="E19" i="7"/>
  <c r="E17" i="7"/>
  <c r="F11" i="7"/>
  <c r="N76" i="5"/>
  <c r="N71" i="5"/>
  <c r="N70" i="5"/>
  <c r="N75" i="5"/>
  <c r="J66" i="5" l="1"/>
  <c r="D16" i="10" l="1"/>
  <c r="B25" i="10"/>
  <c r="F44" i="10"/>
  <c r="F43" i="10"/>
  <c r="D43" i="10"/>
  <c r="B43" i="10"/>
  <c r="H42" i="10"/>
  <c r="B16" i="4" l="1"/>
  <c r="N12" i="23"/>
  <c r="N22" i="22"/>
  <c r="N24" i="22" s="1"/>
  <c r="N26" i="22" s="1"/>
  <c r="N15" i="22"/>
  <c r="N11" i="21"/>
  <c r="F8" i="20"/>
  <c r="N16" i="20"/>
  <c r="L8" i="20" s="1"/>
  <c r="T11" i="19"/>
  <c r="T15" i="17"/>
  <c r="T13" i="16"/>
  <c r="R13" i="16"/>
  <c r="P13" i="16"/>
  <c r="N13" i="16"/>
  <c r="L13" i="16"/>
  <c r="J13" i="16"/>
  <c r="H13" i="16"/>
  <c r="F13" i="16"/>
  <c r="D13" i="16"/>
  <c r="B13" i="16"/>
  <c r="R10" i="14"/>
  <c r="R11" i="14" s="1"/>
  <c r="P10" i="14"/>
  <c r="N10" i="14"/>
  <c r="L10" i="14"/>
  <c r="L11" i="14" s="1"/>
  <c r="J10" i="14"/>
  <c r="H10" i="14"/>
  <c r="F10" i="14"/>
  <c r="D10" i="14"/>
  <c r="B10" i="14"/>
  <c r="T12" i="16"/>
  <c r="L14" i="15"/>
  <c r="T14" i="15"/>
  <c r="T11" i="14"/>
  <c r="K27" i="57"/>
  <c r="K26" i="57"/>
  <c r="K19" i="57"/>
  <c r="K18" i="57"/>
  <c r="K17" i="57"/>
  <c r="K16" i="57"/>
  <c r="H27" i="57"/>
  <c r="H26" i="57"/>
  <c r="H19" i="57"/>
  <c r="H18" i="57"/>
  <c r="H17" i="57"/>
  <c r="H16" i="57"/>
  <c r="E27" i="57"/>
  <c r="E26" i="57"/>
  <c r="E19" i="57"/>
  <c r="E18" i="57"/>
  <c r="E17" i="57"/>
  <c r="E16" i="57"/>
  <c r="E15" i="57"/>
  <c r="B27" i="57"/>
  <c r="B26" i="57"/>
  <c r="B23" i="57"/>
  <c r="B22" i="57"/>
  <c r="B19" i="57"/>
  <c r="B18" i="57"/>
  <c r="B17" i="57"/>
  <c r="B16" i="57"/>
  <c r="B15" i="57"/>
  <c r="H50" i="5"/>
  <c r="H48" i="5"/>
  <c r="H47" i="5"/>
  <c r="H42" i="5"/>
  <c r="H39" i="5"/>
  <c r="H38" i="5"/>
  <c r="H37" i="5"/>
  <c r="H35" i="5"/>
  <c r="H28" i="5"/>
  <c r="H23" i="5"/>
  <c r="H22" i="5"/>
  <c r="H20" i="5"/>
  <c r="H14" i="5"/>
  <c r="H11" i="5"/>
  <c r="H10" i="5"/>
  <c r="F26" i="5"/>
  <c r="E23" i="57" s="1"/>
  <c r="F17" i="5"/>
  <c r="H48" i="6"/>
  <c r="H43" i="6"/>
  <c r="P39" i="28"/>
  <c r="P30" i="28"/>
  <c r="P15" i="28"/>
  <c r="H33" i="6"/>
  <c r="H30" i="6"/>
  <c r="J30" i="6"/>
  <c r="H28" i="6"/>
  <c r="H24" i="6"/>
  <c r="H19" i="6"/>
  <c r="H15" i="6"/>
  <c r="H11" i="6"/>
  <c r="H10" i="6"/>
  <c r="F17" i="6"/>
  <c r="D56" i="6"/>
  <c r="D44" i="6"/>
  <c r="D24" i="6"/>
  <c r="B57" i="6"/>
  <c r="B50" i="6"/>
  <c r="B49" i="6"/>
  <c r="B47" i="6"/>
  <c r="B46" i="6"/>
  <c r="B45" i="6"/>
  <c r="B44" i="6"/>
  <c r="B43" i="6"/>
  <c r="B38" i="6"/>
  <c r="B37" i="6"/>
  <c r="B36" i="6"/>
  <c r="B35" i="6"/>
  <c r="B32" i="6"/>
  <c r="B29" i="6"/>
  <c r="B28" i="6"/>
  <c r="B27" i="6"/>
  <c r="B26" i="6"/>
  <c r="B25" i="6"/>
  <c r="B24" i="6"/>
  <c r="B19" i="6"/>
  <c r="B18" i="6"/>
  <c r="B16" i="6"/>
  <c r="B15" i="6"/>
  <c r="B14" i="6"/>
  <c r="B13" i="6"/>
  <c r="B12" i="6"/>
  <c r="B11" i="6"/>
  <c r="B10" i="6"/>
  <c r="I60" i="63"/>
  <c r="I59" i="63"/>
  <c r="I47" i="63"/>
  <c r="I46" i="63"/>
  <c r="I45" i="63"/>
  <c r="I44" i="63"/>
  <c r="I43" i="63"/>
  <c r="I42" i="63"/>
  <c r="I41" i="63"/>
  <c r="I35" i="63"/>
  <c r="I34" i="63"/>
  <c r="I33" i="63"/>
  <c r="I32" i="63"/>
  <c r="I30" i="63"/>
  <c r="I28" i="63"/>
  <c r="I27" i="63"/>
  <c r="I26" i="63"/>
  <c r="I25" i="63"/>
  <c r="I24" i="63"/>
  <c r="I23" i="63"/>
  <c r="I18" i="63"/>
  <c r="I17" i="63"/>
  <c r="I16" i="63"/>
  <c r="I15" i="63"/>
  <c r="I14" i="63"/>
  <c r="I13" i="63"/>
  <c r="I12" i="63"/>
  <c r="I11" i="63"/>
  <c r="I10" i="63"/>
  <c r="I66" i="63"/>
  <c r="I65" i="63"/>
  <c r="I64" i="63"/>
  <c r="I63" i="63"/>
  <c r="I27" i="66"/>
  <c r="F56" i="6" s="1"/>
  <c r="I15" i="66"/>
  <c r="I16" i="66" s="1"/>
  <c r="I10" i="66"/>
  <c r="K10" i="66" s="1"/>
  <c r="B4" i="66"/>
  <c r="G16" i="66"/>
  <c r="G12" i="66"/>
  <c r="E16" i="66"/>
  <c r="E12" i="66"/>
  <c r="K11" i="66"/>
  <c r="H25" i="60"/>
  <c r="I25" i="26"/>
  <c r="G25" i="26"/>
  <c r="E25" i="26"/>
  <c r="G119" i="41"/>
  <c r="E119" i="41"/>
  <c r="R24" i="28"/>
  <c r="R14" i="28"/>
  <c r="P32" i="28"/>
  <c r="P31" i="28"/>
  <c r="P11" i="28"/>
  <c r="N30" i="28"/>
  <c r="N22" i="28"/>
  <c r="N15" i="28"/>
  <c r="N16" i="28"/>
  <c r="J39" i="28"/>
  <c r="H39" i="28"/>
  <c r="F39" i="28"/>
  <c r="D39" i="28"/>
  <c r="L37" i="28"/>
  <c r="J24" i="28"/>
  <c r="L24" i="28" s="1"/>
  <c r="J13" i="28"/>
  <c r="H21" i="28"/>
  <c r="H13" i="28"/>
  <c r="F23" i="28"/>
  <c r="F15" i="28"/>
  <c r="F12" i="28"/>
  <c r="D22" i="28"/>
  <c r="D15" i="28"/>
  <c r="D10" i="28"/>
  <c r="B31" i="28"/>
  <c r="B12" i="28"/>
  <c r="H15" i="59"/>
  <c r="F15" i="59"/>
  <c r="J15" i="65"/>
  <c r="H15" i="65"/>
  <c r="F15" i="65"/>
  <c r="J15" i="60"/>
  <c r="H15" i="60"/>
  <c r="F15" i="60"/>
  <c r="G69" i="39"/>
  <c r="I43" i="42"/>
  <c r="G43" i="42"/>
  <c r="K39" i="42"/>
  <c r="M39" i="42" s="1"/>
  <c r="E20" i="66" l="1"/>
  <c r="F28" i="6"/>
  <c r="K15" i="66"/>
  <c r="K16" i="66" s="1"/>
  <c r="N17" i="22"/>
  <c r="L16" i="22" s="1"/>
  <c r="I12" i="66"/>
  <c r="I20" i="66" s="1"/>
  <c r="I28" i="66" s="1"/>
  <c r="G20" i="66"/>
  <c r="E18" i="66"/>
  <c r="G18" i="66"/>
  <c r="K12" i="66"/>
  <c r="T24" i="28"/>
  <c r="A3" i="55"/>
  <c r="A4" i="54"/>
  <c r="A4" i="53"/>
  <c r="A4" i="52"/>
  <c r="A5" i="50"/>
  <c r="A5" i="49"/>
  <c r="A4" i="44"/>
  <c r="A5" i="43"/>
  <c r="D4" i="42"/>
  <c r="A5" i="41"/>
  <c r="A4" i="40"/>
  <c r="A5" i="39"/>
  <c r="A5" i="38"/>
  <c r="A5" i="37"/>
  <c r="E5" i="36"/>
  <c r="E5" i="60"/>
  <c r="E5" i="59"/>
  <c r="A5" i="33"/>
  <c r="A5" i="32"/>
  <c r="A5" i="31"/>
  <c r="A5" i="30"/>
  <c r="A5" i="29"/>
  <c r="A5" i="26"/>
  <c r="A5" i="25"/>
  <c r="D4" i="63"/>
  <c r="A4" i="5"/>
  <c r="A4" i="7"/>
  <c r="N28" i="22" l="1"/>
  <c r="N30" i="22"/>
  <c r="I18" i="66"/>
  <c r="K20" i="66"/>
  <c r="K18" i="66"/>
  <c r="J32" i="65"/>
  <c r="H32" i="65"/>
  <c r="H34" i="65" s="1"/>
  <c r="F32" i="65"/>
  <c r="L31" i="65"/>
  <c r="N31" i="65" s="1"/>
  <c r="L30" i="65"/>
  <c r="N30" i="65" s="1"/>
  <c r="L29" i="65"/>
  <c r="N29" i="65" s="1"/>
  <c r="M28" i="65"/>
  <c r="I28" i="65"/>
  <c r="L28" i="65" s="1"/>
  <c r="N28" i="65" s="1"/>
  <c r="L27" i="65"/>
  <c r="N27" i="65" s="1"/>
  <c r="L26" i="65"/>
  <c r="N26" i="65" s="1"/>
  <c r="L25" i="65"/>
  <c r="N25" i="65" s="1"/>
  <c r="L24" i="65"/>
  <c r="N24" i="65" s="1"/>
  <c r="M23" i="65"/>
  <c r="I23" i="65"/>
  <c r="L22" i="65"/>
  <c r="N22" i="65" s="1"/>
  <c r="L21" i="65"/>
  <c r="N21" i="65" s="1"/>
  <c r="L20" i="65"/>
  <c r="N20" i="65" s="1"/>
  <c r="F34" i="65"/>
  <c r="L14" i="65"/>
  <c r="J31" i="59"/>
  <c r="J21" i="59"/>
  <c r="J22" i="59"/>
  <c r="J23" i="59"/>
  <c r="J24" i="59"/>
  <c r="J25" i="59"/>
  <c r="J26" i="59"/>
  <c r="J27" i="59"/>
  <c r="J28" i="59"/>
  <c r="J29" i="59"/>
  <c r="J30" i="59"/>
  <c r="J20" i="59"/>
  <c r="L23" i="1"/>
  <c r="J23" i="1"/>
  <c r="N14" i="65" l="1"/>
  <c r="N15" i="65" s="1"/>
  <c r="L15" i="65"/>
  <c r="J34" i="65"/>
  <c r="J37" i="65" s="1"/>
  <c r="L23" i="65"/>
  <c r="N23" i="65" s="1"/>
  <c r="N32" i="65" s="1"/>
  <c r="E365" i="25"/>
  <c r="E353" i="25"/>
  <c r="E236" i="25"/>
  <c r="E195" i="25"/>
  <c r="E185" i="25"/>
  <c r="G28" i="63"/>
  <c r="G27" i="63"/>
  <c r="G26" i="63"/>
  <c r="G25" i="63"/>
  <c r="G24" i="63"/>
  <c r="G42" i="63"/>
  <c r="N34" i="65" l="1"/>
  <c r="L32" i="65"/>
  <c r="L34" i="65" s="1"/>
  <c r="G41" i="63"/>
  <c r="E393" i="25"/>
  <c r="E401" i="25" s="1"/>
  <c r="K43" i="63" l="1"/>
  <c r="K50" i="63"/>
  <c r="K34" i="63"/>
  <c r="K30" i="63"/>
  <c r="K28" i="63"/>
  <c r="K47" i="63"/>
  <c r="G48" i="63"/>
  <c r="G33" i="63"/>
  <c r="E33" i="63"/>
  <c r="G32" i="63"/>
  <c r="E32" i="63"/>
  <c r="E27" i="63"/>
  <c r="G23" i="63"/>
  <c r="E23" i="63"/>
  <c r="G18" i="63"/>
  <c r="G17" i="63"/>
  <c r="G16" i="63"/>
  <c r="G15" i="63"/>
  <c r="E15" i="63"/>
  <c r="G14" i="63"/>
  <c r="G12" i="63"/>
  <c r="E12" i="63"/>
  <c r="G11" i="63"/>
  <c r="E11" i="63"/>
  <c r="G10" i="63"/>
  <c r="I55" i="63"/>
  <c r="E48" i="63"/>
  <c r="K46" i="63"/>
  <c r="K45" i="63"/>
  <c r="K44" i="63"/>
  <c r="K35" i="63"/>
  <c r="I48" i="63" l="1"/>
  <c r="K27" i="63"/>
  <c r="K26" i="63"/>
  <c r="K23" i="63"/>
  <c r="K10" i="63"/>
  <c r="K41" i="63"/>
  <c r="K24" i="63"/>
  <c r="K18" i="63"/>
  <c r="K17" i="63"/>
  <c r="K11" i="63"/>
  <c r="K16" i="63"/>
  <c r="E36" i="63"/>
  <c r="K32" i="63"/>
  <c r="K15" i="63"/>
  <c r="I19" i="63"/>
  <c r="K14" i="63"/>
  <c r="K42" i="63"/>
  <c r="G36" i="63"/>
  <c r="K13" i="63"/>
  <c r="E19" i="63"/>
  <c r="G19" i="63"/>
  <c r="K33" i="63"/>
  <c r="K25" i="63"/>
  <c r="I36" i="63"/>
  <c r="K12" i="63"/>
  <c r="K48" i="63" l="1"/>
  <c r="K19" i="63"/>
  <c r="K36" i="63"/>
  <c r="E38" i="63"/>
  <c r="I38" i="63"/>
  <c r="I52" i="63" s="1"/>
  <c r="I61" i="63" s="1"/>
  <c r="I67" i="63" s="1"/>
  <c r="G38" i="63"/>
  <c r="E52" i="63" l="1"/>
  <c r="G52" i="63"/>
  <c r="K52" i="63"/>
  <c r="K38" i="63"/>
  <c r="G92" i="25"/>
  <c r="G94" i="25"/>
  <c r="G98" i="25" l="1"/>
  <c r="E127" i="25"/>
  <c r="G406" i="25"/>
  <c r="G408" i="25" s="1"/>
  <c r="F27" i="7"/>
  <c r="F51" i="6" l="1"/>
  <c r="F39" i="6"/>
  <c r="F20" i="6"/>
  <c r="F51" i="5"/>
  <c r="F52" i="5" s="1"/>
  <c r="F16" i="1"/>
  <c r="J13" i="5"/>
  <c r="E10" i="12"/>
  <c r="E11" i="12"/>
  <c r="X11" i="4"/>
  <c r="F40" i="6" l="1"/>
  <c r="F53" i="6" s="1"/>
  <c r="F58" i="6" s="1"/>
  <c r="B35" i="1"/>
  <c r="F32" i="1"/>
  <c r="F33" i="1"/>
  <c r="F34" i="1"/>
  <c r="B10" i="5" l="1"/>
  <c r="B54" i="6"/>
  <c r="F19" i="60"/>
  <c r="F24" i="60"/>
  <c r="D15" i="4"/>
  <c r="B50" i="1"/>
  <c r="F50" i="1" s="1"/>
  <c r="R26" i="27"/>
  <c r="P26" i="27"/>
  <c r="N26" i="27"/>
  <c r="J17" i="6"/>
  <c r="L24" i="27"/>
  <c r="T24" i="27" s="1"/>
  <c r="D26" i="27"/>
  <c r="F26" i="27"/>
  <c r="H26" i="27"/>
  <c r="J26" i="27"/>
  <c r="B26" i="27"/>
  <c r="H38" i="59"/>
  <c r="P14" i="27"/>
  <c r="B11" i="5"/>
  <c r="G29" i="41" l="1"/>
  <c r="J14" i="59"/>
  <c r="J15" i="59" s="1"/>
  <c r="E376" i="25"/>
  <c r="E375" i="25"/>
  <c r="G376" i="25"/>
  <c r="G375" i="25"/>
  <c r="H14" i="9" l="1"/>
  <c r="L12" i="23" l="1"/>
  <c r="L25" i="22"/>
  <c r="L22" i="22"/>
  <c r="L24" i="22" s="1"/>
  <c r="L15" i="22"/>
  <c r="J7" i="22"/>
  <c r="H7" i="22" s="1"/>
  <c r="F7" i="22" s="1"/>
  <c r="L11" i="21"/>
  <c r="L16" i="20"/>
  <c r="J8" i="20" s="1"/>
  <c r="J7" i="20"/>
  <c r="H7" i="20" s="1"/>
  <c r="F7" i="20" s="1"/>
  <c r="D7" i="20" s="1"/>
  <c r="B7" i="20" s="1"/>
  <c r="R11" i="19"/>
  <c r="L7" i="19"/>
  <c r="J7" i="19" s="1"/>
  <c r="H7" i="19" s="1"/>
  <c r="F7" i="19" s="1"/>
  <c r="D7" i="19" s="1"/>
  <c r="D15" i="17"/>
  <c r="R15" i="17"/>
  <c r="R12" i="16"/>
  <c r="R14" i="15"/>
  <c r="D26" i="1"/>
  <c r="L26" i="22" l="1"/>
  <c r="L17" i="22"/>
  <c r="B29" i="1"/>
  <c r="B18" i="4"/>
  <c r="L28" i="22" l="1"/>
  <c r="J16" i="22"/>
  <c r="L30" i="22"/>
  <c r="B30" i="1"/>
  <c r="B28" i="5"/>
  <c r="J28" i="5" s="1"/>
  <c r="B12" i="5"/>
  <c r="D35" i="10" l="1"/>
  <c r="L39" i="4"/>
  <c r="B16" i="10"/>
  <c r="D39" i="1"/>
  <c r="F39" i="9"/>
  <c r="F30" i="9"/>
  <c r="F42" i="9"/>
  <c r="B42" i="9"/>
  <c r="H32" i="9"/>
  <c r="F22" i="1"/>
  <c r="F45" i="9" l="1"/>
  <c r="D17" i="5"/>
  <c r="J46" i="6"/>
  <c r="L16" i="28" l="1"/>
  <c r="D8" i="6"/>
  <c r="G124" i="25"/>
  <c r="G119" i="25"/>
  <c r="G114" i="25"/>
  <c r="G108" i="25"/>
  <c r="G85" i="25"/>
  <c r="G80" i="25"/>
  <c r="G74" i="25"/>
  <c r="J25" i="60" l="1"/>
  <c r="J20" i="60"/>
  <c r="H20" i="60"/>
  <c r="F20" i="60"/>
  <c r="F25" i="60"/>
  <c r="L24" i="60"/>
  <c r="N24" i="60" s="1"/>
  <c r="D51" i="6"/>
  <c r="D39" i="6"/>
  <c r="K22" i="57" s="1"/>
  <c r="D20" i="6"/>
  <c r="H22" i="57" s="1"/>
  <c r="D26" i="5"/>
  <c r="E22" i="57" s="1"/>
  <c r="N25" i="60" l="1"/>
  <c r="D40" i="6"/>
  <c r="D53" i="6" s="1"/>
  <c r="D58" i="6" s="1"/>
  <c r="L25" i="60"/>
  <c r="D51" i="5"/>
  <c r="D52" i="5" s="1"/>
  <c r="G36" i="25" l="1"/>
  <c r="L38" i="28"/>
  <c r="L31" i="28"/>
  <c r="L32" i="28"/>
  <c r="L30" i="28"/>
  <c r="L23" i="28"/>
  <c r="L25" i="28"/>
  <c r="L21" i="28"/>
  <c r="L11" i="28"/>
  <c r="L12" i="28"/>
  <c r="L13" i="28"/>
  <c r="L14" i="28"/>
  <c r="T14" i="28" s="1"/>
  <c r="L15" i="28"/>
  <c r="L10" i="28"/>
  <c r="L31" i="27"/>
  <c r="L32" i="27"/>
  <c r="L33" i="27"/>
  <c r="T33" i="27" s="1"/>
  <c r="L34" i="27"/>
  <c r="T34" i="27" s="1"/>
  <c r="L35" i="27"/>
  <c r="T35" i="27" s="1"/>
  <c r="L36" i="27"/>
  <c r="T36" i="27" s="1"/>
  <c r="L37" i="27"/>
  <c r="L38" i="27"/>
  <c r="L30" i="27"/>
  <c r="L25" i="27"/>
  <c r="L19" i="27"/>
  <c r="L20" i="27"/>
  <c r="L18" i="27"/>
  <c r="L11" i="27"/>
  <c r="L12" i="27"/>
  <c r="L13" i="27"/>
  <c r="T13" i="27" s="1"/>
  <c r="L14" i="27"/>
  <c r="J24" i="5"/>
  <c r="R20" i="27"/>
  <c r="R22" i="28"/>
  <c r="R13" i="28"/>
  <c r="T20" i="27" l="1"/>
  <c r="T25" i="27"/>
  <c r="T26" i="27" s="1"/>
  <c r="L26" i="27"/>
  <c r="T13" i="28"/>
  <c r="G393" i="25" l="1"/>
  <c r="I386" i="25"/>
  <c r="L19" i="60"/>
  <c r="J27" i="60"/>
  <c r="H27" i="60"/>
  <c r="F27" i="60"/>
  <c r="L14" i="60"/>
  <c r="L15" i="60" s="1"/>
  <c r="H32" i="59"/>
  <c r="K23" i="57" s="1"/>
  <c r="F32" i="59"/>
  <c r="F34" i="59" s="1"/>
  <c r="H34" i="59" l="1"/>
  <c r="H39" i="59" s="1"/>
  <c r="H23" i="57"/>
  <c r="N19" i="60"/>
  <c r="N20" i="60" s="1"/>
  <c r="L20" i="60"/>
  <c r="L27" i="60" s="1"/>
  <c r="J30" i="60"/>
  <c r="N14" i="60"/>
  <c r="N15" i="60" s="1"/>
  <c r="B26" i="1"/>
  <c r="J40" i="5"/>
  <c r="J41" i="5"/>
  <c r="J15" i="27"/>
  <c r="J17" i="28"/>
  <c r="D11" i="17"/>
  <c r="G134" i="25"/>
  <c r="G66" i="25"/>
  <c r="G67" i="25" s="1"/>
  <c r="G54" i="25"/>
  <c r="H21" i="1"/>
  <c r="H9" i="1"/>
  <c r="B20" i="5"/>
  <c r="J20" i="5" s="1"/>
  <c r="B56" i="6"/>
  <c r="J45" i="6"/>
  <c r="J19" i="6"/>
  <c r="J33" i="5"/>
  <c r="J10" i="5"/>
  <c r="J40" i="4"/>
  <c r="N40" i="4" s="1"/>
  <c r="H31" i="4"/>
  <c r="F31" i="4"/>
  <c r="D31" i="4"/>
  <c r="B8" i="58"/>
  <c r="B9" i="58"/>
  <c r="B10" i="58"/>
  <c r="A3" i="57"/>
  <c r="E13" i="56"/>
  <c r="E12" i="55"/>
  <c r="E13" i="55"/>
  <c r="E14" i="55"/>
  <c r="E15" i="55"/>
  <c r="E16" i="55"/>
  <c r="E17" i="55"/>
  <c r="E18" i="55"/>
  <c r="E19" i="55"/>
  <c r="E20" i="55"/>
  <c r="E21" i="55"/>
  <c r="K12" i="54"/>
  <c r="K15" i="54" s="1"/>
  <c r="K17" i="54" s="1"/>
  <c r="D16" i="53"/>
  <c r="H16" i="53" s="1"/>
  <c r="H18" i="53" s="1"/>
  <c r="D18" i="53"/>
  <c r="D27" i="53" s="1"/>
  <c r="L16" i="53"/>
  <c r="L18" i="53"/>
  <c r="J18" i="53"/>
  <c r="H21" i="53"/>
  <c r="J21" i="53" s="1"/>
  <c r="J22" i="53"/>
  <c r="J23" i="53"/>
  <c r="D24" i="53"/>
  <c r="L24" i="53"/>
  <c r="J31" i="53"/>
  <c r="A4" i="56"/>
  <c r="I13" i="52"/>
  <c r="I15" i="52"/>
  <c r="I16" i="52"/>
  <c r="I17" i="52"/>
  <c r="G18" i="52"/>
  <c r="I19" i="52"/>
  <c r="I20" i="52"/>
  <c r="G21" i="52"/>
  <c r="I27" i="52"/>
  <c r="I40" i="52"/>
  <c r="A7" i="51"/>
  <c r="K15" i="51"/>
  <c r="K16" i="51"/>
  <c r="E17" i="51"/>
  <c r="E26" i="51" s="1"/>
  <c r="G17" i="51"/>
  <c r="I17" i="51"/>
  <c r="K21" i="51"/>
  <c r="K22" i="51"/>
  <c r="I24" i="51"/>
  <c r="E24" i="51"/>
  <c r="G24" i="51"/>
  <c r="K24" i="51" s="1"/>
  <c r="K29" i="51"/>
  <c r="K30" i="51"/>
  <c r="E30" i="51"/>
  <c r="G30" i="51"/>
  <c r="G33" i="51" s="1"/>
  <c r="I30" i="51"/>
  <c r="C12" i="50"/>
  <c r="C19" i="50"/>
  <c r="C37" i="50"/>
  <c r="B12" i="49"/>
  <c r="B16" i="49"/>
  <c r="B22" i="49"/>
  <c r="B28" i="49" s="1"/>
  <c r="B33" i="49" s="1"/>
  <c r="A4" i="48"/>
  <c r="B10" i="48"/>
  <c r="F10" i="48" s="1"/>
  <c r="J17" i="13" s="1"/>
  <c r="F11" i="48"/>
  <c r="J18" i="13" s="1"/>
  <c r="D12" i="48"/>
  <c r="B15" i="48"/>
  <c r="B17" i="48" s="1"/>
  <c r="F16" i="48"/>
  <c r="J25" i="13" s="1"/>
  <c r="D17" i="48"/>
  <c r="F22" i="48"/>
  <c r="J32" i="13" s="1"/>
  <c r="A4" i="47"/>
  <c r="F10" i="47"/>
  <c r="G10" i="12" s="1"/>
  <c r="G16" i="12" s="1"/>
  <c r="F11" i="47"/>
  <c r="G12" i="12" s="1"/>
  <c r="B12" i="47"/>
  <c r="D12" i="47"/>
  <c r="F15" i="47"/>
  <c r="G19" i="12" s="1"/>
  <c r="F16" i="47"/>
  <c r="G20" i="12" s="1"/>
  <c r="G21" i="12" s="1"/>
  <c r="B17" i="47"/>
  <c r="B21" i="47" s="1"/>
  <c r="D17" i="47"/>
  <c r="A5" i="46"/>
  <c r="J11" i="46"/>
  <c r="J15" i="46"/>
  <c r="J16" i="46"/>
  <c r="H17" i="46"/>
  <c r="J18" i="46"/>
  <c r="F19" i="46"/>
  <c r="F20" i="46" s="1"/>
  <c r="J23" i="46"/>
  <c r="J24" i="46"/>
  <c r="F25" i="46"/>
  <c r="H25" i="46"/>
  <c r="J30" i="46"/>
  <c r="A5" i="45"/>
  <c r="G14" i="45"/>
  <c r="G25" i="45" s="1"/>
  <c r="I20" i="45"/>
  <c r="I22" i="45"/>
  <c r="E25" i="45"/>
  <c r="K13" i="44"/>
  <c r="M13" i="44" s="1"/>
  <c r="K14" i="44"/>
  <c r="M14" i="44" s="1"/>
  <c r="E15" i="44"/>
  <c r="G15" i="44"/>
  <c r="I15" i="44"/>
  <c r="I18" i="44"/>
  <c r="K18" i="44" s="1"/>
  <c r="K19" i="44"/>
  <c r="M19" i="44" s="1"/>
  <c r="K20" i="44"/>
  <c r="M20" i="44" s="1"/>
  <c r="E21" i="44"/>
  <c r="G21" i="44"/>
  <c r="K25" i="44"/>
  <c r="M25" i="44" s="1"/>
  <c r="K26" i="44"/>
  <c r="M26" i="44" s="1"/>
  <c r="E27" i="44"/>
  <c r="G27" i="44"/>
  <c r="I27" i="44"/>
  <c r="G17" i="43"/>
  <c r="I17" i="43" s="1"/>
  <c r="G22" i="43"/>
  <c r="I22" i="43" s="1"/>
  <c r="I24" i="43"/>
  <c r="I26" i="43"/>
  <c r="E27" i="43"/>
  <c r="E31" i="43" s="1"/>
  <c r="I30" i="43"/>
  <c r="G35" i="43"/>
  <c r="G36" i="43"/>
  <c r="I36" i="43"/>
  <c r="G39" i="43"/>
  <c r="G40" i="43" s="1"/>
  <c r="I40" i="43" s="1"/>
  <c r="E42" i="43"/>
  <c r="K13" i="42"/>
  <c r="M13" i="42" s="1"/>
  <c r="K14" i="42"/>
  <c r="M14" i="42" s="1"/>
  <c r="E15" i="42"/>
  <c r="G15" i="42"/>
  <c r="I15" i="42"/>
  <c r="I19" i="42"/>
  <c r="I21" i="42" s="1"/>
  <c r="K20" i="42"/>
  <c r="M20" i="42"/>
  <c r="E21" i="42"/>
  <c r="G21" i="42"/>
  <c r="K25" i="42"/>
  <c r="M25" i="42"/>
  <c r="K26" i="42"/>
  <c r="M26" i="42" s="1"/>
  <c r="E27" i="42"/>
  <c r="G27" i="42"/>
  <c r="I27" i="42"/>
  <c r="K30" i="42"/>
  <c r="M30" i="42" s="1"/>
  <c r="K31" i="42"/>
  <c r="M31" i="42" s="1"/>
  <c r="I32" i="42"/>
  <c r="I33" i="42" s="1"/>
  <c r="K32" i="42"/>
  <c r="M32" i="42" s="1"/>
  <c r="E33" i="42"/>
  <c r="G33" i="42"/>
  <c r="E40" i="42"/>
  <c r="E43" i="42" s="1"/>
  <c r="K40" i="42"/>
  <c r="K43" i="42" s="1"/>
  <c r="K41" i="42"/>
  <c r="M41" i="42" s="1"/>
  <c r="G14" i="41"/>
  <c r="G15" i="41"/>
  <c r="E16" i="41"/>
  <c r="G19" i="41"/>
  <c r="G20" i="41"/>
  <c r="E21" i="41"/>
  <c r="I23" i="41"/>
  <c r="I25" i="41"/>
  <c r="I29" i="41"/>
  <c r="I118" i="41"/>
  <c r="I119" i="41" s="1"/>
  <c r="G34" i="41"/>
  <c r="G39" i="41" s="1"/>
  <c r="E39" i="41"/>
  <c r="G42" i="41"/>
  <c r="G47" i="41" s="1"/>
  <c r="E47" i="41"/>
  <c r="G50" i="41"/>
  <c r="G54" i="41" s="1"/>
  <c r="E54" i="41"/>
  <c r="G57" i="41"/>
  <c r="G61" i="41" s="1"/>
  <c r="E61" i="41"/>
  <c r="G72" i="41"/>
  <c r="G76" i="41" s="1"/>
  <c r="E76" i="41"/>
  <c r="G79" i="41"/>
  <c r="G82" i="41" s="1"/>
  <c r="E82" i="41"/>
  <c r="G85" i="41"/>
  <c r="G88" i="41"/>
  <c r="E89" i="41"/>
  <c r="G92" i="41"/>
  <c r="G94" i="41"/>
  <c r="E95" i="41"/>
  <c r="I97" i="41"/>
  <c r="I100" i="41"/>
  <c r="I101" i="41"/>
  <c r="E102" i="41"/>
  <c r="G102" i="41"/>
  <c r="I105" i="41"/>
  <c r="I106" i="41"/>
  <c r="I107" i="41"/>
  <c r="I108" i="41"/>
  <c r="I109" i="41"/>
  <c r="I110" i="41"/>
  <c r="E111" i="41"/>
  <c r="G111" i="41"/>
  <c r="G146" i="41"/>
  <c r="M12" i="40"/>
  <c r="M16" i="40"/>
  <c r="M18" i="40"/>
  <c r="E19" i="40"/>
  <c r="E21" i="40" s="1"/>
  <c r="G19" i="40"/>
  <c r="G21" i="40" s="1"/>
  <c r="I19" i="40"/>
  <c r="I21" i="40" s="1"/>
  <c r="K19" i="40"/>
  <c r="K21" i="40" s="1"/>
  <c r="G15" i="39"/>
  <c r="G19" i="39" s="1"/>
  <c r="E19" i="39"/>
  <c r="G23" i="39"/>
  <c r="G26" i="39" s="1"/>
  <c r="E26" i="39"/>
  <c r="G31" i="39"/>
  <c r="G34" i="39" s="1"/>
  <c r="E34" i="39"/>
  <c r="G37" i="39"/>
  <c r="G39" i="39"/>
  <c r="G41" i="39"/>
  <c r="E42" i="39"/>
  <c r="I44" i="39"/>
  <c r="L14" i="38"/>
  <c r="N14" i="38" s="1"/>
  <c r="L18" i="38"/>
  <c r="N18" i="38" s="1"/>
  <c r="N20" i="38"/>
  <c r="F22" i="38"/>
  <c r="F24" i="38" s="1"/>
  <c r="H22" i="38"/>
  <c r="H24" i="38"/>
  <c r="J22" i="38"/>
  <c r="J24" i="38" s="1"/>
  <c r="J27" i="38" s="1"/>
  <c r="A52" i="37"/>
  <c r="M13" i="37"/>
  <c r="M15" i="37"/>
  <c r="E16" i="37"/>
  <c r="I16" i="37"/>
  <c r="M17" i="37"/>
  <c r="E18" i="37"/>
  <c r="I18" i="37"/>
  <c r="K18" i="37" s="1"/>
  <c r="M19" i="37"/>
  <c r="K20" i="37"/>
  <c r="M20" i="37" s="1"/>
  <c r="K21" i="37"/>
  <c r="M21" i="37" s="1"/>
  <c r="G22" i="37"/>
  <c r="M26" i="37"/>
  <c r="M27" i="37"/>
  <c r="K28" i="37"/>
  <c r="M28" i="37" s="1"/>
  <c r="E29" i="37"/>
  <c r="E30" i="37" s="1"/>
  <c r="I29" i="37"/>
  <c r="K29" i="37" s="1"/>
  <c r="G30" i="37"/>
  <c r="M35" i="37"/>
  <c r="M36" i="37"/>
  <c r="K37" i="37"/>
  <c r="M37" i="37" s="1"/>
  <c r="E38" i="37"/>
  <c r="G38" i="37"/>
  <c r="I38" i="37"/>
  <c r="L13" i="36"/>
  <c r="N13" i="36" s="1"/>
  <c r="L15" i="36"/>
  <c r="N15" i="36" s="1"/>
  <c r="F16" i="36"/>
  <c r="F23" i="36" s="1"/>
  <c r="G16" i="36"/>
  <c r="G23" i="36" s="1"/>
  <c r="H16" i="36"/>
  <c r="H23" i="36" s="1"/>
  <c r="I16" i="36"/>
  <c r="I23" i="36" s="1"/>
  <c r="J16" i="36"/>
  <c r="K16" i="36"/>
  <c r="K23" i="36" s="1"/>
  <c r="M16" i="36"/>
  <c r="M23" i="36"/>
  <c r="J19" i="36"/>
  <c r="N12" i="28" s="1"/>
  <c r="N19" i="36"/>
  <c r="L22" i="36"/>
  <c r="N22" i="36" s="1"/>
  <c r="H29" i="36"/>
  <c r="J29" i="36"/>
  <c r="J32" i="36" s="1"/>
  <c r="L30" i="36"/>
  <c r="N30" i="36" s="1"/>
  <c r="L31" i="36"/>
  <c r="N31" i="36" s="1"/>
  <c r="F32" i="36"/>
  <c r="G32" i="36"/>
  <c r="I32" i="36"/>
  <c r="K32" i="36"/>
  <c r="M32" i="36"/>
  <c r="N34" i="36"/>
  <c r="N35" i="36"/>
  <c r="F36" i="36"/>
  <c r="G36" i="36"/>
  <c r="H36" i="36"/>
  <c r="I36" i="36"/>
  <c r="J36" i="36"/>
  <c r="K36" i="36"/>
  <c r="L36" i="36"/>
  <c r="M36" i="36"/>
  <c r="L39" i="36"/>
  <c r="L40" i="36" s="1"/>
  <c r="N39" i="36"/>
  <c r="N40" i="36" s="1"/>
  <c r="F40" i="36"/>
  <c r="G40" i="36"/>
  <c r="H40" i="36"/>
  <c r="I40" i="36"/>
  <c r="J40" i="36"/>
  <c r="K40" i="36"/>
  <c r="M40" i="36"/>
  <c r="N50" i="36"/>
  <c r="N54" i="36" s="1"/>
  <c r="F54" i="36"/>
  <c r="G54" i="36"/>
  <c r="H54" i="36"/>
  <c r="I54" i="36"/>
  <c r="J54" i="36"/>
  <c r="K54" i="36"/>
  <c r="L54" i="36"/>
  <c r="M54" i="36"/>
  <c r="J58" i="36"/>
  <c r="N39" i="28" s="1"/>
  <c r="R39" i="28" s="1"/>
  <c r="I14" i="33"/>
  <c r="I15" i="33" s="1"/>
  <c r="E15" i="33"/>
  <c r="E23" i="33" s="1"/>
  <c r="G15" i="33"/>
  <c r="G20" i="33"/>
  <c r="I20" i="33" s="1"/>
  <c r="I21" i="33" s="1"/>
  <c r="G21" i="33"/>
  <c r="G23" i="33" s="1"/>
  <c r="E21" i="33"/>
  <c r="G27" i="33"/>
  <c r="I14" i="32"/>
  <c r="I15" i="32" s="1"/>
  <c r="E15" i="32"/>
  <c r="G15" i="32"/>
  <c r="I20" i="32"/>
  <c r="I21" i="32" s="1"/>
  <c r="E21" i="32"/>
  <c r="G21" i="32"/>
  <c r="I14" i="31"/>
  <c r="I15" i="31"/>
  <c r="E16" i="31"/>
  <c r="G16" i="31"/>
  <c r="I20" i="31"/>
  <c r="I21" i="31" s="1"/>
  <c r="E21" i="31"/>
  <c r="G21" i="31"/>
  <c r="G27" i="31"/>
  <c r="I14" i="30"/>
  <c r="I15" i="30"/>
  <c r="E16" i="30"/>
  <c r="E19" i="30"/>
  <c r="E27" i="30" s="1"/>
  <c r="G16" i="30"/>
  <c r="G19" i="30" s="1"/>
  <c r="I18" i="30"/>
  <c r="I23" i="30"/>
  <c r="I24" i="30"/>
  <c r="I25" i="30" s="1"/>
  <c r="E25" i="30"/>
  <c r="G25" i="30"/>
  <c r="J14" i="29"/>
  <c r="J15" i="29"/>
  <c r="F15" i="29"/>
  <c r="H15" i="29"/>
  <c r="J19" i="29"/>
  <c r="J20" i="29"/>
  <c r="J21" i="29"/>
  <c r="J22" i="29"/>
  <c r="J23" i="29"/>
  <c r="J24" i="29"/>
  <c r="J25" i="29"/>
  <c r="F26" i="29"/>
  <c r="F28" i="29" s="1"/>
  <c r="F34" i="29" s="1"/>
  <c r="H26" i="29"/>
  <c r="B22" i="28" s="1"/>
  <c r="L22" i="28" s="1"/>
  <c r="T22" i="28" s="1"/>
  <c r="H25" i="6" s="1"/>
  <c r="J31" i="29"/>
  <c r="J32" i="29"/>
  <c r="H36" i="29"/>
  <c r="B39" i="28" s="1"/>
  <c r="L39" i="28" s="1"/>
  <c r="A4" i="28"/>
  <c r="R10" i="28"/>
  <c r="T10" i="28" s="1"/>
  <c r="R11" i="28"/>
  <c r="T11" i="28" s="1"/>
  <c r="R16" i="28"/>
  <c r="T16" i="28" s="1"/>
  <c r="B17" i="28"/>
  <c r="H15" i="57" s="1"/>
  <c r="D17" i="28"/>
  <c r="F17" i="28"/>
  <c r="H17" i="28"/>
  <c r="R21" i="28"/>
  <c r="R23" i="28"/>
  <c r="B26" i="28"/>
  <c r="K15" i="57" s="1"/>
  <c r="D26" i="28"/>
  <c r="F26" i="28"/>
  <c r="H26" i="28"/>
  <c r="J26" i="28"/>
  <c r="R30" i="28"/>
  <c r="R31" i="28"/>
  <c r="R32" i="28"/>
  <c r="B33" i="28"/>
  <c r="D33" i="28"/>
  <c r="F33" i="28"/>
  <c r="H33" i="28"/>
  <c r="J33" i="28"/>
  <c r="N33" i="28"/>
  <c r="R38" i="28"/>
  <c r="T38" i="28" s="1"/>
  <c r="A4" i="27"/>
  <c r="B10" i="27"/>
  <c r="L10" i="27" s="1"/>
  <c r="N10" i="27"/>
  <c r="P10" i="27"/>
  <c r="R11" i="27"/>
  <c r="T11" i="27" s="1"/>
  <c r="R12" i="27"/>
  <c r="T12" i="27" s="1"/>
  <c r="R14" i="27"/>
  <c r="T14" i="27" s="1"/>
  <c r="D15" i="27"/>
  <c r="F15" i="27"/>
  <c r="H15" i="27"/>
  <c r="R18" i="27"/>
  <c r="T18" i="27" s="1"/>
  <c r="R19" i="27"/>
  <c r="T19" i="27" s="1"/>
  <c r="B21" i="27"/>
  <c r="D21" i="27"/>
  <c r="F21" i="27"/>
  <c r="H21" i="27"/>
  <c r="J21" i="27"/>
  <c r="N21" i="27"/>
  <c r="P21" i="27"/>
  <c r="R30" i="27"/>
  <c r="T30" i="27" s="1"/>
  <c r="R31" i="27"/>
  <c r="T31" i="27" s="1"/>
  <c r="R32" i="27"/>
  <c r="T32" i="27" s="1"/>
  <c r="R37" i="27"/>
  <c r="T37" i="27" s="1"/>
  <c r="R38" i="27"/>
  <c r="T38" i="27" s="1"/>
  <c r="B39" i="27"/>
  <c r="L39" i="27" s="1"/>
  <c r="R39" i="27"/>
  <c r="D40" i="27"/>
  <c r="F40" i="27"/>
  <c r="H40" i="27"/>
  <c r="J40" i="27"/>
  <c r="N40" i="27"/>
  <c r="P40" i="27"/>
  <c r="I13" i="26"/>
  <c r="I17" i="26"/>
  <c r="E19" i="26"/>
  <c r="G19" i="26"/>
  <c r="G28" i="26" s="1"/>
  <c r="I23" i="26"/>
  <c r="G13" i="25"/>
  <c r="G14" i="25"/>
  <c r="E15" i="25"/>
  <c r="G18" i="25"/>
  <c r="G19" i="25"/>
  <c r="G20" i="25"/>
  <c r="G21" i="25"/>
  <c r="E22" i="25"/>
  <c r="G25" i="25"/>
  <c r="G26" i="25"/>
  <c r="E27" i="25"/>
  <c r="G33" i="25"/>
  <c r="I33" i="25" s="1"/>
  <c r="G39" i="25"/>
  <c r="G42" i="25"/>
  <c r="G43" i="25" s="1"/>
  <c r="E43" i="25"/>
  <c r="E50" i="25"/>
  <c r="G50" i="25"/>
  <c r="G57" i="25"/>
  <c r="E59" i="25"/>
  <c r="E61" i="25"/>
  <c r="G61" i="25"/>
  <c r="E67" i="25"/>
  <c r="G77" i="25"/>
  <c r="G82" i="25"/>
  <c r="G86" i="25"/>
  <c r="G88" i="25" s="1"/>
  <c r="G102" i="25"/>
  <c r="G111" i="25"/>
  <c r="G116" i="25"/>
  <c r="G121" i="25"/>
  <c r="G126" i="25"/>
  <c r="G132" i="25"/>
  <c r="G133" i="25"/>
  <c r="G138" i="25"/>
  <c r="G141" i="25" s="1"/>
  <c r="G147" i="25"/>
  <c r="G152" i="25"/>
  <c r="G159" i="25"/>
  <c r="G162" i="25"/>
  <c r="G164" i="25" s="1"/>
  <c r="G172" i="25"/>
  <c r="G178" i="25"/>
  <c r="G181" i="25"/>
  <c r="G184" i="25" s="1"/>
  <c r="G189" i="25"/>
  <c r="G192" i="25" s="1"/>
  <c r="G195" i="25" s="1"/>
  <c r="I195" i="25" s="1"/>
  <c r="G202" i="25"/>
  <c r="G210" i="25"/>
  <c r="G216" i="25"/>
  <c r="G222" i="25"/>
  <c r="G225" i="25"/>
  <c r="G229" i="25" s="1"/>
  <c r="G234" i="25"/>
  <c r="G243" i="25"/>
  <c r="G250" i="25"/>
  <c r="G255" i="25"/>
  <c r="G260" i="25"/>
  <c r="G265" i="25"/>
  <c r="G270" i="25"/>
  <c r="G273" i="25"/>
  <c r="G275" i="25" s="1"/>
  <c r="G281" i="25"/>
  <c r="G288" i="25"/>
  <c r="G292" i="25"/>
  <c r="G297" i="25"/>
  <c r="G299" i="25" s="1"/>
  <c r="G302" i="25"/>
  <c r="G311" i="25"/>
  <c r="G314" i="25"/>
  <c r="G316" i="25" s="1"/>
  <c r="G321" i="25"/>
  <c r="G325" i="25"/>
  <c r="G326" i="25"/>
  <c r="G332" i="25"/>
  <c r="G334" i="25" s="1"/>
  <c r="G344" i="25"/>
  <c r="G347" i="25"/>
  <c r="G350" i="25" s="1"/>
  <c r="G360" i="25"/>
  <c r="G365" i="25" s="1"/>
  <c r="G368" i="25"/>
  <c r="G369" i="25"/>
  <c r="E379" i="25"/>
  <c r="E380" i="25" s="1"/>
  <c r="G379" i="25"/>
  <c r="I387" i="25"/>
  <c r="I389" i="25"/>
  <c r="I390" i="25"/>
  <c r="I391" i="25"/>
  <c r="I392" i="25"/>
  <c r="G401" i="25"/>
  <c r="B9" i="23"/>
  <c r="B12" i="23" s="1"/>
  <c r="H9" i="23"/>
  <c r="H11" i="23"/>
  <c r="D12" i="23"/>
  <c r="F12" i="23"/>
  <c r="J12" i="23"/>
  <c r="J15" i="23"/>
  <c r="B10" i="22"/>
  <c r="D10" i="22"/>
  <c r="D12" i="22"/>
  <c r="B13" i="22"/>
  <c r="F13" i="22"/>
  <c r="F15" i="22" s="1"/>
  <c r="B14" i="22"/>
  <c r="D14" i="22"/>
  <c r="D22" i="22" s="1"/>
  <c r="H15" i="22"/>
  <c r="J15" i="22"/>
  <c r="J17" i="22" s="1"/>
  <c r="H16" i="22" s="1"/>
  <c r="F20" i="22"/>
  <c r="B21" i="22"/>
  <c r="B24" i="22" s="1"/>
  <c r="B26" i="22" s="1"/>
  <c r="D21" i="22"/>
  <c r="F22" i="22"/>
  <c r="H22" i="22"/>
  <c r="H24" i="22" s="1"/>
  <c r="H26" i="22" s="1"/>
  <c r="J22" i="22"/>
  <c r="J24" i="22" s="1"/>
  <c r="J26" i="22" s="1"/>
  <c r="B10" i="21"/>
  <c r="H11" i="21"/>
  <c r="J11" i="21"/>
  <c r="B9" i="20"/>
  <c r="D9" i="20"/>
  <c r="F9" i="20"/>
  <c r="B10" i="20"/>
  <c r="D10" i="20"/>
  <c r="F10" i="20"/>
  <c r="D11" i="20"/>
  <c r="B12" i="20"/>
  <c r="D12" i="20"/>
  <c r="F12" i="20"/>
  <c r="B13" i="20"/>
  <c r="D13" i="20"/>
  <c r="F13" i="20"/>
  <c r="B14" i="20"/>
  <c r="D14" i="20"/>
  <c r="F14" i="20"/>
  <c r="J16" i="20"/>
  <c r="H8" i="20" s="1"/>
  <c r="L10" i="19"/>
  <c r="L11" i="19" s="1"/>
  <c r="B11" i="19"/>
  <c r="D11" i="19"/>
  <c r="F11" i="19"/>
  <c r="H11" i="19"/>
  <c r="J11" i="19"/>
  <c r="N11" i="19"/>
  <c r="P11" i="19"/>
  <c r="D9" i="18"/>
  <c r="B11" i="17"/>
  <c r="F11" i="17"/>
  <c r="H11" i="17"/>
  <c r="J11" i="17"/>
  <c r="L11" i="17"/>
  <c r="B15" i="17"/>
  <c r="F15" i="17"/>
  <c r="H15" i="17"/>
  <c r="J15" i="17"/>
  <c r="L15" i="17"/>
  <c r="N15" i="17"/>
  <c r="P15" i="17"/>
  <c r="D9" i="16"/>
  <c r="D10" i="16"/>
  <c r="D12" i="16" s="1"/>
  <c r="B12" i="16"/>
  <c r="F12" i="16"/>
  <c r="H12" i="16"/>
  <c r="J12" i="16"/>
  <c r="L12" i="16"/>
  <c r="N12" i="16"/>
  <c r="P12" i="16"/>
  <c r="B10" i="15"/>
  <c r="D10" i="15"/>
  <c r="F10" i="15"/>
  <c r="H10" i="15"/>
  <c r="J10" i="15"/>
  <c r="B14" i="15"/>
  <c r="D14" i="15"/>
  <c r="F14" i="15"/>
  <c r="H14" i="15"/>
  <c r="J14" i="15"/>
  <c r="N14" i="15"/>
  <c r="P14" i="15"/>
  <c r="J8" i="14"/>
  <c r="J9" i="14"/>
  <c r="J11" i="14" s="1"/>
  <c r="N11" i="14"/>
  <c r="B11" i="14"/>
  <c r="D11" i="14"/>
  <c r="F11" i="14"/>
  <c r="H11" i="14"/>
  <c r="P11" i="14"/>
  <c r="A4" i="13"/>
  <c r="H15" i="13"/>
  <c r="H19" i="13" s="1"/>
  <c r="J19" i="13"/>
  <c r="H26" i="13"/>
  <c r="H32" i="13"/>
  <c r="A36" i="13"/>
  <c r="E14" i="12"/>
  <c r="E15" i="12"/>
  <c r="E21" i="12"/>
  <c r="A30" i="12"/>
  <c r="G12" i="11"/>
  <c r="K12" i="11" s="1"/>
  <c r="E13" i="11"/>
  <c r="G13" i="11"/>
  <c r="E14" i="11"/>
  <c r="G14" i="11"/>
  <c r="I14" i="11"/>
  <c r="I18" i="11" s="1"/>
  <c r="K15" i="11"/>
  <c r="G16" i="11"/>
  <c r="K16" i="11" s="1"/>
  <c r="G17" i="11"/>
  <c r="K17" i="11" s="1"/>
  <c r="K21" i="11"/>
  <c r="K24" i="11"/>
  <c r="I25" i="11"/>
  <c r="G25" i="11" s="1"/>
  <c r="K26" i="11"/>
  <c r="K27" i="11"/>
  <c r="G28" i="11"/>
  <c r="K28" i="11" s="1"/>
  <c r="E29" i="11"/>
  <c r="G32" i="11"/>
  <c r="K32" i="11" s="1"/>
  <c r="E36" i="11"/>
  <c r="G36" i="11"/>
  <c r="G44" i="11"/>
  <c r="K45" i="11"/>
  <c r="K46" i="11"/>
  <c r="E47" i="11"/>
  <c r="G47" i="11"/>
  <c r="K48" i="11"/>
  <c r="E49" i="11"/>
  <c r="G49" i="11"/>
  <c r="E50" i="11"/>
  <c r="G74" i="39" s="1"/>
  <c r="G50" i="11"/>
  <c r="G140" i="41" s="1"/>
  <c r="I50" i="11"/>
  <c r="G61" i="43"/>
  <c r="E51" i="11"/>
  <c r="G77" i="39" s="1"/>
  <c r="G51" i="11"/>
  <c r="G143" i="41" s="1"/>
  <c r="E52" i="11"/>
  <c r="G75" i="39" s="1"/>
  <c r="G52" i="11"/>
  <c r="G141" i="41" s="1"/>
  <c r="I52" i="11"/>
  <c r="E53" i="11"/>
  <c r="G78" i="39" s="1"/>
  <c r="G53" i="11"/>
  <c r="G144" i="41" s="1"/>
  <c r="E54" i="11"/>
  <c r="G76" i="39" s="1"/>
  <c r="G54" i="11"/>
  <c r="I54" i="11"/>
  <c r="G62" i="43" s="1"/>
  <c r="E55" i="11"/>
  <c r="G79" i="39" s="1"/>
  <c r="G55" i="11"/>
  <c r="G145" i="41" s="1"/>
  <c r="E56" i="11"/>
  <c r="G56" i="11"/>
  <c r="I56" i="11"/>
  <c r="G57" i="11"/>
  <c r="K57" i="11" s="1"/>
  <c r="K58" i="11"/>
  <c r="A63" i="11"/>
  <c r="A4" i="10"/>
  <c r="B10" i="10"/>
  <c r="D10" i="10"/>
  <c r="D13" i="10" s="1"/>
  <c r="F10" i="10"/>
  <c r="F13" i="10" s="1"/>
  <c r="H11" i="10"/>
  <c r="H12" i="10"/>
  <c r="F16" i="10"/>
  <c r="F28" i="10" s="1"/>
  <c r="D17" i="10"/>
  <c r="H17" i="10" s="1"/>
  <c r="D18" i="10"/>
  <c r="H18" i="10" s="1"/>
  <c r="H19" i="10"/>
  <c r="H20" i="10"/>
  <c r="H21" i="10"/>
  <c r="H22" i="10"/>
  <c r="H23" i="10"/>
  <c r="H24" i="10"/>
  <c r="B28" i="10"/>
  <c r="K35" i="57" s="1"/>
  <c r="H26" i="10"/>
  <c r="H27" i="10"/>
  <c r="H32" i="10"/>
  <c r="B33" i="10"/>
  <c r="H33" i="10" s="1"/>
  <c r="H34" i="10"/>
  <c r="D36" i="10"/>
  <c r="F36" i="10"/>
  <c r="D38" i="10"/>
  <c r="H38" i="10" s="1"/>
  <c r="H39" i="10"/>
  <c r="H41" i="10"/>
  <c r="A47" i="10"/>
  <c r="A4" i="9"/>
  <c r="B11" i="9"/>
  <c r="D11" i="9"/>
  <c r="F11" i="9"/>
  <c r="F15" i="9" s="1"/>
  <c r="D12" i="9"/>
  <c r="H13" i="9"/>
  <c r="F18" i="9"/>
  <c r="D18" i="9" s="1"/>
  <c r="H18" i="9" s="1"/>
  <c r="D20" i="9"/>
  <c r="D21" i="9"/>
  <c r="H21" i="9" s="1"/>
  <c r="B22" i="9"/>
  <c r="B23" i="9"/>
  <c r="F22" i="9"/>
  <c r="D30" i="9"/>
  <c r="D34" i="9" s="1"/>
  <c r="F34" i="9"/>
  <c r="F46" i="9" s="1"/>
  <c r="H31" i="9"/>
  <c r="H33" i="9"/>
  <c r="B34" i="9"/>
  <c r="H38" i="9"/>
  <c r="D39" i="9"/>
  <c r="H39" i="9" s="1"/>
  <c r="H40" i="9"/>
  <c r="H41" i="9"/>
  <c r="D42" i="9"/>
  <c r="B43" i="9"/>
  <c r="B45" i="9" s="1"/>
  <c r="D43" i="9"/>
  <c r="H43" i="9" s="1"/>
  <c r="H44" i="9"/>
  <c r="H51" i="9"/>
  <c r="K53" i="9"/>
  <c r="A56" i="9"/>
  <c r="A1" i="7"/>
  <c r="A34" i="7"/>
  <c r="A4" i="6"/>
  <c r="I33" i="52"/>
  <c r="J11" i="6"/>
  <c r="J12" i="6"/>
  <c r="J13" i="6"/>
  <c r="J15" i="6"/>
  <c r="J16" i="6"/>
  <c r="J24" i="6"/>
  <c r="J26" i="6"/>
  <c r="J27" i="6"/>
  <c r="J28" i="6"/>
  <c r="J29" i="6"/>
  <c r="J32" i="6"/>
  <c r="J35" i="6"/>
  <c r="J36" i="6"/>
  <c r="J37" i="6"/>
  <c r="J38" i="6"/>
  <c r="J47" i="6"/>
  <c r="J48" i="6"/>
  <c r="J49" i="6"/>
  <c r="J50" i="6"/>
  <c r="J55" i="6"/>
  <c r="J57" i="6"/>
  <c r="A61" i="6"/>
  <c r="A61" i="5"/>
  <c r="J11" i="5"/>
  <c r="J14" i="5"/>
  <c r="J15" i="5"/>
  <c r="B16" i="5"/>
  <c r="J16" i="5" s="1"/>
  <c r="J21" i="5"/>
  <c r="J22" i="5"/>
  <c r="J23" i="5"/>
  <c r="B25" i="5"/>
  <c r="J25" i="5" s="1"/>
  <c r="B32" i="5"/>
  <c r="B6" i="58" s="1"/>
  <c r="B35" i="5"/>
  <c r="J36" i="5"/>
  <c r="J37" i="5"/>
  <c r="J38" i="5"/>
  <c r="J39" i="5"/>
  <c r="J42" i="5"/>
  <c r="J44" i="5"/>
  <c r="J45" i="5"/>
  <c r="J47" i="5"/>
  <c r="J48" i="5"/>
  <c r="J49" i="5"/>
  <c r="J67" i="5"/>
  <c r="J73" i="5"/>
  <c r="J77" i="5"/>
  <c r="A85" i="5"/>
  <c r="D19" i="4"/>
  <c r="J12" i="4"/>
  <c r="N12" i="4" s="1"/>
  <c r="J13" i="4"/>
  <c r="N13" i="4" s="1"/>
  <c r="J14" i="4"/>
  <c r="N14" i="4" s="1"/>
  <c r="F19" i="4"/>
  <c r="J16" i="4"/>
  <c r="N16" i="4" s="1"/>
  <c r="B17" i="4"/>
  <c r="J17" i="4" s="1"/>
  <c r="J18" i="4"/>
  <c r="N18" i="4" s="1"/>
  <c r="H19" i="4"/>
  <c r="L19" i="4"/>
  <c r="L22" i="4"/>
  <c r="N22" i="4" s="1"/>
  <c r="D23" i="4"/>
  <c r="H24" i="4"/>
  <c r="F24" i="4"/>
  <c r="J24" i="4"/>
  <c r="B28" i="4"/>
  <c r="P28" i="4" s="1"/>
  <c r="P31" i="4" s="1"/>
  <c r="B29" i="4"/>
  <c r="B30" i="4"/>
  <c r="N35" i="4"/>
  <c r="J36" i="4"/>
  <c r="N36" i="4" s="1"/>
  <c r="J37" i="4"/>
  <c r="N37" i="4" s="1"/>
  <c r="N38" i="4"/>
  <c r="L44" i="4"/>
  <c r="N42" i="4"/>
  <c r="N43" i="4"/>
  <c r="P44" i="4"/>
  <c r="R44" i="4"/>
  <c r="T44" i="4"/>
  <c r="L48" i="4"/>
  <c r="J48" i="4"/>
  <c r="P48" i="4"/>
  <c r="R48" i="4"/>
  <c r="N47" i="4"/>
  <c r="T48" i="4"/>
  <c r="A52" i="4"/>
  <c r="B11" i="3"/>
  <c r="F11" i="3"/>
  <c r="H11" i="3" s="1"/>
  <c r="F12" i="3"/>
  <c r="H12" i="3" s="1"/>
  <c r="F13" i="3"/>
  <c r="H13" i="3"/>
  <c r="F14" i="3"/>
  <c r="H14" i="3" s="1"/>
  <c r="D15" i="3"/>
  <c r="D19" i="3" s="1"/>
  <c r="F16" i="3"/>
  <c r="F17" i="3"/>
  <c r="H17" i="3" s="1"/>
  <c r="F18" i="3"/>
  <c r="H18" i="3" s="1"/>
  <c r="C19" i="3"/>
  <c r="E19" i="3"/>
  <c r="G19" i="3"/>
  <c r="G22" i="3"/>
  <c r="C23" i="3"/>
  <c r="C24" i="3" s="1"/>
  <c r="C25" i="3" s="1"/>
  <c r="D23" i="3"/>
  <c r="D24" i="3"/>
  <c r="E23" i="3"/>
  <c r="E24" i="3"/>
  <c r="E25" i="3" s="1"/>
  <c r="B24" i="3"/>
  <c r="B25" i="3" s="1"/>
  <c r="F24" i="3"/>
  <c r="B28" i="3"/>
  <c r="I28" i="3" s="1"/>
  <c r="I30" i="3" s="1"/>
  <c r="I44" i="3" s="1"/>
  <c r="I46" i="3" s="1"/>
  <c r="B29" i="3"/>
  <c r="J29" i="3" s="1"/>
  <c r="J30" i="3"/>
  <c r="C30" i="3"/>
  <c r="D30" i="3"/>
  <c r="E30" i="3"/>
  <c r="F34" i="3"/>
  <c r="F35" i="3"/>
  <c r="H35" i="3"/>
  <c r="H36" i="3"/>
  <c r="H37" i="3"/>
  <c r="F38" i="3"/>
  <c r="H38" i="3"/>
  <c r="F39" i="3"/>
  <c r="H39" i="3" s="1"/>
  <c r="G40" i="3"/>
  <c r="H41" i="3"/>
  <c r="H42" i="3"/>
  <c r="G43" i="3"/>
  <c r="I43" i="3"/>
  <c r="J43" i="3"/>
  <c r="F45" i="3"/>
  <c r="H45" i="3" s="1"/>
  <c r="G45" i="3"/>
  <c r="A49" i="3"/>
  <c r="J9" i="1"/>
  <c r="B11" i="1"/>
  <c r="F12" i="1"/>
  <c r="B13" i="1"/>
  <c r="F14" i="1"/>
  <c r="D15" i="1"/>
  <c r="F17" i="1"/>
  <c r="B18" i="1"/>
  <c r="H18" i="1"/>
  <c r="J18" i="1"/>
  <c r="J68" i="5"/>
  <c r="D20" i="1"/>
  <c r="H20" i="1"/>
  <c r="D21" i="1"/>
  <c r="F21" i="1" s="1"/>
  <c r="L24" i="1"/>
  <c r="F26" i="9"/>
  <c r="B37" i="57" s="1"/>
  <c r="H26" i="1"/>
  <c r="J26" i="1"/>
  <c r="D29" i="1"/>
  <c r="D30" i="1"/>
  <c r="B31" i="1"/>
  <c r="D35" i="1"/>
  <c r="F35" i="1" s="1"/>
  <c r="F37" i="1"/>
  <c r="J40" i="1"/>
  <c r="L40" i="1"/>
  <c r="D42" i="1"/>
  <c r="F48" i="9" s="1"/>
  <c r="H42" i="1"/>
  <c r="J42" i="1"/>
  <c r="H45" i="1"/>
  <c r="F47" i="1"/>
  <c r="B48" i="1"/>
  <c r="F49" i="1"/>
  <c r="F51" i="1"/>
  <c r="F52" i="1"/>
  <c r="F54" i="1"/>
  <c r="G26" i="51"/>
  <c r="F15" i="3"/>
  <c r="H15" i="3"/>
  <c r="J10" i="6"/>
  <c r="B30" i="3"/>
  <c r="B19" i="3"/>
  <c r="K19" i="42"/>
  <c r="M19" i="42" s="1"/>
  <c r="J15" i="4"/>
  <c r="N15" i="4" s="1"/>
  <c r="B24" i="4"/>
  <c r="D25" i="3"/>
  <c r="G23" i="3"/>
  <c r="H23" i="3"/>
  <c r="J25" i="46"/>
  <c r="B39" i="1"/>
  <c r="H35" i="10"/>
  <c r="L41" i="4"/>
  <c r="J11" i="4"/>
  <c r="N11" i="4" s="1"/>
  <c r="K23" i="51"/>
  <c r="I14" i="45"/>
  <c r="I25" i="45"/>
  <c r="T39" i="28" l="1"/>
  <c r="H56" i="6" s="1"/>
  <c r="J56" i="6" s="1"/>
  <c r="H28" i="29"/>
  <c r="H34" i="29" s="1"/>
  <c r="I26" i="51"/>
  <c r="K17" i="51"/>
  <c r="K26" i="51" s="1"/>
  <c r="K33" i="51" s="1"/>
  <c r="E33" i="51"/>
  <c r="C21" i="50"/>
  <c r="T30" i="4"/>
  <c r="T31" i="4" s="1"/>
  <c r="T45" i="4" s="1"/>
  <c r="T49" i="4" s="1"/>
  <c r="L66" i="1" s="1"/>
  <c r="H25" i="4"/>
  <c r="J41" i="4"/>
  <c r="C24" i="50"/>
  <c r="C31" i="50"/>
  <c r="B23" i="49"/>
  <c r="H17" i="22"/>
  <c r="F16" i="22" s="1"/>
  <c r="F17" i="22" s="1"/>
  <c r="D16" i="22" s="1"/>
  <c r="J30" i="22"/>
  <c r="G22" i="42"/>
  <c r="M18" i="37"/>
  <c r="K16" i="37"/>
  <c r="K22" i="37" s="1"/>
  <c r="P12" i="28"/>
  <c r="M41" i="36"/>
  <c r="M43" i="36" s="1"/>
  <c r="H25" i="10"/>
  <c r="J25" i="6"/>
  <c r="I29" i="11"/>
  <c r="I34" i="11" s="1"/>
  <c r="I37" i="11" s="1"/>
  <c r="G29" i="11"/>
  <c r="G84" i="39"/>
  <c r="G85" i="39" s="1"/>
  <c r="D22" i="9"/>
  <c r="D23" i="9" s="1"/>
  <c r="B46" i="9"/>
  <c r="D15" i="9"/>
  <c r="H12" i="9"/>
  <c r="H11" i="9"/>
  <c r="H16" i="10"/>
  <c r="H10" i="10"/>
  <c r="H13" i="10" s="1"/>
  <c r="D28" i="10"/>
  <c r="K36" i="57" s="1"/>
  <c r="B13" i="10"/>
  <c r="B36" i="10"/>
  <c r="H43" i="10"/>
  <c r="H28" i="13"/>
  <c r="H33" i="13" s="1"/>
  <c r="E16" i="12"/>
  <c r="I50" i="25"/>
  <c r="G59" i="25"/>
  <c r="I59" i="25" s="1"/>
  <c r="I43" i="25"/>
  <c r="G27" i="25"/>
  <c r="I27" i="25" s="1"/>
  <c r="G15" i="25"/>
  <c r="I15" i="25" s="1"/>
  <c r="E68" i="25"/>
  <c r="E382" i="25" s="1"/>
  <c r="E404" i="25" s="1"/>
  <c r="N25" i="28"/>
  <c r="N16" i="36"/>
  <c r="E44" i="43"/>
  <c r="K27" i="44"/>
  <c r="G22" i="44"/>
  <c r="G29" i="44"/>
  <c r="I19" i="26"/>
  <c r="T39" i="27"/>
  <c r="H37" i="29"/>
  <c r="J26" i="29"/>
  <c r="J28" i="29" s="1"/>
  <c r="J34" i="29" s="1"/>
  <c r="I16" i="30"/>
  <c r="I16" i="31"/>
  <c r="I23" i="31" s="1"/>
  <c r="G23" i="31"/>
  <c r="G28" i="31" s="1"/>
  <c r="E23" i="31"/>
  <c r="E23" i="32"/>
  <c r="I23" i="32" s="1"/>
  <c r="G23" i="32"/>
  <c r="G26" i="32" s="1"/>
  <c r="I23" i="33"/>
  <c r="G28" i="33"/>
  <c r="E22" i="37"/>
  <c r="E32" i="37" s="1"/>
  <c r="E41" i="37" s="1"/>
  <c r="K30" i="37"/>
  <c r="K41" i="36"/>
  <c r="K43" i="36" s="1"/>
  <c r="J23" i="36"/>
  <c r="N36" i="36"/>
  <c r="L16" i="36"/>
  <c r="L23" i="36" s="1"/>
  <c r="F41" i="36"/>
  <c r="F43" i="36" s="1"/>
  <c r="F56" i="36" s="1"/>
  <c r="N23" i="36"/>
  <c r="G41" i="36"/>
  <c r="G43" i="36" s="1"/>
  <c r="G56" i="36" s="1"/>
  <c r="L22" i="38"/>
  <c r="L24" i="38" s="1"/>
  <c r="N22" i="38"/>
  <c r="N24" i="38" s="1"/>
  <c r="G27" i="39"/>
  <c r="I19" i="39"/>
  <c r="E45" i="39"/>
  <c r="I34" i="39"/>
  <c r="E27" i="39"/>
  <c r="I27" i="39" s="1"/>
  <c r="G42" i="39"/>
  <c r="I42" i="39" s="1"/>
  <c r="I26" i="39"/>
  <c r="M19" i="40"/>
  <c r="M21" i="40" s="1"/>
  <c r="E26" i="41"/>
  <c r="E30" i="41" s="1"/>
  <c r="E34" i="42"/>
  <c r="K15" i="42"/>
  <c r="M15" i="42" s="1"/>
  <c r="G89" i="41"/>
  <c r="I89" i="41" s="1"/>
  <c r="G16" i="41"/>
  <c r="I16" i="41" s="1"/>
  <c r="I76" i="41"/>
  <c r="G95" i="41"/>
  <c r="I95" i="41" s="1"/>
  <c r="I82" i="41"/>
  <c r="I39" i="41"/>
  <c r="I47" i="41"/>
  <c r="E112" i="41"/>
  <c r="I61" i="41"/>
  <c r="G21" i="41"/>
  <c r="I21" i="41" s="1"/>
  <c r="I22" i="42"/>
  <c r="K27" i="42"/>
  <c r="K33" i="42"/>
  <c r="M33" i="42" s="1"/>
  <c r="I34" i="42"/>
  <c r="G34" i="42"/>
  <c r="G36" i="42" s="1"/>
  <c r="G46" i="42" s="1"/>
  <c r="E22" i="42"/>
  <c r="K21" i="42"/>
  <c r="M21" i="42" s="1"/>
  <c r="M40" i="42"/>
  <c r="M43" i="42" s="1"/>
  <c r="G27" i="43"/>
  <c r="G31" i="43" s="1"/>
  <c r="G42" i="43"/>
  <c r="I42" i="43" s="1"/>
  <c r="M27" i="44"/>
  <c r="I21" i="44"/>
  <c r="I22" i="44" s="1"/>
  <c r="I29" i="44" s="1"/>
  <c r="K21" i="44"/>
  <c r="M21" i="44" s="1"/>
  <c r="M18" i="44"/>
  <c r="E22" i="44"/>
  <c r="K15" i="44"/>
  <c r="M15" i="44" s="1"/>
  <c r="F12" i="47"/>
  <c r="F17" i="48"/>
  <c r="D19" i="48"/>
  <c r="D23" i="48" s="1"/>
  <c r="F15" i="48"/>
  <c r="J24" i="13" s="1"/>
  <c r="J26" i="13" s="1"/>
  <c r="J28" i="13" s="1"/>
  <c r="J33" i="13" s="1"/>
  <c r="F12" i="48"/>
  <c r="I33" i="51"/>
  <c r="C38" i="50" s="1"/>
  <c r="K25" i="11"/>
  <c r="K29" i="11" s="1"/>
  <c r="K50" i="11"/>
  <c r="K51" i="11"/>
  <c r="K53" i="11"/>
  <c r="K52" i="11"/>
  <c r="K55" i="11"/>
  <c r="K36" i="11"/>
  <c r="K49" i="11"/>
  <c r="E59" i="11"/>
  <c r="G18" i="11"/>
  <c r="K13" i="11"/>
  <c r="K56" i="11"/>
  <c r="I59" i="11"/>
  <c r="K47" i="11"/>
  <c r="F19" i="7"/>
  <c r="B19" i="4"/>
  <c r="B25" i="4" s="1"/>
  <c r="F25" i="4"/>
  <c r="J44" i="4"/>
  <c r="N39" i="4"/>
  <c r="N41" i="4" s="1"/>
  <c r="B31" i="4"/>
  <c r="H24" i="53"/>
  <c r="L29" i="53"/>
  <c r="L33" i="53" s="1"/>
  <c r="H29" i="53"/>
  <c r="J24" i="53"/>
  <c r="J29" i="53" s="1"/>
  <c r="I21" i="52"/>
  <c r="I18" i="52"/>
  <c r="I41" i="52"/>
  <c r="G12" i="55"/>
  <c r="K38" i="37"/>
  <c r="M38" i="37" s="1"/>
  <c r="G32" i="37"/>
  <c r="G41" i="37" s="1"/>
  <c r="I30" i="37"/>
  <c r="M29" i="37"/>
  <c r="I22" i="37"/>
  <c r="F24" i="22"/>
  <c r="F26" i="22" s="1"/>
  <c r="J28" i="22"/>
  <c r="D15" i="22"/>
  <c r="D24" i="22"/>
  <c r="D26" i="22" s="1"/>
  <c r="F16" i="20"/>
  <c r="B22" i="47"/>
  <c r="F17" i="47"/>
  <c r="D21" i="47"/>
  <c r="D22" i="47" s="1"/>
  <c r="N17" i="28"/>
  <c r="H39" i="6"/>
  <c r="J33" i="6"/>
  <c r="B39" i="6"/>
  <c r="K12" i="57" s="1"/>
  <c r="K29" i="57" s="1"/>
  <c r="K31" i="57" s="1"/>
  <c r="L26" i="57" s="1"/>
  <c r="E25" i="12"/>
  <c r="E27" i="12" s="1"/>
  <c r="H23" i="1"/>
  <c r="H24" i="1" s="1"/>
  <c r="B20" i="6"/>
  <c r="G328" i="25"/>
  <c r="G338" i="25" s="1"/>
  <c r="G372" i="25"/>
  <c r="J372" i="25" s="1"/>
  <c r="G22" i="25"/>
  <c r="I22" i="25" s="1"/>
  <c r="H17" i="5"/>
  <c r="H26" i="5"/>
  <c r="H52" i="5" s="1"/>
  <c r="J35" i="5"/>
  <c r="B53" i="1" s="1"/>
  <c r="F53" i="1" s="1"/>
  <c r="D23" i="1"/>
  <c r="D24" i="1" s="1"/>
  <c r="B23" i="1"/>
  <c r="B24" i="1" s="1"/>
  <c r="D45" i="9"/>
  <c r="D46" i="9" s="1"/>
  <c r="H42" i="9"/>
  <c r="H20" i="9"/>
  <c r="H30" i="9"/>
  <c r="H34" i="9"/>
  <c r="H22" i="9"/>
  <c r="H23" i="9" s="1"/>
  <c r="F23" i="9"/>
  <c r="F24" i="9" s="1"/>
  <c r="J24" i="1"/>
  <c r="J55" i="1" s="1"/>
  <c r="H39" i="1"/>
  <c r="I61" i="25"/>
  <c r="N27" i="60"/>
  <c r="B7" i="58"/>
  <c r="F48" i="1"/>
  <c r="F11" i="1"/>
  <c r="F45" i="1"/>
  <c r="J69" i="5"/>
  <c r="F30" i="1"/>
  <c r="F13" i="1"/>
  <c r="F31" i="1"/>
  <c r="F10" i="1"/>
  <c r="D26" i="9"/>
  <c r="B36" i="57" s="1"/>
  <c r="N46" i="4"/>
  <c r="N48" i="4"/>
  <c r="L21" i="27"/>
  <c r="T31" i="28"/>
  <c r="H44" i="6" s="1"/>
  <c r="P33" i="28"/>
  <c r="H27" i="28"/>
  <c r="H35" i="28" s="1"/>
  <c r="H40" i="28" s="1"/>
  <c r="R12" i="28"/>
  <c r="T12" i="28" s="1"/>
  <c r="H14" i="6" s="1"/>
  <c r="J14" i="6" s="1"/>
  <c r="J27" i="28"/>
  <c r="J35" i="28" s="1"/>
  <c r="J40" i="28" s="1"/>
  <c r="J12" i="5"/>
  <c r="J17" i="5" s="1"/>
  <c r="J26" i="5"/>
  <c r="T23" i="28"/>
  <c r="R33" i="28"/>
  <c r="T32" i="28"/>
  <c r="F27" i="28"/>
  <c r="F35" i="28" s="1"/>
  <c r="F40" i="28" s="1"/>
  <c r="D27" i="28"/>
  <c r="D35" i="28" s="1"/>
  <c r="D40" i="28" s="1"/>
  <c r="B27" i="28"/>
  <c r="B35" i="28" s="1"/>
  <c r="B40" i="28" s="1"/>
  <c r="G135" i="25"/>
  <c r="I67" i="25"/>
  <c r="R10" i="27"/>
  <c r="R15" i="27" s="1"/>
  <c r="N15" i="27"/>
  <c r="B15" i="27"/>
  <c r="P15" i="27"/>
  <c r="L15" i="27"/>
  <c r="B40" i="27"/>
  <c r="B41" i="27" s="1"/>
  <c r="L40" i="27"/>
  <c r="R40" i="27"/>
  <c r="D41" i="27"/>
  <c r="F41" i="27"/>
  <c r="P41" i="27"/>
  <c r="N41" i="27"/>
  <c r="R21" i="27"/>
  <c r="B48" i="9"/>
  <c r="L39" i="1"/>
  <c r="F29" i="1"/>
  <c r="B26" i="5"/>
  <c r="E12" i="57" s="1"/>
  <c r="E29" i="57" s="1"/>
  <c r="E31" i="57" s="1"/>
  <c r="F9" i="1"/>
  <c r="B40" i="1"/>
  <c r="F38" i="1"/>
  <c r="F39" i="1" s="1"/>
  <c r="D40" i="1"/>
  <c r="F15" i="1"/>
  <c r="J32" i="5"/>
  <c r="B17" i="5"/>
  <c r="L33" i="28"/>
  <c r="T30" i="28"/>
  <c r="L26" i="28"/>
  <c r="T21" i="28"/>
  <c r="L17" i="28"/>
  <c r="J41" i="27"/>
  <c r="F20" i="1"/>
  <c r="F23" i="1" s="1"/>
  <c r="H40" i="1"/>
  <c r="F42" i="1"/>
  <c r="F18" i="1"/>
  <c r="D48" i="9"/>
  <c r="H12" i="23"/>
  <c r="I111" i="41"/>
  <c r="I102" i="41"/>
  <c r="H36" i="57"/>
  <c r="J195" i="25"/>
  <c r="H37" i="57"/>
  <c r="G236" i="25"/>
  <c r="I236" i="25" s="1"/>
  <c r="I54" i="41"/>
  <c r="I401" i="25"/>
  <c r="J401" i="25" s="1"/>
  <c r="G289" i="25"/>
  <c r="I393" i="25"/>
  <c r="H36" i="10"/>
  <c r="J54" i="6"/>
  <c r="B15" i="9"/>
  <c r="B24" i="9" s="1"/>
  <c r="G27" i="30"/>
  <c r="G30" i="30" s="1"/>
  <c r="I19" i="30"/>
  <c r="I27" i="30" s="1"/>
  <c r="I14" i="52"/>
  <c r="C23" i="52"/>
  <c r="H19" i="46"/>
  <c r="H20" i="46" s="1"/>
  <c r="J17" i="46"/>
  <c r="J19" i="46" s="1"/>
  <c r="H16" i="3"/>
  <c r="F19" i="3"/>
  <c r="I365" i="25"/>
  <c r="J365" i="25"/>
  <c r="J19" i="4"/>
  <c r="N17" i="4"/>
  <c r="E18" i="11"/>
  <c r="K14" i="11"/>
  <c r="B12" i="48"/>
  <c r="B19" i="48" s="1"/>
  <c r="B23" i="48" s="1"/>
  <c r="H22" i="3"/>
  <c r="H24" i="3" s="1"/>
  <c r="G24" i="3"/>
  <c r="G25" i="3" s="1"/>
  <c r="G44" i="3" s="1"/>
  <c r="G46" i="3" s="1"/>
  <c r="L23" i="4"/>
  <c r="D24" i="4"/>
  <c r="D25" i="4" s="1"/>
  <c r="G142" i="41"/>
  <c r="G154" i="41" s="1"/>
  <c r="K54" i="11"/>
  <c r="G59" i="11"/>
  <c r="H32" i="36"/>
  <c r="H41" i="36" s="1"/>
  <c r="H43" i="36" s="1"/>
  <c r="H56" i="36" s="1"/>
  <c r="L29" i="36"/>
  <c r="B1" i="58"/>
  <c r="B3" i="58" s="1"/>
  <c r="B12" i="58" s="1"/>
  <c r="P45" i="4"/>
  <c r="P49" i="4" s="1"/>
  <c r="H66" i="1" s="1"/>
  <c r="J43" i="6"/>
  <c r="H51" i="6"/>
  <c r="K37" i="57"/>
  <c r="F40" i="3"/>
  <c r="H34" i="3"/>
  <c r="J41" i="36"/>
  <c r="R15" i="28"/>
  <c r="T15" i="28" s="1"/>
  <c r="H18" i="6" s="1"/>
  <c r="P17" i="28"/>
  <c r="I41" i="36"/>
  <c r="I43" i="36" s="1"/>
  <c r="B26" i="9"/>
  <c r="B35" i="57" s="1"/>
  <c r="H41" i="27"/>
  <c r="J44" i="3"/>
  <c r="J46" i="3" s="1"/>
  <c r="F26" i="1"/>
  <c r="F43" i="3"/>
  <c r="B15" i="22"/>
  <c r="G185" i="25"/>
  <c r="J39" i="1"/>
  <c r="R29" i="4"/>
  <c r="R31" i="4" s="1"/>
  <c r="R45" i="4" s="1"/>
  <c r="R49" i="4" s="1"/>
  <c r="J44" i="6"/>
  <c r="B51" i="6"/>
  <c r="F29" i="10"/>
  <c r="G60" i="43"/>
  <c r="G65" i="43" s="1"/>
  <c r="F27" i="46"/>
  <c r="F31" i="46" s="1"/>
  <c r="J33" i="53" l="1"/>
  <c r="J35" i="53" s="1"/>
  <c r="H28" i="22"/>
  <c r="F9" i="21"/>
  <c r="F11" i="21" s="1"/>
  <c r="D8" i="20"/>
  <c r="H28" i="10"/>
  <c r="E35" i="57"/>
  <c r="N44" i="4"/>
  <c r="H30" i="22"/>
  <c r="D16" i="20"/>
  <c r="J18" i="6"/>
  <c r="J20" i="6" s="1"/>
  <c r="H20" i="6"/>
  <c r="H40" i="6" s="1"/>
  <c r="H53" i="6" s="1"/>
  <c r="H58" i="6" s="1"/>
  <c r="B40" i="6"/>
  <c r="B53" i="6" s="1"/>
  <c r="B58" i="6" s="1"/>
  <c r="J39" i="6"/>
  <c r="K34" i="42"/>
  <c r="M16" i="37"/>
  <c r="M30" i="37"/>
  <c r="P25" i="28"/>
  <c r="P26" i="28" s="1"/>
  <c r="P27" i="28" s="1"/>
  <c r="P35" i="28" s="1"/>
  <c r="P40" i="28" s="1"/>
  <c r="H35" i="57"/>
  <c r="G34" i="11"/>
  <c r="G37" i="11" s="1"/>
  <c r="D29" i="10"/>
  <c r="D37" i="10" s="1"/>
  <c r="D40" i="10" s="1"/>
  <c r="D44" i="10" s="1"/>
  <c r="B29" i="10"/>
  <c r="H15" i="9"/>
  <c r="D24" i="9"/>
  <c r="H24" i="9" s="1"/>
  <c r="I372" i="25"/>
  <c r="G68" i="25"/>
  <c r="I68" i="25" s="1"/>
  <c r="J68" i="25" s="1"/>
  <c r="J43" i="36"/>
  <c r="J56" i="36" s="1"/>
  <c r="J59" i="36" s="1"/>
  <c r="E114" i="41"/>
  <c r="E122" i="41" s="1"/>
  <c r="G44" i="43"/>
  <c r="T37" i="28"/>
  <c r="E47" i="39"/>
  <c r="E64" i="39" s="1"/>
  <c r="G45" i="39"/>
  <c r="G112" i="41"/>
  <c r="I112" i="41" s="1"/>
  <c r="M34" i="42"/>
  <c r="M27" i="42"/>
  <c r="E36" i="42"/>
  <c r="E46" i="42" s="1"/>
  <c r="G26" i="41"/>
  <c r="G30" i="41" s="1"/>
  <c r="I36" i="42"/>
  <c r="I46" i="42" s="1"/>
  <c r="K22" i="42"/>
  <c r="K36" i="42" s="1"/>
  <c r="K46" i="42" s="1"/>
  <c r="I27" i="43"/>
  <c r="I31" i="43"/>
  <c r="I44" i="43" s="1"/>
  <c r="E29" i="44"/>
  <c r="K22" i="44"/>
  <c r="K29" i="44" s="1"/>
  <c r="F19" i="48"/>
  <c r="F23" i="48" s="1"/>
  <c r="I37" i="51"/>
  <c r="K59" i="11"/>
  <c r="F24" i="1"/>
  <c r="E12" i="52"/>
  <c r="I32" i="37"/>
  <c r="I41" i="37" s="1"/>
  <c r="I44" i="37" s="1"/>
  <c r="K32" i="37"/>
  <c r="K41" i="37" s="1"/>
  <c r="M22" i="37"/>
  <c r="F21" i="47"/>
  <c r="H12" i="57"/>
  <c r="H29" i="57" s="1"/>
  <c r="H31" i="57" s="1"/>
  <c r="I18" i="57" s="1"/>
  <c r="D9" i="61"/>
  <c r="D55" i="1"/>
  <c r="D56" i="1" s="1"/>
  <c r="B53" i="9"/>
  <c r="H26" i="9"/>
  <c r="T10" i="27"/>
  <c r="T15" i="27" s="1"/>
  <c r="B13" i="58"/>
  <c r="D53" i="9"/>
  <c r="D52" i="9" s="1"/>
  <c r="H45" i="9"/>
  <c r="L16" i="57"/>
  <c r="L17" i="57"/>
  <c r="L18" i="57"/>
  <c r="L27" i="57"/>
  <c r="L15" i="57"/>
  <c r="L19" i="57"/>
  <c r="L23" i="57"/>
  <c r="L22" i="57"/>
  <c r="B50" i="5"/>
  <c r="L41" i="27"/>
  <c r="T21" i="27"/>
  <c r="F27" i="57"/>
  <c r="F23" i="57"/>
  <c r="F22" i="57"/>
  <c r="T33" i="28"/>
  <c r="T40" i="27"/>
  <c r="R41" i="27"/>
  <c r="J56" i="1"/>
  <c r="R55" i="4" s="1"/>
  <c r="L56" i="1"/>
  <c r="F40" i="1"/>
  <c r="H55" i="1"/>
  <c r="H56" i="1" s="1"/>
  <c r="H67" i="1" s="1"/>
  <c r="F18" i="57"/>
  <c r="F15" i="57"/>
  <c r="F16" i="57"/>
  <c r="F19" i="57"/>
  <c r="F17" i="57"/>
  <c r="B12" i="57"/>
  <c r="B29" i="57" s="1"/>
  <c r="B31" i="57" s="1"/>
  <c r="F26" i="57"/>
  <c r="L27" i="28"/>
  <c r="L35" i="28" s="1"/>
  <c r="L40" i="28" s="1"/>
  <c r="T17" i="28"/>
  <c r="E36" i="57"/>
  <c r="H48" i="9"/>
  <c r="J236" i="25"/>
  <c r="G353" i="25"/>
  <c r="J353" i="25" s="1"/>
  <c r="I185" i="25"/>
  <c r="J185" i="25"/>
  <c r="I41" i="11"/>
  <c r="I60" i="11" s="1"/>
  <c r="I65" i="11" s="1"/>
  <c r="F37" i="10"/>
  <c r="F40" i="10" s="1"/>
  <c r="E34" i="11"/>
  <c r="E37" i="11" s="1"/>
  <c r="K18" i="11"/>
  <c r="K34" i="11" s="1"/>
  <c r="K37" i="11" s="1"/>
  <c r="L37" i="11" s="1"/>
  <c r="D17" i="22"/>
  <c r="B16" i="22" s="1"/>
  <c r="F28" i="22"/>
  <c r="F30" i="22"/>
  <c r="K39" i="57"/>
  <c r="J66" i="1"/>
  <c r="N26" i="28"/>
  <c r="N27" i="28" s="1"/>
  <c r="N35" i="28" s="1"/>
  <c r="N40" i="28" s="1"/>
  <c r="N23" i="4"/>
  <c r="N24" i="4" s="1"/>
  <c r="L24" i="4"/>
  <c r="L25" i="4" s="1"/>
  <c r="L45" i="4" s="1"/>
  <c r="L49" i="4" s="1"/>
  <c r="R17" i="28"/>
  <c r="J25" i="4"/>
  <c r="J45" i="4" s="1"/>
  <c r="N19" i="4"/>
  <c r="H27" i="46"/>
  <c r="H31" i="46" s="1"/>
  <c r="J20" i="46"/>
  <c r="J27" i="46" s="1"/>
  <c r="J31" i="46" s="1"/>
  <c r="J51" i="6"/>
  <c r="H40" i="3"/>
  <c r="H43" i="3"/>
  <c r="L32" i="36"/>
  <c r="L41" i="36" s="1"/>
  <c r="L43" i="36" s="1"/>
  <c r="L56" i="36" s="1"/>
  <c r="N29" i="36"/>
  <c r="N32" i="36" s="1"/>
  <c r="N41" i="36" s="1"/>
  <c r="N43" i="36" s="1"/>
  <c r="N56" i="36" s="1"/>
  <c r="H39" i="57"/>
  <c r="F25" i="3"/>
  <c r="F44" i="3" s="1"/>
  <c r="F46" i="3" s="1"/>
  <c r="H19" i="3"/>
  <c r="H25" i="3" s="1"/>
  <c r="H44" i="3" s="1"/>
  <c r="H46" i="3" s="1"/>
  <c r="J40" i="6" l="1"/>
  <c r="E23" i="52"/>
  <c r="F22" i="47"/>
  <c r="G26" i="12"/>
  <c r="G27" i="12" s="1"/>
  <c r="B8" i="20"/>
  <c r="B16" i="20" s="1"/>
  <c r="B9" i="21" s="1"/>
  <c r="B11" i="21" s="1"/>
  <c r="D9" i="21"/>
  <c r="D11" i="21" s="1"/>
  <c r="L55" i="4"/>
  <c r="G41" i="11"/>
  <c r="G60" i="11" s="1"/>
  <c r="G65" i="11" s="1"/>
  <c r="M32" i="37"/>
  <c r="M41" i="37" s="1"/>
  <c r="R25" i="28"/>
  <c r="T25" i="28" s="1"/>
  <c r="H29" i="10"/>
  <c r="E41" i="11"/>
  <c r="E60" i="11" s="1"/>
  <c r="E65" i="11" s="1"/>
  <c r="B37" i="10"/>
  <c r="H37" i="10" s="1"/>
  <c r="H40" i="10" s="1"/>
  <c r="H44" i="10" s="1"/>
  <c r="G114" i="41"/>
  <c r="G122" i="41" s="1"/>
  <c r="I45" i="39"/>
  <c r="I47" i="39" s="1"/>
  <c r="I64" i="39" s="1"/>
  <c r="G47" i="39"/>
  <c r="G64" i="39" s="1"/>
  <c r="I26" i="41"/>
  <c r="M22" i="42"/>
  <c r="M36" i="42" s="1"/>
  <c r="M46" i="42" s="1"/>
  <c r="M22" i="44"/>
  <c r="M29" i="44" s="1"/>
  <c r="I62" i="37"/>
  <c r="I57" i="37"/>
  <c r="I15" i="57"/>
  <c r="I27" i="57"/>
  <c r="I17" i="57"/>
  <c r="I23" i="57"/>
  <c r="I16" i="57"/>
  <c r="I22" i="57"/>
  <c r="I19" i="57"/>
  <c r="I26" i="57"/>
  <c r="B52" i="9"/>
  <c r="N25" i="4"/>
  <c r="N45" i="4" s="1"/>
  <c r="F53" i="9"/>
  <c r="F52" i="9" s="1"/>
  <c r="E37" i="57"/>
  <c r="E39" i="57" s="1"/>
  <c r="H46" i="9"/>
  <c r="H62" i="6"/>
  <c r="T55" i="4"/>
  <c r="L67" i="1"/>
  <c r="B51" i="5"/>
  <c r="B52" i="5" s="1"/>
  <c r="D11" i="61"/>
  <c r="D10" i="61"/>
  <c r="J51" i="5"/>
  <c r="J82" i="5" s="1"/>
  <c r="T41" i="27"/>
  <c r="V40" i="27" s="1"/>
  <c r="C19" i="57"/>
  <c r="C23" i="57"/>
  <c r="C22" i="57"/>
  <c r="C18" i="57"/>
  <c r="C17" i="57"/>
  <c r="C26" i="57"/>
  <c r="C15" i="57"/>
  <c r="C16" i="57"/>
  <c r="C27" i="57"/>
  <c r="J67" i="1"/>
  <c r="P55" i="4"/>
  <c r="J53" i="6"/>
  <c r="I353" i="25"/>
  <c r="D49" i="10"/>
  <c r="B5" i="58"/>
  <c r="B14" i="58" s="1"/>
  <c r="I30" i="41"/>
  <c r="I114" i="41" s="1"/>
  <c r="J49" i="4"/>
  <c r="H44" i="57"/>
  <c r="H46" i="57" s="1"/>
  <c r="H41" i="57"/>
  <c r="K41" i="11"/>
  <c r="K60" i="11" s="1"/>
  <c r="K65" i="11" s="1"/>
  <c r="B17" i="22"/>
  <c r="D28" i="22"/>
  <c r="D30" i="22"/>
  <c r="B40" i="10"/>
  <c r="B39" i="57"/>
  <c r="D66" i="1"/>
  <c r="D67" i="1"/>
  <c r="K41" i="57"/>
  <c r="K44" i="57"/>
  <c r="K46" i="57" s="1"/>
  <c r="R26" i="28" l="1"/>
  <c r="R27" i="28" s="1"/>
  <c r="R35" i="28" s="1"/>
  <c r="R40" i="28" s="1"/>
  <c r="B44" i="10"/>
  <c r="B49" i="10" s="1"/>
  <c r="G57" i="43"/>
  <c r="G66" i="43" s="1"/>
  <c r="T26" i="28"/>
  <c r="T27" i="28" s="1"/>
  <c r="T35" i="28" s="1"/>
  <c r="T40" i="28" s="1"/>
  <c r="H53" i="9"/>
  <c r="H49" i="10" s="1"/>
  <c r="H52" i="9"/>
  <c r="N49" i="4"/>
  <c r="F66" i="1" s="1"/>
  <c r="H5" i="61"/>
  <c r="D5" i="61"/>
  <c r="E41" i="57"/>
  <c r="F36" i="57" s="1"/>
  <c r="E44" i="57"/>
  <c r="E46" i="57" s="1"/>
  <c r="G15" i="57" s="1"/>
  <c r="F49" i="10"/>
  <c r="B62" i="6"/>
  <c r="J58" i="6"/>
  <c r="J62" i="6" s="1"/>
  <c r="D7" i="61"/>
  <c r="F55" i="1"/>
  <c r="F56" i="1" s="1"/>
  <c r="N55" i="4" s="1"/>
  <c r="B56" i="1"/>
  <c r="M23" i="57"/>
  <c r="M22" i="57"/>
  <c r="J23" i="57"/>
  <c r="J22" i="57"/>
  <c r="F10" i="7"/>
  <c r="F31" i="7" s="1"/>
  <c r="I37" i="57"/>
  <c r="I36" i="57"/>
  <c r="I35" i="57"/>
  <c r="B66" i="1"/>
  <c r="M19" i="57"/>
  <c r="M16" i="57"/>
  <c r="M17" i="57"/>
  <c r="M27" i="57"/>
  <c r="M36" i="57"/>
  <c r="M26" i="57"/>
  <c r="M18" i="57"/>
  <c r="M15" i="57"/>
  <c r="M35" i="57"/>
  <c r="M37" i="57"/>
  <c r="L35" i="57"/>
  <c r="L36" i="57"/>
  <c r="L37" i="57"/>
  <c r="B44" i="57"/>
  <c r="B46" i="57" s="1"/>
  <c r="B41" i="57"/>
  <c r="J16" i="57"/>
  <c r="J17" i="57"/>
  <c r="J37" i="57"/>
  <c r="J26" i="57"/>
  <c r="J36" i="57"/>
  <c r="J18" i="57"/>
  <c r="J19" i="57"/>
  <c r="J27" i="57"/>
  <c r="J15" i="57"/>
  <c r="J35" i="57"/>
  <c r="B30" i="22"/>
  <c r="B28" i="22"/>
  <c r="J89" i="5" l="1"/>
  <c r="J91" i="5" s="1"/>
  <c r="G27" i="57"/>
  <c r="F35" i="57"/>
  <c r="F37" i="57"/>
  <c r="G16" i="57"/>
  <c r="G23" i="57"/>
  <c r="G22" i="57"/>
  <c r="G18" i="57"/>
  <c r="G36" i="57"/>
  <c r="G26" i="57"/>
  <c r="G17" i="57"/>
  <c r="G37" i="57"/>
  <c r="G35" i="57"/>
  <c r="G19" i="57"/>
  <c r="B67" i="1"/>
  <c r="D6" i="61"/>
  <c r="D8" i="61"/>
  <c r="J55" i="4"/>
  <c r="J57" i="4" s="1"/>
  <c r="F67" i="1"/>
  <c r="D4" i="61"/>
  <c r="K82" i="5"/>
  <c r="D23" i="57"/>
  <c r="O23" i="57" s="1"/>
  <c r="D22" i="57"/>
  <c r="G31" i="7"/>
  <c r="G132" i="41"/>
  <c r="G155" i="41" s="1"/>
  <c r="I122" i="41"/>
  <c r="D18" i="57"/>
  <c r="D17" i="57"/>
  <c r="D19" i="57"/>
  <c r="D37" i="57"/>
  <c r="D27" i="57"/>
  <c r="D15" i="57"/>
  <c r="O15" i="57" s="1"/>
  <c r="D16" i="57"/>
  <c r="O16" i="57" s="1"/>
  <c r="D26" i="57"/>
  <c r="O26" i="57" s="1"/>
  <c r="D36" i="57"/>
  <c r="D35" i="57"/>
  <c r="C36" i="57"/>
  <c r="C37" i="57"/>
  <c r="C35" i="57"/>
  <c r="O17" i="57" l="1"/>
  <c r="O27" i="57"/>
  <c r="O18" i="57"/>
  <c r="O19" i="57"/>
  <c r="J32" i="59"/>
  <c r="J34" i="59" s="1"/>
  <c r="O37" i="57"/>
  <c r="O35" i="57"/>
  <c r="O36" i="57"/>
  <c r="G95" i="25"/>
  <c r="G127" i="25" s="1"/>
  <c r="J127" i="25" l="1"/>
  <c r="G380" i="25"/>
  <c r="I127" i="25"/>
  <c r="G382" i="25" l="1"/>
  <c r="I380" i="25"/>
  <c r="I382" i="25" s="1"/>
  <c r="I404" i="25" s="1"/>
  <c r="J380" i="25" l="1"/>
  <c r="J382" i="25"/>
  <c r="G404" i="25"/>
  <c r="J404" i="25" l="1"/>
  <c r="G410" i="25"/>
  <c r="K410" i="25" l="1"/>
  <c r="J410" i="25"/>
  <c r="H31" i="53"/>
  <c r="H33" i="53" s="1"/>
  <c r="L35" i="53"/>
  <c r="H35" i="53" l="1"/>
  <c r="G12" i="52"/>
  <c r="G23" i="52" l="1"/>
  <c r="I12" i="52"/>
  <c r="I23" i="52" s="1"/>
  <c r="I30" i="5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Ryan Chapman</author>
  </authors>
  <commentList>
    <comment ref="B38" authorId="0" shapeId="0" xr:uid="{00000000-0006-0000-0000-000001000000}">
      <text>
        <r>
          <rPr>
            <sz val="9"/>
            <color indexed="81"/>
            <rFont val="Tahoma"/>
            <family val="2"/>
          </rPr>
          <t>Pension and OPEB liabilities are now reflected in "Due in more than one year."</t>
        </r>
      </text>
    </comment>
    <comment ref="D38" authorId="0" shapeId="0" xr:uid="{00000000-0006-0000-0000-000002000000}">
      <text>
        <r>
          <rPr>
            <sz val="9"/>
            <color indexed="81"/>
            <rFont val="Tahoma"/>
            <family val="2"/>
          </rPr>
          <t>Pension and OPEB liabilities are now reflected in "Due in more than one year."</t>
        </r>
      </text>
    </comment>
    <comment ref="F38" authorId="0" shapeId="0" xr:uid="{00000000-0006-0000-0000-000003000000}">
      <text>
        <r>
          <rPr>
            <sz val="9"/>
            <color indexed="81"/>
            <rFont val="Tahoma"/>
            <family val="2"/>
          </rPr>
          <t>Pension and OPEB liabilities are now reflected in "Due in more than one year."</t>
        </r>
      </text>
    </comment>
    <comment ref="H38" authorId="0" shapeId="0" xr:uid="{00000000-0006-0000-0000-000004000000}">
      <text>
        <r>
          <rPr>
            <sz val="9"/>
            <color indexed="81"/>
            <rFont val="Tahoma"/>
            <family val="2"/>
          </rPr>
          <t>Pension and OPEB liabilities are now reflected in "Due in more than one year."</t>
        </r>
      </text>
    </comment>
    <comment ref="J38" authorId="0" shapeId="0" xr:uid="{00000000-0006-0000-0000-000005000000}">
      <text>
        <r>
          <rPr>
            <sz val="9"/>
            <color indexed="81"/>
            <rFont val="Tahoma"/>
            <family val="2"/>
          </rPr>
          <t>Pension and OPEB liabilities are now reflected in "Due in more than one year."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MLTapler</author>
  </authors>
  <commentList>
    <comment ref="H31" authorId="0" shapeId="0" xr:uid="{00000000-0006-0000-1C00-000001000000}">
      <text>
        <r>
          <rPr>
            <b/>
            <sz val="9"/>
            <color indexed="81"/>
            <rFont val="Tahoma"/>
            <family val="2"/>
          </rPr>
          <t>MLTapler:</t>
        </r>
        <r>
          <rPr>
            <sz val="9"/>
            <color indexed="81"/>
            <rFont val="Tahoma"/>
            <family val="2"/>
          </rPr>
          <t xml:space="preserve">
Last years ineligible expenditures</t>
        </r>
      </text>
    </comment>
  </commentList>
</comments>
</file>

<file path=xl/sharedStrings.xml><?xml version="1.0" encoding="utf-8"?>
<sst xmlns="http://schemas.openxmlformats.org/spreadsheetml/2006/main" count="2564" uniqueCount="1201">
  <si>
    <t>Carolina County, North Carolina</t>
  </si>
  <si>
    <t>Statement of Net Position</t>
  </si>
  <si>
    <t>Primary Government</t>
  </si>
  <si>
    <t>Component Units</t>
  </si>
  <si>
    <t>Governmental Activities</t>
  </si>
  <si>
    <t>Business-type Activities</t>
  </si>
  <si>
    <t>Total</t>
  </si>
  <si>
    <t>Carolina County Hospital Inc.</t>
  </si>
  <si>
    <t>Carolina County ABC Board</t>
  </si>
  <si>
    <t>Carolina County Tourism Development Authority</t>
  </si>
  <si>
    <t>ASSETS</t>
  </si>
  <si>
    <t>Cash and cash equivalents</t>
  </si>
  <si>
    <t>Receivables (net)</t>
  </si>
  <si>
    <t>Due from other governments</t>
  </si>
  <si>
    <t>Due from component unit</t>
  </si>
  <si>
    <t>Inventories</t>
  </si>
  <si>
    <t>Prepaid items</t>
  </si>
  <si>
    <t>Restricted cash and cash equivalents</t>
  </si>
  <si>
    <t>Equity interest in Carolina Cooperative</t>
  </si>
  <si>
    <t>Net pension asset</t>
  </si>
  <si>
    <t>Capital assets:</t>
  </si>
  <si>
    <t>Other capital assets, net of depreciation</t>
  </si>
  <si>
    <t>Total capital assets</t>
  </si>
  <si>
    <t>Total assets</t>
  </si>
  <si>
    <t>DEFERRED OUTFLOWS OF RESOURCES</t>
  </si>
  <si>
    <t>LIABILITIES</t>
  </si>
  <si>
    <t>Accounts payable and accrued expenses</t>
  </si>
  <si>
    <t>Accrued interest payable</t>
  </si>
  <si>
    <t>Due to other governments</t>
  </si>
  <si>
    <t>Due to primary government</t>
  </si>
  <si>
    <t>Liabilities to be paid from restricted assets</t>
  </si>
  <si>
    <t>Long-term liabilities:</t>
  </si>
  <si>
    <t>Due within one year</t>
  </si>
  <si>
    <t>Due in more than one year</t>
  </si>
  <si>
    <t xml:space="preserve">       Total long-term liabilities</t>
  </si>
  <si>
    <t>Total liabilities</t>
  </si>
  <si>
    <t>DEFERRED INFLOWS OF RESOURCES</t>
  </si>
  <si>
    <t>NET POSITION</t>
  </si>
  <si>
    <t>Net investment in capital assets</t>
  </si>
  <si>
    <t>Restricted for:</t>
  </si>
  <si>
    <t>Public safety</t>
  </si>
  <si>
    <t>Education</t>
  </si>
  <si>
    <t>Health services</t>
  </si>
  <si>
    <t>Register of Deeds</t>
  </si>
  <si>
    <t>Register of Deeds' pension plan</t>
  </si>
  <si>
    <t>Stabilization by State Statute</t>
  </si>
  <si>
    <t>Working Capital</t>
  </si>
  <si>
    <t>Unrestricted</t>
  </si>
  <si>
    <t>Total net position</t>
  </si>
  <si>
    <r>
      <rPr>
        <b/>
        <sz val="10"/>
        <rFont val="Arial"/>
        <family val="2"/>
      </rPr>
      <t>Note to preparer</t>
    </r>
    <r>
      <rPr>
        <sz val="10"/>
        <rFont val="Arial"/>
        <family val="2"/>
      </rPr>
      <t xml:space="preserve">:  Units that choose to aggregate deferred outflows and deferred inflows on the face of the statements should itemize components in the notes.  For an itemized presentation, please see City of Dogwood.                             </t>
    </r>
  </si>
  <si>
    <t>The notes to the financial statements are an integral part of this statement.</t>
  </si>
  <si>
    <t>Statement of Activity amount</t>
  </si>
  <si>
    <t>check if balanced with SNP</t>
  </si>
  <si>
    <t>Exhibit 2</t>
  </si>
  <si>
    <t>Statement of Activities</t>
  </si>
  <si>
    <t>For the Year Ended June 30, 2015</t>
  </si>
  <si>
    <t>Program Revenues</t>
  </si>
  <si>
    <t>Net (Expense) Revenue and Changes in Net Position</t>
  </si>
  <si>
    <t>Functions/Programs</t>
  </si>
  <si>
    <t>Expenses</t>
  </si>
  <si>
    <t>Charges for Services</t>
  </si>
  <si>
    <t>Operating Grants and Contributions</t>
  </si>
  <si>
    <t>Capital Grants and Contributions</t>
  </si>
  <si>
    <t>Primary government:</t>
  </si>
  <si>
    <t>Governmental Activities:</t>
  </si>
  <si>
    <t>General government</t>
  </si>
  <si>
    <t>Transportation</t>
  </si>
  <si>
    <t>Economic &amp; physical development</t>
  </si>
  <si>
    <t>Human services</t>
  </si>
  <si>
    <t>Cultural &amp; recreation</t>
  </si>
  <si>
    <t>Interest on long-term debt</t>
  </si>
  <si>
    <t xml:space="preserve">Total governmental activities </t>
  </si>
  <si>
    <t>Business-type activities:</t>
  </si>
  <si>
    <t>Landfill</t>
  </si>
  <si>
    <t xml:space="preserve">Water and Sewer </t>
  </si>
  <si>
    <t>Total business-type activities</t>
  </si>
  <si>
    <t xml:space="preserve">Total primary government </t>
  </si>
  <si>
    <t>Component units:</t>
  </si>
  <si>
    <t>Hospital</t>
  </si>
  <si>
    <t>ABC Board</t>
  </si>
  <si>
    <t>Total component units</t>
  </si>
  <si>
    <t>General revenues:</t>
  </si>
  <si>
    <t>Taxes:</t>
  </si>
  <si>
    <t>Property taxes, levied for general purpose</t>
  </si>
  <si>
    <t>Local option sales tax</t>
  </si>
  <si>
    <t>Other taxes and licenses</t>
  </si>
  <si>
    <t>Grants and contributions not restricted to specific programs</t>
  </si>
  <si>
    <t>Investment earnings, unrestricted</t>
  </si>
  <si>
    <t>Miscellaneous, unrestricted</t>
  </si>
  <si>
    <t xml:space="preserve">      Total general revenues excluding transfers and special items</t>
  </si>
  <si>
    <r>
      <t>Special item</t>
    </r>
    <r>
      <rPr>
        <sz val="10"/>
        <rFont val="Arial"/>
        <family val="2"/>
      </rPr>
      <t>-gain on sale of park land</t>
    </r>
  </si>
  <si>
    <t xml:space="preserve">*                   - </t>
  </si>
  <si>
    <t>Transfers</t>
  </si>
  <si>
    <t>Total general revenues, special items, and transfers</t>
  </si>
  <si>
    <t>Change in net position</t>
  </si>
  <si>
    <t>Net position, beginning, previously reported</t>
  </si>
  <si>
    <t>Net position, ending</t>
  </si>
  <si>
    <t>Tourism Development Authority</t>
  </si>
  <si>
    <t>Restatement</t>
  </si>
  <si>
    <t>Net position, beginning</t>
  </si>
  <si>
    <t>Exhibit 3</t>
  </si>
  <si>
    <t>Balance Sheet</t>
  </si>
  <si>
    <t>Governmental Funds</t>
  </si>
  <si>
    <t>Major</t>
  </si>
  <si>
    <t>Non-Major</t>
  </si>
  <si>
    <t>General</t>
  </si>
  <si>
    <t>Other Governmental Funds</t>
  </si>
  <si>
    <t>Receivables, net</t>
  </si>
  <si>
    <t>Liabilities:</t>
  </si>
  <si>
    <t>Accounts payable and accrued liabilities</t>
  </si>
  <si>
    <t>Miscellaneous liabilities</t>
  </si>
  <si>
    <t>Contract retainage</t>
  </si>
  <si>
    <t xml:space="preserve"> </t>
  </si>
  <si>
    <t>Nonspendable:</t>
  </si>
  <si>
    <t>Restricted:</t>
  </si>
  <si>
    <t>Fire Protection</t>
  </si>
  <si>
    <t>School Capital</t>
  </si>
  <si>
    <t>Health Services</t>
  </si>
  <si>
    <t>Committed:</t>
  </si>
  <si>
    <t>Tax Revaluation</t>
  </si>
  <si>
    <t>LEO Special Separation Allowance</t>
  </si>
  <si>
    <t>Assigned:</t>
  </si>
  <si>
    <t>Recreation Capital</t>
  </si>
  <si>
    <t>Future School Capital</t>
  </si>
  <si>
    <t>Subsequent year's expenditures</t>
  </si>
  <si>
    <t>Unassigned:</t>
  </si>
  <si>
    <t>Total fund balances</t>
  </si>
  <si>
    <t>Total liabilities, deferred inflows of resources, and fund balances</t>
  </si>
  <si>
    <t>Amounts reported for governmental activities in the statement of net position (Exhibit 1) are different because:</t>
  </si>
  <si>
    <t>The County has an equity interest in a joint venture.  This investment is not a current financial resource and therefore not reported in the funds.</t>
  </si>
  <si>
    <t>Capital assets used in governmental activities are not financial resources and therefore are not reported in the funds.</t>
  </si>
  <si>
    <t>Benefit payments and pension administration costs for LEOSSA are deferred outflows of resources on the Statement of Net Position</t>
  </si>
  <si>
    <t>Contributions and pension administration costs for OPEB are deferred outflows of resources on the Statement of Net Position</t>
  </si>
  <si>
    <t>Net pension liability</t>
  </si>
  <si>
    <t>Net OPEB liability</t>
  </si>
  <si>
    <t>Total pension liability (LEOSSA)</t>
  </si>
  <si>
    <t>OPEB related deferrals</t>
  </si>
  <si>
    <t>Net position of governmental activities</t>
  </si>
  <si>
    <t>Exhibit 4</t>
  </si>
  <si>
    <t>Statement of Revenues, Expenditures, and Changes in Fund Balance</t>
  </si>
  <si>
    <t>General Fund</t>
  </si>
  <si>
    <t>REVENUES</t>
  </si>
  <si>
    <t>Ad valorem taxes</t>
  </si>
  <si>
    <t>Local option sales taxes</t>
  </si>
  <si>
    <t>Unrestricted intergovernmental</t>
  </si>
  <si>
    <t>Restricted intergovernmental</t>
  </si>
  <si>
    <t>Permits and fees</t>
  </si>
  <si>
    <t>Sales and services</t>
  </si>
  <si>
    <t>Investment earnings</t>
  </si>
  <si>
    <t>Miscellaneous</t>
  </si>
  <si>
    <t>Total revenues</t>
  </si>
  <si>
    <t>EXPENDITURES</t>
  </si>
  <si>
    <t>Current:</t>
  </si>
  <si>
    <t>Economic and physical development</t>
  </si>
  <si>
    <t>Cultural and recreational</t>
  </si>
  <si>
    <t>Intergovernmental:</t>
  </si>
  <si>
    <t>Capital outlay</t>
  </si>
  <si>
    <t>Debt service:</t>
  </si>
  <si>
    <t>Principal</t>
  </si>
  <si>
    <t>Interest</t>
  </si>
  <si>
    <t>Bond issuance costs</t>
  </si>
  <si>
    <t>Advance refunding escrow</t>
  </si>
  <si>
    <t>Total expenditures</t>
  </si>
  <si>
    <t>Excess (deficiency) of revenues over expenditures</t>
  </si>
  <si>
    <t>OTHER FINANCING SOURCES (USES)</t>
  </si>
  <si>
    <t>Transfers from other funds</t>
  </si>
  <si>
    <t>Transfers to other funds</t>
  </si>
  <si>
    <t>Lease liabilities issued</t>
  </si>
  <si>
    <t>Refunding bonds issued</t>
  </si>
  <si>
    <t>Installment purchase obligations issued</t>
  </si>
  <si>
    <t>Payment to refunded bond escrow agent</t>
  </si>
  <si>
    <t>Sale of capital assets</t>
  </si>
  <si>
    <t>Total other financing sources and uses</t>
  </si>
  <si>
    <t>Net change in fund balance</t>
  </si>
  <si>
    <t>Fund balances, beginning, as previously reported</t>
  </si>
  <si>
    <t>Prior period restatement - change in accounting principle</t>
  </si>
  <si>
    <t>Fund balances, beginning</t>
  </si>
  <si>
    <t>Increase in inventory</t>
  </si>
  <si>
    <t>Fund balances, ending</t>
  </si>
  <si>
    <t>Exhibit 5</t>
  </si>
  <si>
    <t>Amounts reported for governmental activities in the statement of activities are</t>
  </si>
  <si>
    <t>different because:</t>
  </si>
  <si>
    <t>Net changes in fund balances - total governmental funds</t>
  </si>
  <si>
    <t>Change in fund balance due to change in reserve for inventory</t>
  </si>
  <si>
    <t>Some expenses reported in the statement of activities do not require the use of current financial resources and, therefore, are not reported as expenditures in governmental funds.</t>
  </si>
  <si>
    <t>Total changes in net position of governmental activities</t>
  </si>
  <si>
    <t>Exhibit 6</t>
  </si>
  <si>
    <t>Variance</t>
  </si>
  <si>
    <t>Original</t>
  </si>
  <si>
    <t>Final</t>
  </si>
  <si>
    <t>Budget</t>
  </si>
  <si>
    <t>Actual</t>
  </si>
  <si>
    <t>Revenues:</t>
  </si>
  <si>
    <t>Expenditures</t>
  </si>
  <si>
    <t>Principal retirement</t>
  </si>
  <si>
    <t>Interest and other charges</t>
  </si>
  <si>
    <t>Revenues over (under) expenditures</t>
  </si>
  <si>
    <t>Other financing sources (uses):</t>
  </si>
  <si>
    <t>Payment to refunding bond escrow agent</t>
  </si>
  <si>
    <t>Total other financing sources (uses)</t>
  </si>
  <si>
    <t xml:space="preserve"> Increase in inventory</t>
  </si>
  <si>
    <t>A legally budgeted Tax Revaluation Fund is consolidated into the General Fund  for reporting purposes:</t>
  </si>
  <si>
    <t xml:space="preserve">    Investment earnings</t>
  </si>
  <si>
    <t>Exhibit 7</t>
  </si>
  <si>
    <t>Proprietary Funds</t>
  </si>
  <si>
    <t>Landfill
Fund</t>
  </si>
  <si>
    <t>Water and
Sewer District No. 1</t>
  </si>
  <si>
    <t>Water and
Sewer District No. 2</t>
  </si>
  <si>
    <t>Current assets:</t>
  </si>
  <si>
    <t>Prepaids</t>
  </si>
  <si>
    <t>Total current assets</t>
  </si>
  <si>
    <t>Noncurrent assets:</t>
  </si>
  <si>
    <t>Land and construction in progress</t>
  </si>
  <si>
    <t>Total noncurrent assets</t>
  </si>
  <si>
    <t>Current liabilities:</t>
  </si>
  <si>
    <t>Accounts payable</t>
  </si>
  <si>
    <t>General obligation bonds payable</t>
  </si>
  <si>
    <t>Bond anticipation notes payable</t>
  </si>
  <si>
    <t>Total current liabilities</t>
  </si>
  <si>
    <t>Noncurrent liabilities:</t>
  </si>
  <si>
    <t>Liabilities payable from restricted
assets:</t>
  </si>
  <si>
    <t>Accrued landfill closure and
postclosure care costs</t>
  </si>
  <si>
    <t>Compensated absences</t>
  </si>
  <si>
    <t>Total noncurrent liabilities</t>
  </si>
  <si>
    <t xml:space="preserve">See City of Dogwood for an example of proprietary fund financial statement presentation when a unit has one or more internal service funds. </t>
  </si>
  <si>
    <t>Note to preparer:  The Water and Sewer District No. 2 came into existence in the current fiscal year; thus, the net pension and OPEB liability, deferrals, and pension expense, which are based on data from the prior fiscal year, have not been allocated to this fund.  Deferred outflows of resources for contributions made to the pension plan in the current fiscal year, however, have been allocated.</t>
  </si>
  <si>
    <t>Exhibit 8</t>
  </si>
  <si>
    <t>Statement of Revenues, Expenses, and Changes in Fund Net Position</t>
  </si>
  <si>
    <t>OPERATING REVENUES</t>
  </si>
  <si>
    <t>Charges for services</t>
  </si>
  <si>
    <t>Water and sewer taps</t>
  </si>
  <si>
    <t>Total operating revenues</t>
  </si>
  <si>
    <t>OPERATING EXPENSES</t>
  </si>
  <si>
    <t>Administration</t>
  </si>
  <si>
    <t>Finance</t>
  </si>
  <si>
    <t>Water treatment plant</t>
  </si>
  <si>
    <t>Raw water pump station</t>
  </si>
  <si>
    <t>Water distribution</t>
  </si>
  <si>
    <t>Sewage Collection</t>
  </si>
  <si>
    <t>Primary waste treatment</t>
  </si>
  <si>
    <t>Secondary waste treatment</t>
  </si>
  <si>
    <t>Maintenance</t>
  </si>
  <si>
    <t>Landfill operations</t>
  </si>
  <si>
    <t>Landfill closure and postclosure care costs</t>
  </si>
  <si>
    <t>Depreciation</t>
  </si>
  <si>
    <t>Total operating expenses</t>
  </si>
  <si>
    <t>Operating income (loss)</t>
  </si>
  <si>
    <t>NONOPERATING REVENUES (EXPENSES)</t>
  </si>
  <si>
    <t>Solid waste disposal tax</t>
  </si>
  <si>
    <t>Scrap tire disposal tax</t>
  </si>
  <si>
    <t>White goods disposal tax</t>
  </si>
  <si>
    <t>Interest and investment revenue</t>
  </si>
  <si>
    <t>Total nonoperating revenues (expenses)</t>
  </si>
  <si>
    <t>Income (loss) before contributions and transfers</t>
  </si>
  <si>
    <t>Capital contributions</t>
  </si>
  <si>
    <t>Exhibit 9</t>
  </si>
  <si>
    <t>Statement of Cash Flows</t>
  </si>
  <si>
    <t>Water</t>
  </si>
  <si>
    <t>and Sewer</t>
  </si>
  <si>
    <t>Fund</t>
  </si>
  <si>
    <t>District- No. 1</t>
  </si>
  <si>
    <t>District- No. 2</t>
  </si>
  <si>
    <t>Cash flows from operating activities:</t>
  </si>
  <si>
    <t>Cash received from customers</t>
  </si>
  <si>
    <t>Cash paid for goods and services</t>
  </si>
  <si>
    <t>Cash paid to employees for services</t>
  </si>
  <si>
    <t xml:space="preserve">Customer deposits received </t>
  </si>
  <si>
    <t xml:space="preserve">Customer deposits returned </t>
  </si>
  <si>
    <t>Other operating revenue</t>
  </si>
  <si>
    <t>Net cash provided by operating activities</t>
  </si>
  <si>
    <t>Transfers in</t>
  </si>
  <si>
    <t>Bond anticipation notes issued</t>
  </si>
  <si>
    <t>Capital contributions - federal grant</t>
  </si>
  <si>
    <t>Cash flows from investing activities:</t>
  </si>
  <si>
    <t>Interest on investments</t>
  </si>
  <si>
    <t>Cash and cash equivalents, beginning</t>
  </si>
  <si>
    <t>Cash and cash equivalents, ending</t>
  </si>
  <si>
    <t>(continued)</t>
  </si>
  <si>
    <t>Provision for uncollectible accounts</t>
  </si>
  <si>
    <t>Decrease in inventory</t>
  </si>
  <si>
    <t>(Increase) in deferred outflows of resources - pensions</t>
  </si>
  <si>
    <t>(Increase) in deferred outflows of resources - OPEB</t>
  </si>
  <si>
    <t>Increase in net pension liability</t>
  </si>
  <si>
    <t>(Decrease) in net OPEB liability</t>
  </si>
  <si>
    <t>Increase in deferred inflows of resources - OPEB</t>
  </si>
  <si>
    <t>Total adjustments</t>
  </si>
  <si>
    <t>Exhibit 10</t>
  </si>
  <si>
    <t>Statement of Fiduciary Net Position</t>
  </si>
  <si>
    <t>Fiduciary Funds</t>
  </si>
  <si>
    <t>Custodial Funds</t>
  </si>
  <si>
    <t>Taxes receivable for other governments, net</t>
  </si>
  <si>
    <t>Investments at fair value</t>
  </si>
  <si>
    <t>Domestic equities</t>
  </si>
  <si>
    <t>Fixed income</t>
  </si>
  <si>
    <t>Postemployment benefits other than pensions</t>
  </si>
  <si>
    <t>Individuals, organizations, and other governments</t>
  </si>
  <si>
    <t>Total fiduciary net position</t>
  </si>
  <si>
    <t>Exhibit 11</t>
  </si>
  <si>
    <t>Statement of Changes in Fiduciary Net Position</t>
  </si>
  <si>
    <t>ADDITIONS</t>
  </si>
  <si>
    <t>Employer contributions</t>
  </si>
  <si>
    <t>Investment income:</t>
  </si>
  <si>
    <t>Net appreciation (depreciation) in fair value of investments</t>
  </si>
  <si>
    <t>Interest and dividends</t>
  </si>
  <si>
    <t>Less investment expense</t>
  </si>
  <si>
    <t>Net investment earnings</t>
  </si>
  <si>
    <t>Ad valorem taxes collected for other governments</t>
  </si>
  <si>
    <t>Collections on behalf of inmates</t>
  </si>
  <si>
    <t>Total additions</t>
  </si>
  <si>
    <t>DEDUCTIONS</t>
  </si>
  <si>
    <t>Benefit payments</t>
  </si>
  <si>
    <t>Administrative expense</t>
  </si>
  <si>
    <t>Tax distributions to other governments</t>
  </si>
  <si>
    <t>Payments on behalf of inmates</t>
  </si>
  <si>
    <t>Total deductions</t>
  </si>
  <si>
    <t>Net increase (decrease) in fiduciary net position</t>
  </si>
  <si>
    <t>Net position - beginning, as previously reported</t>
  </si>
  <si>
    <t>Net position - ending</t>
  </si>
  <si>
    <t>This page left blank intentionally.</t>
  </si>
  <si>
    <t>Schedule of the County's Proportionate Share of the Net Pension Liability (Asset)</t>
  </si>
  <si>
    <t>Local Governmental Employees' Retirement System</t>
  </si>
  <si>
    <t>County's proportion of the net pension liability (asset) %</t>
  </si>
  <si>
    <t>County's proportionate share of the net pension liability (asset) $</t>
  </si>
  <si>
    <t>County's covered payroll</t>
  </si>
  <si>
    <t>County's proportionate share of the net pension liability (asset) as a percentage of its covered payroll</t>
  </si>
  <si>
    <t>Plan fiduciary net position as a percentage of the total pension liability</t>
  </si>
  <si>
    <r>
      <t>Note to preparer</t>
    </r>
    <r>
      <rPr>
        <sz val="11"/>
        <rFont val="Arial"/>
        <family val="2"/>
      </rPr>
      <t xml:space="preserve">: Units that report to ORBIT under more than one ORBIT account number should present RSI as a total of their ORBIT accounts.  </t>
    </r>
  </si>
  <si>
    <t>Schedule of County Contributions</t>
  </si>
  <si>
    <t>Contractually required contribution</t>
  </si>
  <si>
    <t xml:space="preserve">Contributions in relation to the contractually required contribution
</t>
  </si>
  <si>
    <t>Contribution deficiency (excess)</t>
  </si>
  <si>
    <t>Contributions as a percentage of covered payroll</t>
  </si>
  <si>
    <t>Schedule of the TDA's Proportionate Share of the Net Pension Liability (Asset)</t>
  </si>
  <si>
    <t>TDA's proportion of the net pension liability (asset) %</t>
  </si>
  <si>
    <t>TDA's proportionate share of the net pension liability (asset) $</t>
  </si>
  <si>
    <t>TDA's covered payroll</t>
  </si>
  <si>
    <t>TDA's proportionate share of the net pension liability (asset) as a percentage of its covered payroll</t>
  </si>
  <si>
    <t>Schedule of Tourism Development Authority Contributions</t>
  </si>
  <si>
    <t>Registers of Deeds' Supplemental Pension Fund</t>
  </si>
  <si>
    <t>Schedule of Changes in Total Pension Liability</t>
  </si>
  <si>
    <t xml:space="preserve">Law Enforcement Officers' Special Separation Allowance </t>
  </si>
  <si>
    <t>Beginning balance</t>
  </si>
  <si>
    <t>Service Cost</t>
  </si>
  <si>
    <t>Interest on the total pension liability</t>
  </si>
  <si>
    <t>Changes of benefit terms</t>
  </si>
  <si>
    <t>Differences between  expected and actual experience in the measurement of the total pension liability</t>
  </si>
  <si>
    <t>Changes of assumptions or other inputs</t>
  </si>
  <si>
    <t>Other changes</t>
  </si>
  <si>
    <t>Ending balance of the total pension liability</t>
  </si>
  <si>
    <t>The amounts presented for each fiscal year were determined as of the prior December 31.</t>
  </si>
  <si>
    <r>
      <rPr>
        <b/>
        <sz val="10"/>
        <rFont val="Arial"/>
        <family val="2"/>
      </rPr>
      <t>Note to preparer:</t>
    </r>
    <r>
      <rPr>
        <sz val="10"/>
        <rFont val="Arial"/>
        <family val="2"/>
      </rPr>
      <t xml:space="preserve">  All years for which information is available should be presented up until 10 years.  If your valuation report provides information from the prior year(s), present all prior years for which information has been provided to you.  </t>
    </r>
  </si>
  <si>
    <t>Schedule of Total Pension Liability as a Percentage of Covered Payroll</t>
  </si>
  <si>
    <t>Law Enforcement Officers' Special Separation Allowance</t>
  </si>
  <si>
    <t>Total pension liability</t>
  </si>
  <si>
    <t>Covered payroll</t>
  </si>
  <si>
    <t>Total pension liability as a percentage of covered payroll</t>
  </si>
  <si>
    <r>
      <rPr>
        <b/>
        <sz val="10"/>
        <rFont val="Arial"/>
        <family val="2"/>
      </rPr>
      <t>Note to preparer:</t>
    </r>
    <r>
      <rPr>
        <sz val="10"/>
        <rFont val="Arial"/>
        <family val="2"/>
      </rPr>
      <t xml:space="preserve">  All years for which information is available should be presented up to 10 years.  If your valuation report provides information from the prior year(s), present all prior years for which information has been provided to you.  </t>
    </r>
  </si>
  <si>
    <t>Schedule of Changes in the Net OPEB Liability and Related Ratios</t>
  </si>
  <si>
    <t xml:space="preserve">Healthcare Benefits Plan </t>
  </si>
  <si>
    <t>Service cost</t>
  </si>
  <si>
    <t>Differences between expected and actual experience</t>
  </si>
  <si>
    <t>Changes of assumptions</t>
  </si>
  <si>
    <t>Net change in total OPEB liability</t>
  </si>
  <si>
    <t>Total OPEB liability - beginning</t>
  </si>
  <si>
    <t xml:space="preserve">Total OPEB liability - ending </t>
  </si>
  <si>
    <t>Plan fiduciary net position</t>
  </si>
  <si>
    <t>Contributions - employer</t>
  </si>
  <si>
    <t>Net investment income</t>
  </si>
  <si>
    <t>Net change in plan fiduciary net position</t>
  </si>
  <si>
    <t>Plan fiduciary net position - beginning</t>
  </si>
  <si>
    <t>Plan fiduciary net position - ending</t>
  </si>
  <si>
    <t>County's net OPEB liability - ending</t>
  </si>
  <si>
    <t>Plan fiduciary net position as a percentage of the total OPEB liability</t>
  </si>
  <si>
    <t>Actuarially determined contribution</t>
  </si>
  <si>
    <t>Contributions in relation to the actuarially determined contribution</t>
  </si>
  <si>
    <r>
      <rPr>
        <b/>
        <sz val="10"/>
        <rFont val="Arial"/>
        <family val="2"/>
      </rPr>
      <t>Note to preparer</t>
    </r>
    <r>
      <rPr>
        <sz val="10"/>
        <rFont val="Arial"/>
        <family val="2"/>
      </rPr>
      <t>:  If contributions to an OPEB plan are NOT based on a measure of pay, no measure of payroll should be presented.  GASB 85, paragraph 13.</t>
    </r>
    <r>
      <rPr>
        <sz val="10"/>
        <rFont val="Arial"/>
        <family val="2"/>
      </rPr>
      <t xml:space="preserve"> All years for which information is available should be presented up to 10 years.</t>
    </r>
  </si>
  <si>
    <t xml:space="preserve">Actuarially determined contribution rates are calculated as of June 30, one year prior to the end of the fiscal year in which contributions are reported.  </t>
  </si>
  <si>
    <t>Methods and assumptions used to determine contribution rates:</t>
  </si>
  <si>
    <t>Actuarial cost method</t>
  </si>
  <si>
    <t>Entry age</t>
  </si>
  <si>
    <t>Amortization method</t>
  </si>
  <si>
    <t>Open 30-yr level pay</t>
  </si>
  <si>
    <t>Amortization period</t>
  </si>
  <si>
    <t>11.6 years</t>
  </si>
  <si>
    <t>Asset valuation method</t>
  </si>
  <si>
    <t>5-year smoothed market</t>
  </si>
  <si>
    <t>Inflation</t>
  </si>
  <si>
    <t>3.00 percent</t>
  </si>
  <si>
    <t>Healthcare cost trend rates</t>
  </si>
  <si>
    <t xml:space="preserve">6.5 percent initial, decreasing 0.3 percent each year to 4 percent </t>
  </si>
  <si>
    <t>Salary increases</t>
  </si>
  <si>
    <t>3.5 to 7.55 percent including inflation and productivity factor</t>
  </si>
  <si>
    <t>Investment rate of return</t>
  </si>
  <si>
    <t>7.0 percent, net of OPEB plan investment expense, including inflation</t>
  </si>
  <si>
    <t>Retirement age</t>
  </si>
  <si>
    <t>Mortality</t>
  </si>
  <si>
    <t>Annual money-weighted rate of return, net of investment expense</t>
  </si>
  <si>
    <t xml:space="preserve">Schedule of Revenues, Expenditures, and </t>
  </si>
  <si>
    <t>Changes in Fund Balances - Budget and Actual</t>
  </si>
  <si>
    <t xml:space="preserve"> Variance</t>
  </si>
  <si>
    <t>Ad valorem taxes:</t>
  </si>
  <si>
    <t>Taxes</t>
  </si>
  <si>
    <t xml:space="preserve">Total </t>
  </si>
  <si>
    <t>Local option sales taxes:</t>
  </si>
  <si>
    <t xml:space="preserve">Article 39 and 44 </t>
  </si>
  <si>
    <t>Article 40 one - half of one percent</t>
  </si>
  <si>
    <t>Article 42 one - half of one percent</t>
  </si>
  <si>
    <t>Article 46 one - quarter  of one percent</t>
  </si>
  <si>
    <t>Other taxes and licenses:</t>
  </si>
  <si>
    <t>Deed stamp excise tax</t>
  </si>
  <si>
    <t>Real estate transfer tax</t>
  </si>
  <si>
    <t>Unrestricted intergovernmental:</t>
  </si>
  <si>
    <t>Payments in lieu of taxes-outside sources</t>
  </si>
  <si>
    <t>ABC profit distribution</t>
  </si>
  <si>
    <t>Beer and wine tax</t>
  </si>
  <si>
    <t>Restricted intergovernmental:</t>
  </si>
  <si>
    <t>State grants</t>
  </si>
  <si>
    <t>Federal grants</t>
  </si>
  <si>
    <t>Controlled substance tax</t>
  </si>
  <si>
    <t>Court facility fees</t>
  </si>
  <si>
    <t>On-behalf payments Fire and Rescue</t>
  </si>
  <si>
    <t>ABC profits for law enforcement</t>
  </si>
  <si>
    <t>ABC bottles taxes</t>
  </si>
  <si>
    <t>Permits and fees:</t>
  </si>
  <si>
    <t>Building permits</t>
  </si>
  <si>
    <t>Inspection fees</t>
  </si>
  <si>
    <t>Register of deeds</t>
  </si>
  <si>
    <t>Business registration fee</t>
  </si>
  <si>
    <t/>
  </si>
  <si>
    <t>Sales and services:</t>
  </si>
  <si>
    <t>Rents, concessions, and fees</t>
  </si>
  <si>
    <t>Jail fees</t>
  </si>
  <si>
    <t>Ambulance and rescue squad fees</t>
  </si>
  <si>
    <t>Recreation fees</t>
  </si>
  <si>
    <t>Vehicle tax collection fees</t>
  </si>
  <si>
    <t>Miscellaneous:</t>
  </si>
  <si>
    <t>Sale of materials</t>
  </si>
  <si>
    <t>Special assessments</t>
  </si>
  <si>
    <t>Other</t>
  </si>
  <si>
    <t>Expenditures:</t>
  </si>
  <si>
    <t>General government:</t>
  </si>
  <si>
    <t>Governing body:</t>
  </si>
  <si>
    <t>Salaries and employee benefits</t>
  </si>
  <si>
    <t>Other operating expenditures</t>
  </si>
  <si>
    <t>Insurance other than property</t>
  </si>
  <si>
    <t>Administration:</t>
  </si>
  <si>
    <t>Elections:</t>
  </si>
  <si>
    <t>Finance:</t>
  </si>
  <si>
    <t>Tax mapping</t>
  </si>
  <si>
    <t>Legal:</t>
  </si>
  <si>
    <t>Contracted services</t>
  </si>
  <si>
    <t>Register of deeds:</t>
  </si>
  <si>
    <t>Public buildings:</t>
  </si>
  <si>
    <t>Court facilities:</t>
  </si>
  <si>
    <t>Central garage:</t>
  </si>
  <si>
    <t xml:space="preserve">    Total general government</t>
  </si>
  <si>
    <t>Public safety:</t>
  </si>
  <si>
    <t>Sheriff and communications:</t>
  </si>
  <si>
    <t>Jail:</t>
  </si>
  <si>
    <t>Emergency communications:</t>
  </si>
  <si>
    <t>Emergency management:</t>
  </si>
  <si>
    <t>Fire:</t>
  </si>
  <si>
    <t>Assistance to local fire departments</t>
  </si>
  <si>
    <t>Inspections:</t>
  </si>
  <si>
    <t>Rescue units:</t>
  </si>
  <si>
    <t>Assistance to local rescue units</t>
  </si>
  <si>
    <t>Animal control:</t>
  </si>
  <si>
    <t>Medical examiner:</t>
  </si>
  <si>
    <t xml:space="preserve">    Total public safety</t>
  </si>
  <si>
    <t>Transportation:</t>
  </si>
  <si>
    <t>Streets and highways:</t>
  </si>
  <si>
    <t>Contribution to regional airport</t>
  </si>
  <si>
    <t xml:space="preserve">    Total transportation</t>
  </si>
  <si>
    <t>Economic and physical development:</t>
  </si>
  <si>
    <t>Planning and zoning:</t>
  </si>
  <si>
    <t>Economic development:</t>
  </si>
  <si>
    <t>COG membership dues</t>
  </si>
  <si>
    <t>Community development:</t>
  </si>
  <si>
    <t>Agricultural extension:</t>
  </si>
  <si>
    <t>Special employment programs (JTPA):</t>
  </si>
  <si>
    <t xml:space="preserve">Training costs </t>
  </si>
  <si>
    <t>Support payments</t>
  </si>
  <si>
    <t>Soil and water conservation:</t>
  </si>
  <si>
    <t xml:space="preserve">    Total economic and physical</t>
  </si>
  <si>
    <t xml:space="preserve">     development</t>
  </si>
  <si>
    <t>Human services:</t>
  </si>
  <si>
    <t>Health:</t>
  </si>
  <si>
    <t xml:space="preserve">  Administration:</t>
  </si>
  <si>
    <t xml:space="preserve">  Health promotion:</t>
  </si>
  <si>
    <t xml:space="preserve">  Tuberculosis:</t>
  </si>
  <si>
    <t xml:space="preserve">  Home health:</t>
  </si>
  <si>
    <t xml:space="preserve">  Family planning:</t>
  </si>
  <si>
    <t xml:space="preserve">  Maternal and child health:</t>
  </si>
  <si>
    <t xml:space="preserve">  Women, infants, and children:</t>
  </si>
  <si>
    <t xml:space="preserve">  Environmental health:</t>
  </si>
  <si>
    <t xml:space="preserve">  Migrant health:</t>
  </si>
  <si>
    <t xml:space="preserve">  Total health</t>
  </si>
  <si>
    <t>Mental health:</t>
  </si>
  <si>
    <t>Carolina Area Mental Health</t>
  </si>
  <si>
    <t>Social services:</t>
  </si>
  <si>
    <t xml:space="preserve">  AFDC:</t>
  </si>
  <si>
    <t>Assistance payments</t>
  </si>
  <si>
    <t xml:space="preserve">  Medical assistance program:</t>
  </si>
  <si>
    <t xml:space="preserve">  Title III program:</t>
  </si>
  <si>
    <t xml:space="preserve">  Income maintenance programs:</t>
  </si>
  <si>
    <t xml:space="preserve">  Food stamp program:</t>
  </si>
  <si>
    <t xml:space="preserve">  Adult day care:</t>
  </si>
  <si>
    <t xml:space="preserve">  Child support enforcement:</t>
  </si>
  <si>
    <t xml:space="preserve">  Other assistance:</t>
  </si>
  <si>
    <t>Total social services</t>
  </si>
  <si>
    <t>Community based alternatives:</t>
  </si>
  <si>
    <t xml:space="preserve">Total community based </t>
  </si>
  <si>
    <t xml:space="preserve">  alternatives</t>
  </si>
  <si>
    <t>Veterans service officer:</t>
  </si>
  <si>
    <t>Total veterans service</t>
  </si>
  <si>
    <t xml:space="preserve">  officer</t>
  </si>
  <si>
    <t>Contribution to County Hospital</t>
  </si>
  <si>
    <t xml:space="preserve">    Total human services</t>
  </si>
  <si>
    <t>Cultural and recreational:</t>
  </si>
  <si>
    <t>Recreation:</t>
  </si>
  <si>
    <t>Libraries:</t>
  </si>
  <si>
    <t>Contribution to regional library</t>
  </si>
  <si>
    <t>Total culture and recreation</t>
  </si>
  <si>
    <t>Education:</t>
  </si>
  <si>
    <t>Public schools - local current expense</t>
  </si>
  <si>
    <t>Public schools - capital outlay</t>
  </si>
  <si>
    <t>Community colleges - local current expense</t>
  </si>
  <si>
    <t>Community colleges - capital outlay</t>
  </si>
  <si>
    <t>Total education</t>
  </si>
  <si>
    <t>Total debt service</t>
  </si>
  <si>
    <t xml:space="preserve">  Total expenditures</t>
  </si>
  <si>
    <t>Revenues over expenditures</t>
  </si>
  <si>
    <t>Transfers from other funds:</t>
  </si>
  <si>
    <t>School Capital Projects Fund</t>
  </si>
  <si>
    <t>Transfers to other funds:</t>
  </si>
  <si>
    <t>Tax Revaluation Fund</t>
  </si>
  <si>
    <t>Capital Reserve Fund</t>
  </si>
  <si>
    <t>Water and Sewer Fund District-No. 1</t>
  </si>
  <si>
    <t xml:space="preserve">    Total net transfers</t>
  </si>
  <si>
    <t>Total other financing</t>
  </si>
  <si>
    <t xml:space="preserve">  sources (uses)</t>
  </si>
  <si>
    <t>Fund balance, ending</t>
  </si>
  <si>
    <t>Tax listing</t>
  </si>
  <si>
    <t>Other financing sources:</t>
  </si>
  <si>
    <t>Appropriated fund balance</t>
  </si>
  <si>
    <t>Fund balance, beginning</t>
  </si>
  <si>
    <r>
      <rPr>
        <b/>
        <sz val="10"/>
        <rFont val="Arial"/>
        <family val="2"/>
      </rPr>
      <t>Note to Preparer</t>
    </r>
    <r>
      <rPr>
        <sz val="10"/>
        <rFont val="Arial"/>
        <family val="2"/>
      </rPr>
      <t xml:space="preserve">:  </t>
    </r>
    <r>
      <rPr>
        <sz val="10"/>
        <color indexed="8"/>
        <rFont val="Arial"/>
        <family val="2"/>
      </rPr>
      <t>The Tax Revaluation Fund is consolidated in the General Fund.  In this example the unit of government did not have the governing body obligate a specific revenue source to be used for the tax revaluation expenditures.  A unit of government that had their governing body approve a specific revenue source for this fund may classify the fund as a special revenue fund.  The fund balance of the Tax Revaluation Fund is classified as committed, in either fund, since the use of the funds cannot be changed without the majority vote of the governing board.  Money in the Tax Revaluation Fund is also classified as restricted assets because its use is restricted per North Carolina General Statute 153A-150.</t>
    </r>
  </si>
  <si>
    <t>Combining Balance Sheet</t>
  </si>
  <si>
    <t>Non-major Governmental Funds</t>
  </si>
  <si>
    <t>Special Revenue Funds</t>
  </si>
  <si>
    <t>Capital Projects Funds</t>
  </si>
  <si>
    <t>Emergency
Telephone
System
Fund</t>
  </si>
  <si>
    <t>Fire
District
Fund</t>
  </si>
  <si>
    <t>Representative Payee Fund</t>
  </si>
  <si>
    <t>Deed of Trust Fund</t>
  </si>
  <si>
    <t>Fines and Forfeitures Fund</t>
  </si>
  <si>
    <t>Opioid Settlement Fund</t>
  </si>
  <si>
    <t>Total Nonmajor Special Revenue Funds</t>
  </si>
  <si>
    <t>Northwest
Capital
Projects
Fund</t>
  </si>
  <si>
    <t>School
Capital
Projects
Fund</t>
  </si>
  <si>
    <t>Total Nonmajor Capital Projects Funds</t>
  </si>
  <si>
    <t xml:space="preserve">Total Nonmajor Governmental Funds </t>
  </si>
  <si>
    <t>Accounts receivable, net</t>
  </si>
  <si>
    <t>Taxes receivable, net</t>
  </si>
  <si>
    <t>Accounts payable and accrued
 liabilities</t>
  </si>
  <si>
    <t>Taxes receivable</t>
  </si>
  <si>
    <t>Total deferred inflows of resources</t>
  </si>
  <si>
    <t>Unassigned</t>
  </si>
  <si>
    <r>
      <t xml:space="preserve">Note to Preparer: </t>
    </r>
    <r>
      <rPr>
        <sz val="10"/>
        <color indexed="8"/>
        <rFont val="Arial"/>
        <family val="2"/>
      </rPr>
      <t>With implementation of GASB Statement No. 84, the Representative Payee Fund, Deed of Trust Fund and Fines and Forfeitures Funds were reclassed from Agency Funds to Special Revenue Funds.</t>
    </r>
  </si>
  <si>
    <t>Combining Statement of Revenues, Expenditures, and Changes in Fund Balance</t>
  </si>
  <si>
    <t xml:space="preserve">Total
Nonmajor Governmental Funds </t>
  </si>
  <si>
    <t>Net change in fund balances</t>
  </si>
  <si>
    <t>Emergency Telephone System Fund</t>
  </si>
  <si>
    <t xml:space="preserve">Statement of Revenues, Expenditures, and </t>
  </si>
  <si>
    <t>Implemental functions</t>
  </si>
  <si>
    <t>Telephone</t>
  </si>
  <si>
    <t>Software maintenance</t>
  </si>
  <si>
    <t>Hardware maintenance</t>
  </si>
  <si>
    <t>Training</t>
  </si>
  <si>
    <t>S.L. 2010-158 expenditures</t>
  </si>
  <si>
    <t>Fire District Fund</t>
  </si>
  <si>
    <t>Current year</t>
  </si>
  <si>
    <t>Prior year</t>
  </si>
  <si>
    <t>Fire District No. 1</t>
  </si>
  <si>
    <t>Fire District No. 2</t>
  </si>
  <si>
    <t>Fund balance, beginning, as previously reported</t>
  </si>
  <si>
    <t>State of North Carolina</t>
  </si>
  <si>
    <t>Health and Human Services</t>
  </si>
  <si>
    <t>Collaborative strategic planning</t>
  </si>
  <si>
    <t>Opioid addiction treatment</t>
  </si>
  <si>
    <t>Recovery support services</t>
  </si>
  <si>
    <t>Recovery housing</t>
  </si>
  <si>
    <t>Employment related services</t>
  </si>
  <si>
    <t>Early intervention</t>
  </si>
  <si>
    <t>Naloxone distribution</t>
  </si>
  <si>
    <t>Post-overdose response team</t>
  </si>
  <si>
    <t>Syringe service program</t>
  </si>
  <si>
    <t>Criminal justice diversion program</t>
  </si>
  <si>
    <t>Addiction treatment for incarcerated persons</t>
  </si>
  <si>
    <t>Reentry programs</t>
  </si>
  <si>
    <t>Northwest Capital Projects Fund</t>
  </si>
  <si>
    <t>Project Authorization</t>
  </si>
  <si>
    <t>Prior</t>
  </si>
  <si>
    <t>Current</t>
  </si>
  <si>
    <t>Total to</t>
  </si>
  <si>
    <t>Years</t>
  </si>
  <si>
    <t>Year</t>
  </si>
  <si>
    <t>Date</t>
  </si>
  <si>
    <t>Park Renovation:</t>
  </si>
  <si>
    <t>Contributions - XYZ Corp.</t>
  </si>
  <si>
    <t>Outdoor Theater:</t>
  </si>
  <si>
    <t>Network Switching Equipment</t>
  </si>
  <si>
    <t>911 Revenue Interest</t>
  </si>
  <si>
    <t>Capital outlay:</t>
  </si>
  <si>
    <t>Culture and recreation:</t>
  </si>
  <si>
    <t>Buildings</t>
  </si>
  <si>
    <t>Other  improvements</t>
  </si>
  <si>
    <t>Feasibility study</t>
  </si>
  <si>
    <t xml:space="preserve">      Total</t>
  </si>
  <si>
    <t>Revenues under expenditures</t>
  </si>
  <si>
    <t>General obligation bonds issued</t>
  </si>
  <si>
    <t>Total other financing sources</t>
  </si>
  <si>
    <t>Project</t>
  </si>
  <si>
    <t>Author-</t>
  </si>
  <si>
    <t>ization</t>
  </si>
  <si>
    <t>Public School Building</t>
  </si>
  <si>
    <t>Capital Fund</t>
  </si>
  <si>
    <t>Capital Fund - lottery</t>
  </si>
  <si>
    <t>Bond Act of 1996</t>
  </si>
  <si>
    <t>NC State Senior High</t>
  </si>
  <si>
    <t>Tar Heel Elementary</t>
  </si>
  <si>
    <t>Duke Elementary - lottery</t>
  </si>
  <si>
    <t>Duke Elementary</t>
  </si>
  <si>
    <t>Investment Earnings</t>
  </si>
  <si>
    <r>
      <t xml:space="preserve">Note to preparer:  </t>
    </r>
    <r>
      <rPr>
        <sz val="10"/>
        <color indexed="8"/>
        <rFont val="Arial"/>
        <family val="2"/>
      </rPr>
      <t xml:space="preserve">The unit's spending policy indicates that restricted funds are used before County funds for expenditures for this Capital Project Fund.  Based on this policy, the School Capital Projects Fund's  fund balance of $10,270 is derived from transfers in from the General Fund, which would be classified as assigned.  In other circumstances fund balance could be classified as Committed in Capital Project Funds.  Please review Memorandum #2010-35 for more information. </t>
    </r>
  </si>
  <si>
    <t>Transfers in:</t>
  </si>
  <si>
    <t>Transfers out:</t>
  </si>
  <si>
    <t>Capital Projects Fund</t>
  </si>
  <si>
    <t>sources (uses)</t>
  </si>
  <si>
    <t>Landfill Fund</t>
  </si>
  <si>
    <t>Schedule of Revenues and Expenditures</t>
  </si>
  <si>
    <t>Budget and Actual (Non - GAAP)</t>
  </si>
  <si>
    <t>Operating revenues:</t>
  </si>
  <si>
    <t>Charges for services:</t>
  </si>
  <si>
    <t>Solid waste charges</t>
  </si>
  <si>
    <t>Recycling</t>
  </si>
  <si>
    <t>Solid waste disposal fees</t>
  </si>
  <si>
    <t>Other operating revenues</t>
  </si>
  <si>
    <t>Nonoperating revenues:</t>
  </si>
  <si>
    <t>Landfill administration:</t>
  </si>
  <si>
    <t>Supplies</t>
  </si>
  <si>
    <t>Landfill operations:</t>
  </si>
  <si>
    <t>Repair and maintenance</t>
  </si>
  <si>
    <t>Solid waste disposal tax remittance</t>
  </si>
  <si>
    <t>Capital outlays</t>
  </si>
  <si>
    <t>Other financing uses:</t>
  </si>
  <si>
    <t>Landfill Closure and Postclosure</t>
  </si>
  <si>
    <t>Reserve Fund</t>
  </si>
  <si>
    <t>Revenues over expenditures and</t>
  </si>
  <si>
    <t>other uses</t>
  </si>
  <si>
    <t>Reconciliation from budgetary basis</t>
  </si>
  <si>
    <t>(modified accrual) to full accrual:</t>
  </si>
  <si>
    <t>Reconciling items:</t>
  </si>
  <si>
    <t xml:space="preserve">Increase in deferred outflows of resources  - pensions </t>
  </si>
  <si>
    <t xml:space="preserve">Increase in net pension liability </t>
  </si>
  <si>
    <t xml:space="preserve">Decrease in deferred inflows of resources - pensions </t>
  </si>
  <si>
    <t>Increase in deferred outflows of resources  - OPEB</t>
  </si>
  <si>
    <t>Decrease in net OPEB liability</t>
  </si>
  <si>
    <t>(Increase) in deferred inflows of resources - OPEB</t>
  </si>
  <si>
    <t>Transfer to Landfill Closure and Postclosure</t>
  </si>
  <si>
    <t>Total reconciling items</t>
  </si>
  <si>
    <t>Landfill Closure and Postclosure Reserve Fund</t>
  </si>
  <si>
    <t>Schedule of Revenues - Budget and Actual (Non - GAAP)</t>
  </si>
  <si>
    <t>Author -</t>
  </si>
  <si>
    <t xml:space="preserve">Current </t>
  </si>
  <si>
    <t>Landfill Operating Fund</t>
  </si>
  <si>
    <t>Revenues and other financing sources</t>
  </si>
  <si>
    <t>Water and Sewer District Fund No. 1</t>
  </si>
  <si>
    <t>Budget and Actual (Non-GAAP)</t>
  </si>
  <si>
    <t xml:space="preserve">   Water sales:</t>
  </si>
  <si>
    <t>Residential</t>
  </si>
  <si>
    <t>Commercial and industrial</t>
  </si>
  <si>
    <t xml:space="preserve">   Sewer charges:</t>
  </si>
  <si>
    <t xml:space="preserve">  Water and sewer taps</t>
  </si>
  <si>
    <t xml:space="preserve">  Other operating revenues</t>
  </si>
  <si>
    <t>Interest earnings</t>
  </si>
  <si>
    <t>Travel</t>
  </si>
  <si>
    <t>Insurance</t>
  </si>
  <si>
    <t>Water treatment plant:</t>
  </si>
  <si>
    <t>Chemicals</t>
  </si>
  <si>
    <t>Raw water pump station:</t>
  </si>
  <si>
    <t>Electric power</t>
  </si>
  <si>
    <t>Water distribution:</t>
  </si>
  <si>
    <t>Meter replacements</t>
  </si>
  <si>
    <t>Sewage collection:</t>
  </si>
  <si>
    <t>Primary waste treatment:</t>
  </si>
  <si>
    <t>Secondary waste treatment:</t>
  </si>
  <si>
    <t>Debt principal</t>
  </si>
  <si>
    <t>Water extensions</t>
  </si>
  <si>
    <t>Water taps</t>
  </si>
  <si>
    <t>Miscellaneous water</t>
  </si>
  <si>
    <t>Sewer extensions</t>
  </si>
  <si>
    <t>Sewer taps</t>
  </si>
  <si>
    <t>Miscellaneous sewer</t>
  </si>
  <si>
    <t xml:space="preserve">    over expenditures</t>
  </si>
  <si>
    <t>Capital contributions in Water and</t>
  </si>
  <si>
    <t xml:space="preserve">   Sewer Capital Project Fund No. 1</t>
  </si>
  <si>
    <t xml:space="preserve">Decrease in net pension asset </t>
  </si>
  <si>
    <t>Increase in deferred outflows of resources - OPEB</t>
  </si>
  <si>
    <t>(Increase) in bond interest accrued</t>
  </si>
  <si>
    <t>Interest income from Water and Sewer</t>
  </si>
  <si>
    <t xml:space="preserve">   Capital Project Fund No. 1</t>
  </si>
  <si>
    <t xml:space="preserve">      Interest costs</t>
  </si>
  <si>
    <t>Water and Sewer District  No.1 Capital Projects Fund</t>
  </si>
  <si>
    <t>Schedule of Revenues and Expenditures - Budget and Actual (Non - GAAP)</t>
  </si>
  <si>
    <t xml:space="preserve">Revenues - Water Project: </t>
  </si>
  <si>
    <t>Federal grant</t>
  </si>
  <si>
    <t>Revenues - Sewer Project:</t>
  </si>
  <si>
    <t>Expenditures - Water Project:</t>
  </si>
  <si>
    <t>Engineering</t>
  </si>
  <si>
    <t>Construction</t>
  </si>
  <si>
    <t>Expenditures - Sewer Project:</t>
  </si>
  <si>
    <t>Land</t>
  </si>
  <si>
    <t>Long-term debt issued</t>
  </si>
  <si>
    <t>BANS issued</t>
  </si>
  <si>
    <t xml:space="preserve">   sources</t>
  </si>
  <si>
    <t xml:space="preserve">   over (under) expenditures</t>
  </si>
  <si>
    <t>Water and Sewer District Fund No. 2</t>
  </si>
  <si>
    <t xml:space="preserve">  over expenditures</t>
  </si>
  <si>
    <t>(Increase) in net pension liability</t>
  </si>
  <si>
    <t xml:space="preserve">(Increase) in deferred inflows of resources - pensions </t>
  </si>
  <si>
    <t xml:space="preserve">Capital contributions in Water and </t>
  </si>
  <si>
    <t>Water and Sewer District No. 2 Capital Projects Fund</t>
  </si>
  <si>
    <t>Capital contribution</t>
  </si>
  <si>
    <t>Combining Statement of Fiduciary Net Position</t>
  </si>
  <si>
    <t>Pension Trust Funds</t>
  </si>
  <si>
    <t>Other Post-employment Benefits</t>
  </si>
  <si>
    <t>Assets</t>
  </si>
  <si>
    <t>Net position:</t>
  </si>
  <si>
    <t>Assets held in trust for pension benefits</t>
  </si>
  <si>
    <t>Combining Statement of Changes in Fiduciary Net Position</t>
  </si>
  <si>
    <t>Additions:</t>
  </si>
  <si>
    <t>Net appreciation (depreciation)</t>
  </si>
  <si>
    <t xml:space="preserve">  in fair value of investments</t>
  </si>
  <si>
    <t xml:space="preserve">   Net investment income</t>
  </si>
  <si>
    <t xml:space="preserve">   Total additions</t>
  </si>
  <si>
    <t>Deductions:</t>
  </si>
  <si>
    <t>Benefits</t>
  </si>
  <si>
    <t>Municipal Tax Fund</t>
  </si>
  <si>
    <t>Jail Inmate Pay Fund</t>
  </si>
  <si>
    <t>Total Custodial Funds</t>
  </si>
  <si>
    <t>Ad valorem taxes for other governments</t>
  </si>
  <si>
    <t>Discretely Presented Component Unit</t>
  </si>
  <si>
    <t>Supplemental Balance Sheet</t>
  </si>
  <si>
    <t>Accounts Receivables, net</t>
  </si>
  <si>
    <t xml:space="preserve">  Stabilization by State Statute</t>
  </si>
  <si>
    <t>Total liabilities and fund balances</t>
  </si>
  <si>
    <t>Amounts reported for the Carolina County Tourism Development Authority (Exhibit 1) are different because:</t>
  </si>
  <si>
    <t>Total Fund Balance, Tourism Development Authority</t>
  </si>
  <si>
    <t>Long-term liabilities used in governmental activities are not financial uses and therefore are not reported in the funds</t>
  </si>
  <si>
    <t>Deferred outflows of resources related to pensions are not reported in the funds</t>
  </si>
  <si>
    <t>Deferred inflows of resources related to pensions are not reported in the funds</t>
  </si>
  <si>
    <t>Other long-term liabilities (compensated absences) are not due and payable in the current period and therefore are not reported in the funds.</t>
  </si>
  <si>
    <t>Net position of the Tourism Development Authority</t>
  </si>
  <si>
    <t>Note: This is a discretely presented component unit that does not issue separate financial statements.</t>
  </si>
  <si>
    <t>Supplemental Statement of Revenues, Expenditures, and Changes in Fund Balance</t>
  </si>
  <si>
    <t>Occupancy taxes</t>
  </si>
  <si>
    <t>Grants</t>
  </si>
  <si>
    <t>Event expenditures</t>
  </si>
  <si>
    <t xml:space="preserve">Supplemental Statement of Revenues, Expenditures and Changes in Fund Balance - </t>
  </si>
  <si>
    <t xml:space="preserve">Budget and Actual </t>
  </si>
  <si>
    <t xml:space="preserve">Revenues and Appropriated Fund Balance </t>
  </si>
  <si>
    <t>Over (Under) Expenditures</t>
  </si>
  <si>
    <t>Schedule of Ad Valorem Taxes Receivable</t>
  </si>
  <si>
    <t>Uncollected</t>
  </si>
  <si>
    <t>Beginning</t>
  </si>
  <si>
    <t>Collections</t>
  </si>
  <si>
    <t>Ending</t>
  </si>
  <si>
    <t>Fiscal Year</t>
  </si>
  <si>
    <t xml:space="preserve">  Balance</t>
  </si>
  <si>
    <t>Additions</t>
  </si>
  <si>
    <t>And Credits</t>
  </si>
  <si>
    <t>(a)</t>
  </si>
  <si>
    <t>(b)</t>
  </si>
  <si>
    <t>(c)</t>
  </si>
  <si>
    <t>(d)</t>
  </si>
  <si>
    <t>Less:  allowance for uncollectible accounts:</t>
  </si>
  <si>
    <t xml:space="preserve">    General Fund</t>
  </si>
  <si>
    <t>Ad valorem taxes receivable - net:</t>
  </si>
  <si>
    <t>Reconciliation with revenues:</t>
  </si>
  <si>
    <t>Ad valorem taxes - General Fund</t>
  </si>
  <si>
    <t>Penalties collected on ad valorem taxes - Fines &amp; Forfeitures Fund</t>
  </si>
  <si>
    <t xml:space="preserve">Collections </t>
  </si>
  <si>
    <t xml:space="preserve">    Reconciling items:</t>
  </si>
  <si>
    <t xml:space="preserve">        Interest Collected</t>
  </si>
  <si>
    <t xml:space="preserve">        Rebates, releases and discounts</t>
  </si>
  <si>
    <t xml:space="preserve">        Taxes written off </t>
  </si>
  <si>
    <t xml:space="preserve">            Total reconciling items</t>
  </si>
  <si>
    <t>Total collections and credits</t>
  </si>
  <si>
    <r>
      <t xml:space="preserve">Note to preparer:  </t>
    </r>
    <r>
      <rPr>
        <sz val="10"/>
        <color indexed="8"/>
        <rFont val="Arial"/>
        <family val="2"/>
      </rPr>
      <t>The lowercase letters next to certain amounts on the Analysis of Current Tax Levy and in the above schedule show the relationships of taxes levied, taxes collected, and uncollected taxes on both schedules.</t>
    </r>
  </si>
  <si>
    <t xml:space="preserve">The interest collected shown on the above reconciliation of revenues should agree with the interest amounts reported in the General Fund's detailed Schedule of Revenues, Expenditures, and Changes in Fund Balances - Budget to Actual. </t>
  </si>
  <si>
    <r>
      <t>For budget purposes interest, discovery/"late listing" penalties, service fees, advertising fees and other costs are not principal tax and should be excluded from the collection percentage calculation.  Please refer to Budgets and Tax Collection Percentage (</t>
    </r>
    <r>
      <rPr>
        <u/>
        <sz val="10"/>
        <color indexed="8"/>
        <rFont val="Arial"/>
        <family val="2"/>
      </rPr>
      <t>http://canons.sog.unc.edu/?p=6483</t>
    </r>
    <r>
      <rPr>
        <sz val="10"/>
        <color indexed="8"/>
        <rFont val="Arial"/>
        <family val="2"/>
      </rPr>
      <t>) and Budgeting Under "Tag &amp;Tax Together" (https://canons.sog.unc.edu/budgeting-under-tag-tax-together/ )</t>
    </r>
    <r>
      <rPr>
        <sz val="11"/>
        <color indexed="8"/>
        <rFont val="Arial"/>
        <family val="2"/>
      </rPr>
      <t xml:space="preserve"> </t>
    </r>
    <r>
      <rPr>
        <sz val="10"/>
        <color indexed="8"/>
        <rFont val="Arial"/>
        <family val="2"/>
      </rPr>
      <t xml:space="preserve">by Chris McLaughlin from the School of Government at UNC Chapel-Hill for more information on tax collection percentages.  </t>
    </r>
  </si>
  <si>
    <t>Analysis of Current Tax Levy</t>
  </si>
  <si>
    <t>Total Levy</t>
  </si>
  <si>
    <t>Property</t>
  </si>
  <si>
    <t>excluding</t>
  </si>
  <si>
    <t>Registered</t>
  </si>
  <si>
    <t>Amount</t>
  </si>
  <si>
    <t>Motor</t>
  </si>
  <si>
    <t>Valuation</t>
  </si>
  <si>
    <t>Rate</t>
  </si>
  <si>
    <t>of Levy</t>
  </si>
  <si>
    <t>Vehicles</t>
  </si>
  <si>
    <t>Original levy:</t>
  </si>
  <si>
    <t>Property taxed at current</t>
  </si>
  <si>
    <t xml:space="preserve">  year's rate</t>
  </si>
  <si>
    <t>Penalties</t>
  </si>
  <si>
    <t>Discoveries:</t>
  </si>
  <si>
    <t>Current year taxes</t>
  </si>
  <si>
    <t>Prior year taxes</t>
  </si>
  <si>
    <t>Releases</t>
  </si>
  <si>
    <t>Total property valuation</t>
  </si>
  <si>
    <t>Net levy</t>
  </si>
  <si>
    <t>Current year's taxes collected</t>
  </si>
  <si>
    <t>Current levy collection percentage</t>
  </si>
  <si>
    <r>
      <t xml:space="preserve">Note to preparer: </t>
    </r>
    <r>
      <rPr>
        <sz val="10"/>
        <color indexed="8"/>
        <rFont val="Arial"/>
        <family val="2"/>
      </rPr>
      <t xml:space="preserve">See note on the Schedule of Ad Valorem Taxes Receivable.   The lower case letters (a), (b), and (c) next to certain amounts on both schedules show the relationships of the taxes levied, taxes collected and uncollected taxes.  </t>
    </r>
  </si>
  <si>
    <r>
      <rPr>
        <b/>
        <sz val="10"/>
        <rFont val="Arial"/>
        <family val="2"/>
      </rPr>
      <t>Note to preparer</t>
    </r>
    <r>
      <rPr>
        <sz val="10"/>
        <rFont val="Arial"/>
        <family val="2"/>
      </rPr>
      <t xml:space="preserve">: Current year's taxes collected for motor vehicles should </t>
    </r>
    <r>
      <rPr>
        <b/>
        <sz val="10"/>
        <rFont val="Arial"/>
        <family val="2"/>
      </rPr>
      <t>not</t>
    </r>
    <r>
      <rPr>
        <sz val="10"/>
        <rFont val="Arial"/>
        <family val="2"/>
      </rPr>
      <t xml:space="preserve"> be presented net of any administrative fees charges by the State.  The number appearing in this schedule for current year's taxes collected should be the gross revenues collected.  </t>
    </r>
  </si>
  <si>
    <t>Assessed Valuation:</t>
  </si>
  <si>
    <t xml:space="preserve">Assessment Ratio¹    </t>
  </si>
  <si>
    <t>Real Property</t>
  </si>
  <si>
    <t>Personal Property</t>
  </si>
  <si>
    <t>Public Service Companies²</t>
  </si>
  <si>
    <t>Total Assessed Valuation</t>
  </si>
  <si>
    <t>Tax Rate per $100</t>
  </si>
  <si>
    <t xml:space="preserve">In addition to the County-wide rate, the following table lists the levies by the County on behalf of fire protection districts for the fiscal year ended June 30:
</t>
  </si>
  <si>
    <t>Fire Protection Districts</t>
  </si>
  <si>
    <t>Ten Largest Taxpayers</t>
  </si>
  <si>
    <t>Assessed</t>
  </si>
  <si>
    <t>Total Assessed</t>
  </si>
  <si>
    <t>Taxpayer</t>
  </si>
  <si>
    <t>Type of Business</t>
  </si>
  <si>
    <t>Tar Heel Power Company</t>
  </si>
  <si>
    <t>Utility</t>
  </si>
  <si>
    <t>Tobacco Processors, Inc.</t>
  </si>
  <si>
    <t>Agricultural Processor</t>
  </si>
  <si>
    <t>County Telephone Company</t>
  </si>
  <si>
    <t>Heavy Machines, Inc.</t>
  </si>
  <si>
    <t>Manufacturing</t>
  </si>
  <si>
    <t>Carolina Savings Association</t>
  </si>
  <si>
    <t>Financial Service</t>
  </si>
  <si>
    <t>Western, Inc.</t>
  </si>
  <si>
    <t>Electronic Manufacturing</t>
  </si>
  <si>
    <t>Piedmont Real Estate</t>
  </si>
  <si>
    <t>Commercial Real Estate</t>
  </si>
  <si>
    <t>Data, Inc.</t>
  </si>
  <si>
    <t>North Carolina Associates</t>
  </si>
  <si>
    <t>Property Management</t>
  </si>
  <si>
    <t>Mountain Corporation</t>
  </si>
  <si>
    <t>Emergency Telephone System Unspent Balance</t>
  </si>
  <si>
    <t xml:space="preserve">PSAP Reconciliation </t>
  </si>
  <si>
    <t>Amounts reported on the Emergency Telephone System Fund budget to actual (35-J-131) are different from the PSAP Revenue-Expenditure Report because:</t>
  </si>
  <si>
    <t>Net Change in Fund Balance, reported on Budget to Actual</t>
  </si>
  <si>
    <t>A portion of 911 Revenue received not reported on budget to actual</t>
  </si>
  <si>
    <t>Interest reported in Northwest Capital Projects Fund</t>
  </si>
  <si>
    <t>Eligible 911 expenditures reported in Northwest Capital Projects Fund</t>
  </si>
  <si>
    <t xml:space="preserve">   Ineligible 911 expenditures reported in Emergency Telephone System Fund</t>
  </si>
  <si>
    <t>Beginning Balance, PSAP Revenue-Expenditure Report***</t>
  </si>
  <si>
    <t>Ending Balance, PSAP Revenue-Expenditure Report***</t>
  </si>
  <si>
    <t>***Amounts should tie to PSAP Revenue-Expenditure Report.  In this example, Carolina County transferred money out of the Emergency Telephone System Fund to a Capital Project Fund.   If your unit of government reports any ineligible and/or partial expenditure claims listed on the Emergency Telephone System Fund Budget to Actual report (included in the audit report) please use this form to explain those expenditures.</t>
  </si>
  <si>
    <r>
      <t xml:space="preserve">Note to Preparer:  </t>
    </r>
    <r>
      <rPr>
        <sz val="10"/>
        <color indexed="8"/>
        <rFont val="Arial"/>
        <family val="2"/>
      </rPr>
      <t xml:space="preserve">The above schedule  can be submitted as supplemental information in the audit report or as a separate schedule not included in the report.  Information provided in this schedule is provided to the State 911 board to  assist in expenditure tracking.  The schedule above should reconcile the  amounts listed on the Budget to Actual report (page 35-J-131) to the PSAP Revenue-Expenditure Report submitted to the  State 911 board.  </t>
    </r>
  </si>
  <si>
    <r>
      <t>Note to Preparer:</t>
    </r>
    <r>
      <rPr>
        <sz val="10"/>
        <color indexed="8"/>
        <rFont val="Arial"/>
        <family val="2"/>
      </rPr>
      <t xml:space="preserve">  In 2008, the State assumed the responsibility for charging and administering the 911 funds under the new State 911 Board.  Session Law 2007-383 became effective January 1, 2008.  Any unspent Local land telephone 911 fees should have been transferred into the General Fund for any lawful purpose during the 2007-2008 fiscal year.  See Memoranda #2011-7, 2010-14, 1105, and 1091 for additional information.  It is recommended that any reimbursement for ineligible expenditures made in the prior fiscal year should be presented as a transfer into the Emergency Telephone System Fund.  </t>
    </r>
  </si>
  <si>
    <t>GASB 34 CALCULATION OF MAJOR FUNDS</t>
  </si>
  <si>
    <t xml:space="preserve">Note: Revenue includes operating and nonoperating but not other financing sources. Amounts should be taken from the fund statements instead of the government-wide. </t>
  </si>
  <si>
    <r>
      <t>Computes "</t>
    </r>
    <r>
      <rPr>
        <b/>
        <sz val="8"/>
        <rFont val="Arial"/>
        <family val="2"/>
      </rPr>
      <t>X</t>
    </r>
    <r>
      <rPr>
        <sz val="8"/>
        <rFont val="Arial"/>
        <family val="2"/>
      </rPr>
      <t>" if Meets</t>
    </r>
  </si>
  <si>
    <r>
      <t>Computes "</t>
    </r>
    <r>
      <rPr>
        <b/>
        <sz val="8"/>
        <rFont val="Arial"/>
        <family val="2"/>
      </rPr>
      <t>MAJOR</t>
    </r>
    <r>
      <rPr>
        <sz val="8"/>
        <rFont val="Arial"/>
        <family val="2"/>
      </rPr>
      <t>" if Fund is Major</t>
    </r>
  </si>
  <si>
    <r>
      <t>If a "Category" Has an "</t>
    </r>
    <r>
      <rPr>
        <b/>
        <sz val="8"/>
        <rFont val="Arial"/>
        <family val="2"/>
      </rPr>
      <t>X</t>
    </r>
    <r>
      <rPr>
        <sz val="8"/>
        <rFont val="Arial"/>
        <family val="2"/>
      </rPr>
      <t>" in Both</t>
    </r>
  </si>
  <si>
    <t>Type of Fund</t>
  </si>
  <si>
    <t>Assets and Deferred Outflows</t>
  </si>
  <si>
    <t>10% Rule</t>
  </si>
  <si>
    <t>5% Rule</t>
  </si>
  <si>
    <t>Liabilities and Deferred Inflows</t>
  </si>
  <si>
    <t>Revenue</t>
  </si>
  <si>
    <t>Expenditures/Expenses</t>
  </si>
  <si>
    <t>Columns, Then Fund is a Major Fund</t>
  </si>
  <si>
    <t>General Fund (consolidated)</t>
  </si>
  <si>
    <t>N/A</t>
  </si>
  <si>
    <t>YES, ALWAYS MAJOR</t>
  </si>
  <si>
    <t>Special Revenue Funds:</t>
  </si>
  <si>
    <t>Capital Projects Funds:</t>
  </si>
  <si>
    <t>Northwest Park Capital Projects Fund</t>
  </si>
  <si>
    <t>School Capital Projects Fund (consolidated)</t>
  </si>
  <si>
    <t>Total Governmental Funds</t>
  </si>
  <si>
    <t>10 % of Total Governmental Funds</t>
  </si>
  <si>
    <t>Enterprise Funds:</t>
  </si>
  <si>
    <t>Water and Sewer District- No. 1</t>
  </si>
  <si>
    <t>Water and Sewer District- No. 2</t>
  </si>
  <si>
    <t>Total Enterprise Funds</t>
  </si>
  <si>
    <t>10% of Total Enterprise Funds</t>
  </si>
  <si>
    <t>Total Governmental &amp; Enterprise Funds</t>
  </si>
  <si>
    <t>5% of Total Governmental &amp; Enterprise Funds</t>
  </si>
  <si>
    <t>Budgeted Expenditures</t>
  </si>
  <si>
    <t>8% FB Policy</t>
  </si>
  <si>
    <t>Working Capital/ FB Policy</t>
  </si>
  <si>
    <t>Total Fund Balance</t>
  </si>
  <si>
    <t>Stab SS</t>
  </si>
  <si>
    <t>Approp FB 2019</t>
  </si>
  <si>
    <t>LEO</t>
  </si>
  <si>
    <t>Working Capital/ FB</t>
  </si>
  <si>
    <t>Remaining FB</t>
  </si>
  <si>
    <t>Beaufort County</t>
  </si>
  <si>
    <t>Louisburg ABC Board</t>
  </si>
  <si>
    <t>Granville County Hospital</t>
  </si>
  <si>
    <t xml:space="preserve">          ARP </t>
  </si>
  <si>
    <t>Opioid</t>
  </si>
  <si>
    <t>General Government</t>
  </si>
  <si>
    <t>Authorization</t>
  </si>
  <si>
    <t>American Rescue Plan Fund</t>
  </si>
  <si>
    <t>Project Funds:</t>
  </si>
  <si>
    <t>Unearned revenues</t>
  </si>
  <si>
    <t>RECOMMENDED MAJOR</t>
  </si>
  <si>
    <t xml:space="preserve">Financial Highlights </t>
  </si>
  <si>
    <t>GWSTmtAct 68 cell H45</t>
  </si>
  <si>
    <t>GWNetPOS68 Cell D55</t>
  </si>
  <si>
    <r>
      <t> </t>
    </r>
    <r>
      <rPr>
        <sz val="10"/>
        <rFont val="Arial"/>
        <family val="2"/>
      </rPr>
      <t>GWNetPOS68 Cell D55</t>
    </r>
  </si>
  <si>
    <r>
      <t> </t>
    </r>
    <r>
      <rPr>
        <sz val="10"/>
        <rFont val="Arial"/>
        <family val="2"/>
      </rPr>
      <t>GWSTmtAct 68 cell H45</t>
    </r>
  </si>
  <si>
    <r>
      <t> </t>
    </r>
    <r>
      <rPr>
        <sz val="10"/>
        <rFont val="Arial"/>
        <family val="2"/>
      </rPr>
      <t>Rev, exp, chgs in fb Cell D55</t>
    </r>
  </si>
  <si>
    <r>
      <t> </t>
    </r>
    <r>
      <rPr>
        <sz val="10"/>
        <rFont val="Arial"/>
        <family val="2"/>
      </rPr>
      <t>Rev, exp, chgs in fb Cell D50</t>
    </r>
  </si>
  <si>
    <r>
      <t> </t>
    </r>
    <r>
      <rPr>
        <sz val="10"/>
        <rFont val="Arial"/>
        <family val="2"/>
      </rPr>
      <t>Balance Sheet Cell D48</t>
    </r>
  </si>
  <si>
    <r>
      <rPr>
        <sz val="7"/>
        <rFont val="Arial"/>
        <family val="2"/>
      </rPr>
      <t xml:space="preserve"> </t>
    </r>
    <r>
      <rPr>
        <sz val="11"/>
        <rFont val="Arial"/>
        <family val="2"/>
      </rPr>
      <t>The assets and deferred outflows of resources of Carolina County exceeded its liabilities and deferred inflows of resources at the close of the fiscal year by</t>
    </r>
  </si>
  <si>
    <t xml:space="preserve">The government’s total net position increased by </t>
  </si>
  <si>
    <t xml:space="preserve"> , after a net increase in fund balance of </t>
  </si>
  <si>
    <t>As of the close of the current fiscal year, Carolina County’s governmental funds reported combined ending fund balances of</t>
  </si>
  <si>
    <t xml:space="preserve"> Approximately XX.X% of this total amount,</t>
  </si>
  <si>
    <t xml:space="preserve">or $X,XXX,XXX is restricted or non-spendable.  </t>
  </si>
  <si>
    <t xml:space="preserve">or X.XX% of total general fund expenditures and transfers out for the fiscal year. </t>
  </si>
  <si>
    <r>
      <rPr>
        <sz val="7"/>
        <rFont val="Arial"/>
        <family val="2"/>
      </rPr>
      <t xml:space="preserve"> </t>
    </r>
    <r>
      <rPr>
        <sz val="11"/>
        <rFont val="Arial"/>
        <family val="2"/>
      </rPr>
      <t>At the end of the current fiscal year, unassigned fund balance for the General Fund was $X,XXX,XXX</t>
    </r>
  </si>
  <si>
    <t>=+'Balance Sheet'!D35+'Balance Sheet'!D36+'Balance Sheet'!D37+'Balance Sheet'!D38+'Balance Sheet'!D39+'Balance Sheet'!D42+'Balance Sheet'!D32+'Balance Sheet'!D33</t>
  </si>
  <si>
    <r>
      <t> </t>
    </r>
    <r>
      <rPr>
        <sz val="10"/>
        <rFont val="Arial"/>
        <family val="2"/>
      </rPr>
      <t>Balance Sheet Cell D50</t>
    </r>
  </si>
  <si>
    <t>=+'Balance Sheet'!D50/('Rev, exp, chgs in fb'!D37-'Rev, exp, chgs in fb'!D42)</t>
  </si>
  <si>
    <r>
      <t>  </t>
    </r>
    <r>
      <rPr>
        <sz val="10"/>
        <rFont val="Times New Roman"/>
        <family val="1"/>
      </rPr>
      <t>GWStmtAct 68 cell H51, confirm after trying everything out</t>
    </r>
  </si>
  <si>
    <t>An additional portion of Carolina County’s net position $6,843,773</t>
  </si>
  <si>
    <r>
      <t>As noted earlier, net position may serve over time as one useful indicator of a government’s financial condition.  The County’s assets and deferred outflows of resources exceeded its liabilities and deferred inflows of resources by $XX,XXX,XXX</t>
    </r>
    <r>
      <rPr>
        <sz val="8"/>
        <rFont val="Times New Roman"/>
        <family val="1"/>
      </rPr>
      <t> </t>
    </r>
    <r>
      <rPr>
        <sz val="11"/>
        <rFont val="Century Schoolbook"/>
        <family val="1"/>
      </rPr>
      <t xml:space="preserve"> </t>
    </r>
  </si>
  <si>
    <t xml:space="preserve">One of the largest portions $XX,XXX,XXX reflects the County’s net investment in capital assets (e.g., land, buildings, machinery, and equipment).  </t>
  </si>
  <si>
    <t>The County’s net position increased by $XXX,XXX</t>
  </si>
  <si>
    <t>IT subscription agreement</t>
  </si>
  <si>
    <t>Some liabilities, including bonds payable and accrued interest, are not due and payable in the current period and therefore are not reported in the funds.</t>
  </si>
  <si>
    <t>Contributions to LGERS in the current fiscal year are deferred outflows of resources on the Statement of Net Position</t>
  </si>
  <si>
    <t>Contributions to ROD in the current fiscal year are deferred outflows of resources on the Statement of Net Position</t>
  </si>
  <si>
    <t>Net pension liability (LGERS)</t>
  </si>
  <si>
    <t>Net pension asset (ROD)</t>
  </si>
  <si>
    <t>Pension related deferrals, net</t>
  </si>
  <si>
    <t>IT subscriptions</t>
  </si>
  <si>
    <t>In the 2021 actuarial valuation, RP-2014 Healthy Annuitant Mortality Table for males and females, adjusted for Collar for some Participants, further adjusted with scaling factors varying before and after age 78, and projected for mortality improvement using Scale MP-2015</t>
  </si>
  <si>
    <t xml:space="preserve">In the 2021 actuarial valuation, assumed life expectancies were adjusted as a result of adopting the RP-2014 Employee table.  In prior years, those assumptions were based on the 1994 Group Annuity Mortality Table.  </t>
  </si>
  <si>
    <r>
      <rPr>
        <b/>
        <sz val="10"/>
        <rFont val="Arial"/>
        <family val="2"/>
      </rPr>
      <t>Note to preparer</t>
    </r>
    <r>
      <rPr>
        <sz val="10"/>
        <rFont val="Arial"/>
        <family val="2"/>
      </rPr>
      <t>: Counties that do not have eligible fire or rescue squad workers will not have a line item for on behalf payments made for fringe benefits and salaries.</t>
    </r>
  </si>
  <si>
    <t>Opioid settlement funds</t>
  </si>
  <si>
    <t>Health and human services</t>
  </si>
  <si>
    <t>Opioid settlement receivables</t>
  </si>
  <si>
    <t>Opioid settlement</t>
  </si>
  <si>
    <t>Restricted opioid receivables, net</t>
  </si>
  <si>
    <t>ARPA</t>
  </si>
  <si>
    <t>Opioid Settlment Fund</t>
  </si>
  <si>
    <t>ROD</t>
  </si>
  <si>
    <t>LGERS</t>
  </si>
  <si>
    <t>LEOSSA</t>
  </si>
  <si>
    <t>OPEB</t>
  </si>
  <si>
    <t>Contributions and administration costs for postemployment benefit plans are deferred outflows of resources on the Statement of Net Position:</t>
  </si>
  <si>
    <t>Difference between expenditures of governmental funds and expenses of governmental activities, decrease in accrued interest payable $19,163 and funds on hand included to refund debt $15,000, but reported as a deferred outflow of resources in the government-wide financial statements.</t>
  </si>
  <si>
    <t>Statement of Revenues, Expenditures, and Changes in Fund Balance - Budget and Actual</t>
  </si>
  <si>
    <t>Actual Amounts</t>
  </si>
  <si>
    <t>Fund balance appropriated</t>
  </si>
  <si>
    <t>Fund balances, beginning as previously</t>
  </si>
  <si>
    <t>reported</t>
  </si>
  <si>
    <t>Prior period adjustment</t>
  </si>
  <si>
    <t>Opioid Settlement funds</t>
  </si>
  <si>
    <t xml:space="preserve">Fund balances, beginning </t>
  </si>
  <si>
    <t>Net position - beginning</t>
  </si>
  <si>
    <t xml:space="preserve">    Right to use assets, net of amortization</t>
  </si>
  <si>
    <t>June 30, 2025</t>
  </si>
  <si>
    <t>For the Year Ended June 30, 2025</t>
  </si>
  <si>
    <t>This schedule is intended to show 10 years of information, additional years’ information will be displayed as it becomes available.</t>
  </si>
  <si>
    <t>The amounts presented for each fiscal year were determined as of the prior fiscal year ending June 30.</t>
  </si>
  <si>
    <t>Notes to the schedule:</t>
  </si>
  <si>
    <t xml:space="preserve">Plan measurement date is the reporting date.  Employer measurement date is one year prior to reporting date.  </t>
  </si>
  <si>
    <t>Valuation date</t>
  </si>
  <si>
    <t>From Inception and for the Fiscal Year Ended June 30, 2025</t>
  </si>
  <si>
    <t>Secondary Market Disclosure</t>
  </si>
  <si>
    <t>Levy (including discoveries, releases, and abatements)³</t>
  </si>
  <si>
    <t>Tax Year</t>
  </si>
  <si>
    <t>Countywide Levy</t>
  </si>
  <si>
    <t>* Amounts paid to the State by the taxpayer for registered motor vehicles but not remitted to the County should be counted as collected for purposes of this schedule and not included in "Unpaid (by taxpayer)" amount.</t>
  </si>
  <si>
    <t>*</t>
  </si>
  <si>
    <t>Uncollected taxes at June 30, 2025</t>
  </si>
  <si>
    <r>
      <t xml:space="preserve">For budget purposes interest, discovery/"late listing" penalties, service fees, advertising fees and other costs are not principal tax and should be excluded form the collection percentage calculation.  Please refer to Budgets and Tax Collection Percentage at https://canons.sog.unc.edu/2012/03/budgets-and-the-tax-collection-percentage/ </t>
    </r>
    <r>
      <rPr>
        <sz val="10"/>
        <color indexed="8"/>
        <rFont val="Arial"/>
        <family val="2"/>
      </rPr>
      <t xml:space="preserve">by Chris McLaughlin from the School of Government at UNC Chapel-Hill for more information on tax collection percentages.  </t>
    </r>
  </si>
  <si>
    <t>(e)</t>
  </si>
  <si>
    <t>FUND BALANCES</t>
  </si>
  <si>
    <t xml:space="preserve">  Total reconciling items</t>
  </si>
  <si>
    <t>Beginning of year</t>
  </si>
  <si>
    <t>End of year</t>
  </si>
  <si>
    <t>Net increase in fiduciary net position</t>
  </si>
  <si>
    <r>
      <t xml:space="preserve">Note to Preparer:  </t>
    </r>
    <r>
      <rPr>
        <sz val="10"/>
        <color indexed="8"/>
        <rFont val="Arial"/>
        <family val="2"/>
      </rPr>
      <t>Ad valorem tax receivables other than vehicle property taxes should be recorded in the Municipal Tax Fund for each municipality for which the County bills and collects taxes at the time of the levy.  An estimate of the allowance for uncollectible taxes should also be recorded related to the Municipal Tax Fund.  Vehicle property taxes that are collected by the State of North Carolina and passed through the County should only be recorded when collected because the levies are considered an offer.  Receivables related to vehicle taxes should be recorded to the extent that the State collected the funds during the fiscal year but had not yet remitted them to the County.  Because the County is obligated to remit the taxes to the various municipalities only upon collection, no payable is recorded until the taxes are collected.  See Memo 2013-16 on the DST website for further information (www.nctreasurer.com).</t>
    </r>
  </si>
  <si>
    <t xml:space="preserve">  Individuals, organizations, and other governments</t>
  </si>
  <si>
    <t xml:space="preserve"> Total additions</t>
  </si>
  <si>
    <t xml:space="preserve"> Total deductions</t>
  </si>
  <si>
    <t xml:space="preserve">Increase in deferred outflows of resources - pensions </t>
  </si>
  <si>
    <t xml:space="preserve">   Sewer No. 2 Capital Project Fund</t>
  </si>
  <si>
    <t>(Increase) in accrued landfill closure and postclosure     care costs</t>
  </si>
  <si>
    <r>
      <t xml:space="preserve">Note to preparer:  </t>
    </r>
    <r>
      <rPr>
        <sz val="11"/>
        <color indexed="8"/>
        <rFont val="Arial"/>
        <family val="2"/>
      </rPr>
      <t>Under GASB Statement No. 54 this fund is consolidated into the School Capital Projects Fund as the unit plans to use funds for future school capital construction.  The revenue source for this fund is restricted by G.S. 159-18 through 22 for specific purposes and is therefore classified as restricted cash and fund balance.</t>
    </r>
  </si>
  <si>
    <t>Transfer from General Fund</t>
  </si>
  <si>
    <t>Radio Network Switching:</t>
  </si>
  <si>
    <t>Transfer from Emergency Telephone System Fund</t>
  </si>
  <si>
    <t>Transfer to General Fund</t>
  </si>
  <si>
    <t>State and federal aid</t>
  </si>
  <si>
    <t>General Government:</t>
  </si>
  <si>
    <t>Restricted Intergovernmental:</t>
  </si>
  <si>
    <t>General fund</t>
  </si>
  <si>
    <t>Other revenue:</t>
  </si>
  <si>
    <t>Other operating expenditures:</t>
  </si>
  <si>
    <t>Note to preparer:  This schedule is included to present  the opioid settlement major special revenue fund at the legal level of budgetary control and is to be used if an annual budget ordinance is adopted.</t>
  </si>
  <si>
    <t>Note to preparer:  This schedule is included to present  the opioid settlement major special revenue fund at the legal level of budgetary control and is to be used if a project budget ordinance is adopted.</t>
  </si>
  <si>
    <t>Note to preparer:   The Grant and Project Ordinance allowed in § 159-13.2 required a technical correction to allow for the Opioid Fund to be accounted for with a project ordinance since the funds are not from the federal or state level.  The legislation creating a Settlement Fund passed in May of 2024 effective July 2023 can be found here: https://www.ncleg.gov/EnactedLegislation/SessionLaws/PDF/2023-2024/SL2024-1.pdf . The correction allows for the funds to be budgeted with an annual budget ordinance or a multi year project budget ordinance.</t>
  </si>
  <si>
    <t>the Carolina County Board of Education</t>
  </si>
  <si>
    <t>Deeds of Trust Fund</t>
  </si>
  <si>
    <t xml:space="preserve">Payment of fees collected to the </t>
  </si>
  <si>
    <r>
      <t xml:space="preserve">Note to Preparer:  </t>
    </r>
    <r>
      <rPr>
        <sz val="10"/>
        <color indexed="8"/>
        <rFont val="Arial"/>
        <family val="2"/>
      </rPr>
      <t>As a result of the implementation of GASB Statement No. 84 -</t>
    </r>
    <r>
      <rPr>
        <i/>
        <sz val="10"/>
        <color indexed="8"/>
        <rFont val="Arial"/>
        <family val="2"/>
      </rPr>
      <t xml:space="preserve"> Fiduciary Activities</t>
    </r>
    <r>
      <rPr>
        <sz val="10"/>
        <color indexed="8"/>
        <rFont val="Arial"/>
        <family val="2"/>
      </rPr>
      <t xml:space="preserve">, the Deed of Trust funds collected that are required to be remitted to the State, formerly reported as agency funds,  now are reported as a governmental fund type.  Carolina County has chosen to report these funds in a special revenue fund.  </t>
    </r>
  </si>
  <si>
    <r>
      <t xml:space="preserve">Note to Preparer:  </t>
    </r>
    <r>
      <rPr>
        <sz val="10"/>
        <color indexed="8"/>
        <rFont val="Arial"/>
        <family val="2"/>
      </rPr>
      <t>As a result of the implementation of GASB Statement No. 84 -</t>
    </r>
    <r>
      <rPr>
        <i/>
        <sz val="10"/>
        <color indexed="8"/>
        <rFont val="Arial"/>
        <family val="2"/>
      </rPr>
      <t xml:space="preserve"> Fiduciary Activities</t>
    </r>
    <r>
      <rPr>
        <sz val="10"/>
        <color indexed="8"/>
        <rFont val="Arial"/>
        <family val="2"/>
      </rPr>
      <t xml:space="preserve">, fines and forfeitures assessed that are required to be remitted to the Carolina County Board of Education, formerly reported as agency funds,  are now reported as a governmental fund type.  Carolina County has chosen to report these funds in a special revenue fund.  </t>
    </r>
  </si>
  <si>
    <t>Payments on behalf of beneficiaries</t>
  </si>
  <si>
    <t>Collections for beneficiaries</t>
  </si>
  <si>
    <t>Register of deeds fees</t>
  </si>
  <si>
    <t>Penalties, fines, and forfeitures</t>
  </si>
  <si>
    <t>Payment of penalties, fines, and forfeitures to</t>
  </si>
  <si>
    <r>
      <t xml:space="preserve">Note to Preparer:  </t>
    </r>
    <r>
      <rPr>
        <sz val="10"/>
        <color indexed="8"/>
        <rFont val="Arial"/>
        <family val="2"/>
      </rPr>
      <t xml:space="preserve">As a result of the implementation of GASB Statement No. 84 - </t>
    </r>
    <r>
      <rPr>
        <i/>
        <sz val="10"/>
        <color indexed="8"/>
        <rFont val="Arial"/>
        <family val="2"/>
      </rPr>
      <t>Fiduciary Activities</t>
    </r>
    <r>
      <rPr>
        <sz val="10"/>
        <color indexed="8"/>
        <rFont val="Arial"/>
        <family val="2"/>
      </rPr>
      <t>, the DSS Client Funds, formerly reported as agency funds, have been renamed Representative Payee Funds and are now reported as a governmental fund type.  Carolina County has chosen to report these funds in a special revenue fund. In the notes to the financial statements, consider adding a link to the federal website:
https://www.ssa.gov/payee/faqrep.htm</t>
    </r>
    <r>
      <rPr>
        <b/>
        <sz val="10"/>
        <color indexed="8"/>
        <rFont val="ARIAL"/>
        <family val="2"/>
      </rPr>
      <t>.</t>
    </r>
  </si>
  <si>
    <t>E-911 system subscriber fees</t>
  </si>
  <si>
    <t>Transfer to Capital Project Fund</t>
  </si>
  <si>
    <t xml:space="preserve">The County transferred  $10,000 of eligible  911 funds to the Northwest Capital project fund for Radio Network Switching Equipment for dispatch consoles for the recreation center.  </t>
  </si>
  <si>
    <r>
      <t>Note to Preparer: D</t>
    </r>
    <r>
      <rPr>
        <sz val="10"/>
        <color indexed="8"/>
        <rFont val="Arial"/>
        <family val="2"/>
      </rPr>
      <t xml:space="preserve">escribe any transfers to/from the Emergency Telephone System Fund as a Note to this schedule.  </t>
    </r>
  </si>
  <si>
    <t>Restricted Intergovenmental:</t>
  </si>
  <si>
    <t>Fund balances - beginning</t>
  </si>
  <si>
    <t>Adjustment - explain</t>
  </si>
  <si>
    <t>Outdoor theater:</t>
  </si>
  <si>
    <t>Park renovation:</t>
  </si>
  <si>
    <t>Networkswitching equipment:</t>
  </si>
  <si>
    <t>Installment financings issued</t>
  </si>
  <si>
    <t>Excess (deficiency) of revenues over (under) expenditures</t>
  </si>
  <si>
    <t>Committed for:</t>
  </si>
  <si>
    <r>
      <t xml:space="preserve">Note to Preparer:  </t>
    </r>
    <r>
      <rPr>
        <sz val="10"/>
        <color indexed="8"/>
        <rFont val="Arial"/>
        <family val="2"/>
      </rPr>
      <t xml:space="preserve">Under GASB Statement No. 54 the Capital Reserve  Fund is consolidated into the School Capital Projects Fund as the unit plans to use funds for future school capital construction. </t>
    </r>
  </si>
  <si>
    <t>Total financing sources (uses)</t>
  </si>
  <si>
    <t>Net change in fund balane</t>
  </si>
  <si>
    <t>The net change in fund balance was included in the budget as an appropriation</t>
  </si>
  <si>
    <t>(spenddown) of fund balance.</t>
  </si>
  <si>
    <t>Tax Revaluation Fund *</t>
  </si>
  <si>
    <t>Net change in fund balance **</t>
  </si>
  <si>
    <t>**</t>
  </si>
  <si>
    <t>Over</t>
  </si>
  <si>
    <t>(Under)</t>
  </si>
  <si>
    <t>Acquisition and construction of capital assets</t>
  </si>
  <si>
    <t>Cash flows from noncapital financing activities:</t>
  </si>
  <si>
    <t>Net cash used by capital and related financing activities</t>
  </si>
  <si>
    <t>Cash flows from capital and related financing activities:</t>
  </si>
  <si>
    <t>Interest paid on bond maturities and equipment contracts</t>
  </si>
  <si>
    <t>Principal paid on bond maturities and equipment contracts</t>
  </si>
  <si>
    <t>Net increase (decrease) in cash and cash equivalents</t>
  </si>
  <si>
    <t>Reconciliation of operating income to net cash</t>
  </si>
  <si>
    <t xml:space="preserve">  provided by operating activities:</t>
  </si>
  <si>
    <t>(Increase) decrease in accounts receivable</t>
  </si>
  <si>
    <t>Increase (decrease) in customer deposits</t>
  </si>
  <si>
    <t>Adjustments to reconcile operating income to net cash</t>
  </si>
  <si>
    <t>Customer deposits</t>
  </si>
  <si>
    <t>Decrease in prepaid items</t>
  </si>
  <si>
    <t>Increase (decrease) in deferred inflows of resources - pensions</t>
  </si>
  <si>
    <t>Increase (decrease) in accounts payable and accrued liabilities</t>
  </si>
  <si>
    <t>Annually Budgeted Major Special Revenue Fund</t>
  </si>
  <si>
    <t>Variance with Final Budget - Over (Under)</t>
  </si>
  <si>
    <t>Variance Over</t>
  </si>
  <si>
    <t>Exhibit 12</t>
  </si>
  <si>
    <t>Fund balances - ending</t>
  </si>
  <si>
    <t>Fund balance - beginning</t>
  </si>
  <si>
    <t>Fund balance - beginning Tax Revaluation Fund</t>
  </si>
  <si>
    <t>Fund balance - ending consolidated General Fund</t>
  </si>
  <si>
    <t>LINK GF</t>
  </si>
  <si>
    <t>linked</t>
  </si>
  <si>
    <t>checked</t>
  </si>
  <si>
    <t>Economic and physical  development</t>
  </si>
  <si>
    <t>Fund balance - ending</t>
  </si>
  <si>
    <t>A legally budgeted Capital Reserve Fund is consolidated into the School Capital Projects Fund for reporting purposes:</t>
  </si>
  <si>
    <t>Fund balance- beginning</t>
  </si>
  <si>
    <t xml:space="preserve">    Transfer from General Fund</t>
  </si>
  <si>
    <t xml:space="preserve">    Expenditures - general government</t>
  </si>
  <si>
    <t xml:space="preserve">Fund balance - ending </t>
  </si>
  <si>
    <t>Fund balance - beginning Capital Reserve Fund</t>
  </si>
  <si>
    <t>Fund balance - ending Consolidated School Capital Projects Fund</t>
  </si>
  <si>
    <t>LIABILITIES:</t>
  </si>
  <si>
    <t>Note to preparer: If the ARPA and/or Opioid major funds have an annual budget, budget versus actual statements must follow the General Fund budget versus actual statement. If the ARPA and/or Opioid major funds have a project ordinance, no budget versus actual statement is required prior to the footnotes.</t>
  </si>
  <si>
    <t>Total OPEB liability</t>
  </si>
  <si>
    <r>
      <t xml:space="preserve">Note to preparer: </t>
    </r>
    <r>
      <rPr>
        <sz val="10"/>
        <rFont val="Arial"/>
        <family val="2"/>
      </rPr>
      <t xml:space="preserve">The RSI schedules presented in the updated fiscal year-end 2025 illustrative statements were not changed from the amounts presented in the prior fiscal year other than to add an additional year of data. Since both the pension and OPEB GASB statements were implemented and updated in the Illustrated statements at least two years ago, financial statement preparers should have now had experience with them. LGC Staff reverted to our historical practice of only changing amounts in the illustrative statements that are the result of any new accounting and reporting changes required for the current FYE.  Conversion workbooks were updated to include the current fiscal year- end Pension and OPEB data. The pension data used in development of the updated conversion workbooks was from the LGERS, ROD &amp; TSERS JE Templates that are all available on the NC DST Financial Statement Resources listed by each Unit Type under Pension Resources. </t>
    </r>
  </si>
  <si>
    <r>
      <t xml:space="preserve">Note to preparer: </t>
    </r>
    <r>
      <rPr>
        <sz val="10"/>
        <rFont val="Arial"/>
        <family val="2"/>
      </rPr>
      <t xml:space="preserve">The RSI schedules presented in the updated fiscal year-end 2025 illustrative statements were not changed from the amounts presented in the prior fiscal year other than to add an additional year of data. Since both the pension and OPEB GASB statements were implemented and updated in the Illustrated statements at least two years ago, financial statement preparers should have now had experience with them. LGC Staff reverted to our historical practice of only changing amounts in the illustrative statements that are the result of any new accounting and reporting changes required for the current FYE.  Conversion workbooks were updated to include the current fiscal year-end Pension and OPEB data. The pension data used in development of the updated conversion workbooks was from the LGERS, ROD &amp; TSERS JE Templates that are all available on the NC DST Financial Statement Resources listed by each Unit Type under Pension Resources. </t>
    </r>
  </si>
  <si>
    <t>Schedule of County Contributions and Investment Returns</t>
  </si>
  <si>
    <t>Healthcare Benefits Plan</t>
  </si>
  <si>
    <t>detail is in a footnote?</t>
  </si>
  <si>
    <t>Leases receivable, net</t>
  </si>
  <si>
    <t xml:space="preserve">   Restatement - change in accounting principle</t>
  </si>
  <si>
    <t>Net position, beginning, as restated</t>
  </si>
  <si>
    <t>Total net position - beginning, as previously reported</t>
  </si>
  <si>
    <t>Restatement - change in accounting principle</t>
  </si>
  <si>
    <t>Net position - beginning, as restated</t>
  </si>
  <si>
    <t>Increase in accrued compensated absences payable</t>
  </si>
  <si>
    <t>FORMAT</t>
  </si>
  <si>
    <t>Decrease in accrued compensated absences</t>
  </si>
  <si>
    <r>
      <t xml:space="preserve">NOTE TO PREPARER: </t>
    </r>
    <r>
      <rPr>
        <sz val="9"/>
        <rFont val="Arial"/>
        <family val="2"/>
      </rPr>
      <t xml:space="preserve"> </t>
    </r>
    <r>
      <rPr>
        <i/>
        <u/>
        <sz val="9"/>
        <rFont val="Arial"/>
        <family val="2"/>
      </rPr>
      <t>Special items</t>
    </r>
    <r>
      <rPr>
        <sz val="9"/>
        <rFont val="Arial"/>
        <family val="2"/>
      </rPr>
      <t xml:space="preserve"> reported on this statement should be material to the unit as a whole in addition to meeting the other requirements for a special item.  The special item reported  here is for illustrative purposes only. </t>
    </r>
  </si>
  <si>
    <r>
      <t xml:space="preserve">Line items are selected for illustrated purposes only.  Additional line items may be required.  Line items for which there is </t>
    </r>
    <r>
      <rPr>
        <b/>
        <sz val="10"/>
        <rFont val="Arial"/>
        <family val="2"/>
      </rPr>
      <t xml:space="preserve">no activity     </t>
    </r>
    <r>
      <rPr>
        <sz val="10"/>
        <rFont val="Arial"/>
        <family val="2"/>
      </rPr>
      <t xml:space="preserve">    should not be displayed on the statement.  </t>
    </r>
  </si>
  <si>
    <t>(Increase) in accrued compensated absences</t>
  </si>
  <si>
    <t xml:space="preserve">      Investment earnings on debt proceeds</t>
  </si>
  <si>
    <t>Capitalized interest on borrowings during construction:</t>
  </si>
  <si>
    <t>Restricted Opioid receivables (net)</t>
  </si>
  <si>
    <t>linked to GW</t>
  </si>
  <si>
    <t>CW - H</t>
  </si>
  <si>
    <t>CW - N.1</t>
  </si>
  <si>
    <t>CW - N.2</t>
  </si>
  <si>
    <t>CW - O</t>
  </si>
  <si>
    <t>CW - P.1</t>
  </si>
  <si>
    <t>per CW N.1</t>
  </si>
  <si>
    <t>per CW P.1</t>
  </si>
  <si>
    <t>Other long-term assets, $1,938,038 of opioid settlement receivables and $329,219 of taxes received before the period for which property taxes were levied, are not available to pay for current-period expenditures and therefore are unavailable in the funds.</t>
  </si>
  <si>
    <t>Tied to CW JE</t>
  </si>
  <si>
    <t>Deferred inflows of resources for net unavailable property taxes of $2,562,229 and special assessments of $28,833 are not reported in the government-wide financial statements.</t>
  </si>
  <si>
    <t>Per CW N.1</t>
  </si>
  <si>
    <t>Per CW P.1</t>
  </si>
  <si>
    <t>calc</t>
  </si>
  <si>
    <t>deprec</t>
  </si>
  <si>
    <t>cap o/l</t>
  </si>
  <si>
    <t>CW-D</t>
  </si>
  <si>
    <t>164,961 per CW-C</t>
  </si>
  <si>
    <t>others??</t>
  </si>
  <si>
    <t>4,893,536 per CW H</t>
  </si>
  <si>
    <t>linked to statement</t>
  </si>
  <si>
    <t>net</t>
  </si>
  <si>
    <t>??</t>
  </si>
  <si>
    <t>tied</t>
  </si>
  <si>
    <t>plug</t>
  </si>
  <si>
    <t>See Notes to the Schedule on the following schedule.</t>
  </si>
  <si>
    <r>
      <t>Note to preparer</t>
    </r>
    <r>
      <rPr>
        <sz val="11"/>
        <rFont val="Arial"/>
        <family val="2"/>
      </rPr>
      <t>: The Notes to the Schedule presented here are not updated for changes in assumptions. Units can find that information in the</t>
    </r>
    <r>
      <rPr>
        <b/>
        <sz val="11"/>
        <rFont val="Arial"/>
        <family val="2"/>
      </rPr>
      <t xml:space="preserve"> </t>
    </r>
    <r>
      <rPr>
        <sz val="11"/>
        <rFont val="Arial"/>
        <family val="2"/>
      </rPr>
      <t>Valuation report at: https://www.nctreasurer.gov/divisions/state-and-local-government-finance/lgc/local-fiscal-management/annual-audit/financial-statement-resources/counties#PensionResources-457</t>
    </r>
  </si>
  <si>
    <t>Notes to the schedules:</t>
  </si>
  <si>
    <t>For 2023, the total pension liability for the December 31, 2021 actuarial valuation was determined using the following actuarial changes of assumptions:</t>
  </si>
  <si>
    <t>Payroll Growth</t>
  </si>
  <si>
    <t>Mortality Rates</t>
  </si>
  <si>
    <t>2.50% from 3.00%</t>
  </si>
  <si>
    <t>Inflation and Payroll Growth</t>
  </si>
  <si>
    <t>RP-2010 Total Data Set for Healthy Annuitants</t>
  </si>
  <si>
    <t>For 2022, the discount rate and the investment rate were changed to 6.50% from 7.0%.</t>
  </si>
  <si>
    <t>For 2020, the total pension liability for the December 31, 2019 actuarial valuation was determined using the following actuarial assumptions:</t>
  </si>
  <si>
    <t>Actuarial Cost Method</t>
  </si>
  <si>
    <t>Asset Valuation Method</t>
  </si>
  <si>
    <t>Assumptions:</t>
  </si>
  <si>
    <t>Discount Rate</t>
  </si>
  <si>
    <t>Real Wage Growth</t>
  </si>
  <si>
    <t>Entry Age Normal</t>
  </si>
  <si>
    <t>Smoothed Fair Value</t>
  </si>
  <si>
    <t>RP-2014 Total Data Set for Healthy Annuitants</t>
  </si>
  <si>
    <t>Mortaility</t>
  </si>
  <si>
    <t>See Notes to the Schedule on the Schedule of County Contributions.</t>
  </si>
  <si>
    <t>For 2023, the real wage growth was changed to 3.25%.</t>
  </si>
  <si>
    <t>For 2022, the discount rate and the investment rate of return were changed to 3.00% from 3.75%.</t>
  </si>
  <si>
    <t>For 2020, the total pension liability (asset) beginning with the December 31, 2019 actuarial valuation was determined using the following actuarial assumptions:</t>
  </si>
  <si>
    <t>Investment Rate of Return</t>
  </si>
  <si>
    <r>
      <t xml:space="preserve">Note to preparer: </t>
    </r>
    <r>
      <rPr>
        <sz val="11"/>
        <rFont val="Arial"/>
        <family val="2"/>
      </rPr>
      <t xml:space="preserve">The RSI schedules presented in the updated fiscal year-end 2025 illustrative statements were not changed from the amounts presented in the prior fiscal year other than to add an additional year of data. Since both the pension and OPEB GASB statements were implemented and updated in the Illustrated statements, financial statement preparers should have now had experience with them. LGC Staff reverted to our historical practice of only changing amounts in the illustrative statements that are the result of any new accounting and reporting changes required for the current FYE.  Conversion workbooks were updated to include the current fiscal year- end Pension and OPEB data. The pension data used in development of the updated conversion workbooks was from the LGERS, ROD &amp; TSERS JE Templates that are all available on the NC DST Financial Statement Resources listed by each Unit Type under Pension Resources. </t>
    </r>
  </si>
  <si>
    <r>
      <t xml:space="preserve">Note to preparer: </t>
    </r>
    <r>
      <rPr>
        <sz val="10"/>
        <rFont val="Arial"/>
        <family val="2"/>
      </rPr>
      <t xml:space="preserve">The RSI schedules presented in the updated fiscal year-end 2025 illustrative statements were not changed from the amounts presented in the prior fiscal year other than to add an additional year of data. Since both the pension and OPEB GASB statements were implemented and updated in the Illustrated statements, financial statement preparers should have now had experience with them. LGC Staff reverted to our historical practice of only changing amounts in the illustrative statements that are the result of any new accounting and reporting changes required for the current FYE.  Conversion workbooks were updated to include the current fiscal year- end Pension and OPEB data. The pension data used in development of the updated conversion workbooks was from the LGERS, ROD &amp; TSERS JE Templates that are all available on the NC DST Financial Statement Resources listed by each Unit Type under Pension Resources. </t>
    </r>
  </si>
  <si>
    <r>
      <t xml:space="preserve">Note to preparer: </t>
    </r>
    <r>
      <rPr>
        <sz val="10"/>
        <rFont val="Arial"/>
        <family val="2"/>
      </rPr>
      <t xml:space="preserve">The RSI schedules presented in the updated fiscal year-end 2025 illustrative statements were not changed from the amounts presented in the prior fiscal year other than to add an additional year of data. Since both the pension and OPEB GASB statements were implemented and updated in the Illustrated statements, financial statement preparers should have now had experience with them. LGC Staff reverted to our historical practice of only changing amounts in the illustrative statements that are the result of any new accounting and reporting changes required for the current FYE. </t>
    </r>
  </si>
  <si>
    <r>
      <t xml:space="preserve">Note to preparer: </t>
    </r>
    <r>
      <rPr>
        <sz val="10"/>
        <rFont val="Arial"/>
        <family val="2"/>
      </rPr>
      <t xml:space="preserve">The RSI schedules presented in the updated fiscal year-end 2025 illustrative statements were not changed from the amounts presented in the prior fiscal year other than to add an additional year of data. Since both the pension and OPEB GASB statements were implemented and updated in the Illustrated statements, financial statement preparers should have now had experience with them. LGC Staff reverted to our historical practice of only changing amounts in the illustrative statements that are the result of any new accounting and reporting changes required for the current FYE.  </t>
    </r>
  </si>
  <si>
    <t>The County has no assets accumulated in a trust that meets the criteria for a pension trust as defined by GASB Statement 67.</t>
  </si>
  <si>
    <t>The total pension liability was determined from an actuarial valuation as of December 31, 2024. Methods and assumptions used were: the actuarial cost method was</t>
  </si>
  <si>
    <t>entry-age normal; a discount rate of 3.71%; inflation at 2.50%; projected individual salary increases of 2.5% to 6.0% annually; projected total payroll increase of 3.0%</t>
  </si>
  <si>
    <t>annually; and cost of living adjustments of 2.0% annually.</t>
  </si>
  <si>
    <r>
      <rPr>
        <b/>
        <sz val="10"/>
        <rFont val="Arial"/>
        <family val="2"/>
      </rPr>
      <t>Note to preparer:</t>
    </r>
    <r>
      <rPr>
        <sz val="10"/>
        <rFont val="Arial"/>
        <family val="2"/>
      </rPr>
      <t xml:space="preserve">  Any changes in actuarial methods and assumptions should be disclosed. </t>
    </r>
  </si>
  <si>
    <t>Asset impairment recorded</t>
  </si>
  <si>
    <t>The issuance of long-term debt provides current financial resources to governmental funds, ($4,893,536) while the repayment of the principal of long-term debt, $3,950,924 consumes the current financial resources of governmental funds.  Neither transaction has any effect on net position.   This amount is the net effect of these differences in the treatment of long-term debt and related items.</t>
  </si>
  <si>
    <t>This is the amount by which capitalized capital outlays of $125,919 exceeded depreciation and amortization of $1,149,385 (including the cost of a sold asset, $1,000)  in the current period</t>
  </si>
  <si>
    <t>Current year collection of property taxes ($108,326) and special assessments ($4,190) recorded as revenues in the governmental fund financial statements this year, but in the government-wide statements in a prior year</t>
  </si>
  <si>
    <t>Revenues in the statement of activities that do not provide current financial resources are not reported as revenues in the funds. Opioid Settlement revenues of ($1,773,077), donated capital assets of ($37,500), and change in joint venture of ($549).</t>
  </si>
  <si>
    <t xml:space="preserve">American Rescue Plan </t>
  </si>
  <si>
    <t>Exhibit 1</t>
  </si>
  <si>
    <t>The Tax Revaluation Fund is consolidated into the General Fund.</t>
  </si>
  <si>
    <t>Other financing sources :</t>
  </si>
  <si>
    <t>Pension (and Other Employee Benefit) Trust Fund (OPEB)</t>
  </si>
  <si>
    <t>Transfer to other fund</t>
  </si>
  <si>
    <t>American Rescue Plan Major Special Revenue Fund</t>
  </si>
  <si>
    <t>American Resue Plan Fund</t>
  </si>
  <si>
    <t>Exhibit 13</t>
  </si>
  <si>
    <t>Deferred outflows related to current refunding bond issue.</t>
  </si>
  <si>
    <t>Opioid Settlement Project Fund</t>
  </si>
  <si>
    <t>¹ Percentage of appraised value is set by State statute.</t>
  </si>
  <si>
    <t>³ The levy includes interest and penalties.</t>
  </si>
  <si>
    <r>
      <t xml:space="preserve">Note to Preparer: </t>
    </r>
    <r>
      <rPr>
        <sz val="11"/>
        <rFont val="Arial"/>
        <family val="2"/>
      </rPr>
      <t xml:space="preserve"> The additional secondary market disclosures are presented for units which must submit secondary market disclosures under SEC Rule 15c2-12 and wish to present the disclosure within the audit report.  Units not required to make secondary market disclosures may present this information but are not required to do so.</t>
    </r>
  </si>
  <si>
    <t xml:space="preserve">² Valuation of railroads, telephone companies and other utilities as determined by the North Carolina </t>
  </si>
  <si>
    <t>Department of Revenue..</t>
  </si>
  <si>
    <r>
      <t>Note to Preparer:</t>
    </r>
    <r>
      <rPr>
        <sz val="11"/>
        <rFont val="Arial"/>
        <family val="2"/>
      </rPr>
      <t xml:space="preserve">  The additional secondary market disclosures are presented for units which must submit secondary market disclosures under SEC Rule 15c2-12 and wish to present the disclosure within the audit report.  Units not required to make secondary market disclosures may present this information but are not required to do so.</t>
    </r>
  </si>
  <si>
    <r>
      <rPr>
        <b/>
        <sz val="10"/>
        <rFont val="Arial"/>
        <family val="2"/>
      </rPr>
      <t>Note to Preparer:</t>
    </r>
    <r>
      <rPr>
        <sz val="10"/>
        <rFont val="Arial"/>
        <family val="2"/>
      </rPr>
      <t xml:space="preserve"> Blank line items (unearned revenue and restricted fund balance) are shown under the American Rescue Plan Fund only for the purpose of showing changes from the prior year illustrative statement.</t>
    </r>
  </si>
  <si>
    <t>Note to preparer:  The Grant and Project Ordinance allowed in G.S. 159-13.2 required a technical correction to allow for the Opioid Fund to be accounted for with a project ordinance since the funds are not from the federal or state level.  The legislation creating a Settlement Fund passed in May of 2024 effective July 2023 can be found in S.L. 2004-1: https://www.ncleg.gov/EnactedLegislation/SessionLaws/PDF/2023-2024/SL2024-1.pdf</t>
  </si>
  <si>
    <r>
      <t xml:space="preserve">Note to preparer: </t>
    </r>
    <r>
      <rPr>
        <sz val="11"/>
        <rFont val="Arial"/>
        <family val="2"/>
      </rPr>
      <t>The RSI schedules presented in the updated fiscal year-end 2025 illustrative statements were not changed from the amounts presented in the prior fiscal year other than to add an additional year of data. Since both the pension and OPEB GASB statements were implemented and updated in the Illustrated statements, financial statement preparers should have now had experience with them. LGC Staff is reverting to our historical practice of only changing amounts in the illustrative statements that are the result of any new accounting and reporting changes required.  Conversion workbooks were updated to include the current fiscal year- end Pension and OPEB data. The pension data used in development of the updated conversion workbooks was from the LGERS, ROD &amp; TSERS JE Templates that are all available on the NC DST Financial Statement Resources listed by each Unit Type under Pension Resources. Plan fiduciary net position is available in each plan's annual report posted on the NC DST Financial Statement Resources website.</t>
    </r>
  </si>
  <si>
    <t>Note to preparer:  The Grant and Project Ordinance allowed in G.S 159-13.2 required a technical correction to allow for the Opioid Fund to be accounted for with a project ordinance since the funds are not from the federal or state level.  The legislation creating a Settlement Fund passed in May of 2024 effective July 2023 can be found in S.L. 2024-1:  https://www.ncleg.gov/EnactedLegislation/SessionLaws/PDF/2023-2024/SL2024-1.pdf . The amendment allows for the funds to be budgeted with an annual budget ordinance or a multi year project budget ordinance.</t>
  </si>
  <si>
    <r>
      <t xml:space="preserve">The property valuations, tax rate, and levy amounts above </t>
    </r>
    <r>
      <rPr>
        <b/>
        <sz val="10"/>
        <color indexed="8"/>
        <rFont val="ARIAL"/>
        <family val="2"/>
      </rPr>
      <t xml:space="preserve">should be Unit-Wide; </t>
    </r>
    <r>
      <rPr>
        <sz val="10"/>
        <color indexed="8"/>
        <rFont val="Arial"/>
        <family val="2"/>
      </rPr>
      <t xml:space="preserve">additional taxes  levied for fire protection districts or special service districts </t>
    </r>
    <r>
      <rPr>
        <b/>
        <sz val="10"/>
        <color indexed="8"/>
        <rFont val="ARIAL"/>
        <family val="2"/>
      </rPr>
      <t xml:space="preserve">should not be included.  </t>
    </r>
    <r>
      <rPr>
        <sz val="10"/>
        <color indexed="8"/>
        <rFont val="Arial"/>
        <family val="2"/>
      </rPr>
      <t xml:space="preserve"> </t>
    </r>
  </si>
  <si>
    <t>Note to Preparer:  Ad valorem tax receivables, other than vehicle property taxes, should be recorded in the Municipal Tax Fund for each municipality for which the County bills and collects taxes at the time of the levy.  An estimate of the allowance for uncollectible taxes should also be recorded related in the Fund.  Vehicle property taxes that are collected by the State of North Carolina and passed through the County should only be recorded when collected because the levies are considered an offer.  Receivables related to vehicle taxes should be recorded to the extent that the State collected the funds during the fiscal year but had not yet remitted them to the County.  Because the County is obligated to remit the taxes to the various municipalities only upon collection, no payable is recorded until the taxes are collected.  See Memo #2013-16 on the DST website for further information (www.nctreasurer.com).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</si>
</sst>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_(* #,##0.0000_);_(* \(#,##0.0000\);_(* &quot;-&quot;??_);_(@_)"/>
    <numFmt numFmtId="167" formatCode="General_)"/>
    <numFmt numFmtId="168" formatCode="mmmm\ d\,\ yyyy"/>
    <numFmt numFmtId="169" formatCode="0.0000"/>
    <numFmt numFmtId="170" formatCode="_(* #,##0.00000_);_(* \(#,##0.00000\);_(* &quot;-&quot;_);_(@_)"/>
    <numFmt numFmtId="171" formatCode="_(* #,##0_);_(&quot;$&quot;* \(#,##0\);_(&quot;$&quot;* &quot;-&quot;??_);_(@_)"/>
    <numFmt numFmtId="172" formatCode="0.000%"/>
    <numFmt numFmtId="173" formatCode="#,##0.00%;\(#,#\ #0.00%\)"/>
    <numFmt numFmtId="174" formatCode="#,##0.0"/>
    <numFmt numFmtId="175" formatCode="_(&quot;$&quot;* #,##0.0000_);_(&quot;$&quot;* \(#,##0.0000\);_(&quot;$&quot;* &quot;-&quot;??_);_(@_)"/>
    <numFmt numFmtId="176" formatCode="_(* #,##0.0000000_);_(* \(#,##0.0000000\);_(* &quot;-&quot;??_);_(@_)"/>
    <numFmt numFmtId="177" formatCode="0.0000%"/>
    <numFmt numFmtId="178" formatCode="_(* #,##0.0_);_(* \(#,##0.0\);_(* &quot;-&quot;??_);_(@_)"/>
    <numFmt numFmtId="179" formatCode="_(&quot;$&quot;* #,##0.000_);_(&quot;$&quot;* \(#,##0.000\);_(&quot;$&quot;* &quot;-&quot;??_);_(@_)"/>
    <numFmt numFmtId="180" formatCode="0.0%"/>
    <numFmt numFmtId="181" formatCode="0.00000%"/>
    <numFmt numFmtId="182" formatCode="&quot;$&quot;#,##0"/>
    <numFmt numFmtId="183" formatCode="[$-409]mmmm\ d\,\ yyyy;@"/>
  </numFmts>
  <fonts count="47" x14ac:knownFonts="1">
    <font>
      <sz val="10"/>
      <name val="Arial"/>
    </font>
    <font>
      <sz val="10"/>
      <name val="Arial"/>
      <family val="2"/>
    </font>
    <font>
      <b/>
      <sz val="10"/>
      <name val="Arial"/>
      <family val="2"/>
    </font>
    <font>
      <sz val="10"/>
      <name val="Arial"/>
      <family val="2"/>
    </font>
    <font>
      <i/>
      <sz val="10"/>
      <name val="Arial"/>
      <family val="2"/>
    </font>
    <font>
      <sz val="8"/>
      <name val="Arial"/>
      <family val="2"/>
    </font>
    <font>
      <b/>
      <sz val="8"/>
      <name val="Arial"/>
      <family val="2"/>
    </font>
    <font>
      <u/>
      <sz val="8"/>
      <name val="Arial"/>
      <family val="2"/>
    </font>
    <font>
      <sz val="9"/>
      <name val="Century Schoolbook"/>
      <family val="1"/>
    </font>
    <font>
      <sz val="9"/>
      <name val="Arial"/>
      <family val="2"/>
    </font>
    <font>
      <sz val="10"/>
      <name val="Tms Rmn"/>
    </font>
    <font>
      <sz val="10"/>
      <name val="Courier"/>
      <family val="3"/>
    </font>
    <font>
      <sz val="10"/>
      <name val="Times New Roman"/>
      <family val="1"/>
    </font>
    <font>
      <sz val="10"/>
      <name val="Arial"/>
      <family val="2"/>
    </font>
    <font>
      <b/>
      <sz val="9"/>
      <name val="Arial"/>
      <family val="2"/>
    </font>
    <font>
      <b/>
      <sz val="11"/>
      <name val="Arial"/>
      <family val="2"/>
    </font>
    <font>
      <sz val="10"/>
      <color indexed="8"/>
      <name val="Arial"/>
      <family val="2"/>
    </font>
    <font>
      <sz val="11"/>
      <color indexed="8"/>
      <name val="Arial"/>
      <family val="2"/>
    </font>
    <font>
      <b/>
      <sz val="10"/>
      <color indexed="8"/>
      <name val="ARIAL"/>
      <family val="2"/>
    </font>
    <font>
      <sz val="10"/>
      <color indexed="9"/>
      <name val="Arial"/>
      <family val="2"/>
    </font>
    <font>
      <b/>
      <u/>
      <sz val="10"/>
      <name val="Arial"/>
      <family val="2"/>
    </font>
    <font>
      <u/>
      <sz val="10"/>
      <name val="Arial"/>
      <family val="2"/>
    </font>
    <font>
      <u/>
      <sz val="10"/>
      <color indexed="8"/>
      <name val="Arial"/>
      <family val="2"/>
    </font>
    <font>
      <sz val="7"/>
      <name val="Arial"/>
      <family val="2"/>
    </font>
    <font>
      <sz val="9"/>
      <color indexed="81"/>
      <name val="Tahoma"/>
      <family val="2"/>
    </font>
    <font>
      <b/>
      <sz val="9"/>
      <color indexed="81"/>
      <name val="Tahoma"/>
      <family val="2"/>
    </font>
    <font>
      <i/>
      <u/>
      <sz val="9"/>
      <name val="Arial"/>
      <family val="2"/>
    </font>
    <font>
      <sz val="11"/>
      <name val="Arial"/>
      <family val="2"/>
    </font>
    <font>
      <i/>
      <sz val="10"/>
      <color indexed="8"/>
      <name val="Arial"/>
      <family val="2"/>
    </font>
    <font>
      <sz val="10"/>
      <color rgb="FFFF0000"/>
      <name val="Arial"/>
      <family val="2"/>
    </font>
    <font>
      <sz val="10"/>
      <color rgb="FF000000"/>
      <name val="Arial"/>
      <family val="2"/>
    </font>
    <font>
      <sz val="10"/>
      <color theme="1"/>
      <name val="Arial"/>
      <family val="2"/>
    </font>
    <font>
      <b/>
      <sz val="10"/>
      <color theme="1"/>
      <name val="Arial"/>
      <family val="2"/>
    </font>
    <font>
      <b/>
      <sz val="10"/>
      <color rgb="FF000000"/>
      <name val="Arial"/>
      <family val="2"/>
    </font>
    <font>
      <sz val="10"/>
      <color theme="0"/>
      <name val="Arial"/>
      <family val="2"/>
    </font>
    <font>
      <b/>
      <sz val="11"/>
      <color rgb="FF000000"/>
      <name val="Arial"/>
      <family val="2"/>
    </font>
    <font>
      <sz val="12"/>
      <name val="Times New Roman"/>
      <family val="1"/>
    </font>
    <font>
      <sz val="11"/>
      <name val="Century Schoolbook"/>
      <family val="1"/>
    </font>
    <font>
      <sz val="8"/>
      <name val="Times New Roman"/>
      <family val="1"/>
    </font>
    <font>
      <sz val="8"/>
      <name val="Arial"/>
      <family val="2"/>
    </font>
    <font>
      <sz val="10"/>
      <name val="Century Schoolbook"/>
      <family val="1"/>
    </font>
    <font>
      <sz val="9"/>
      <color theme="1"/>
      <name val="Arial"/>
      <family val="2"/>
    </font>
    <font>
      <u/>
      <sz val="9"/>
      <name val="Arial"/>
      <family val="2"/>
    </font>
    <font>
      <i/>
      <sz val="9"/>
      <name val="Arial"/>
      <family val="2"/>
    </font>
    <font>
      <b/>
      <u/>
      <sz val="11"/>
      <name val="Arial"/>
      <family val="2"/>
    </font>
    <font>
      <u/>
      <sz val="11"/>
      <name val="Arial"/>
      <family val="2"/>
    </font>
    <font>
      <sz val="11"/>
      <color theme="1"/>
      <name val="Arial"/>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FF00"/>
        <bgColor indexed="64"/>
      </patternFill>
    </fill>
  </fills>
  <borders count="41">
    <border>
      <left/>
      <right/>
      <top/>
      <bottom/>
      <diagonal/>
    </border>
    <border>
      <left/>
      <right/>
      <top style="thin">
        <color indexed="64"/>
      </top>
      <bottom style="thin">
        <color indexed="64"/>
      </bottom>
      <diagonal/>
    </border>
    <border>
      <left/>
      <right/>
      <top/>
      <bottom style="thin">
        <color indexed="64"/>
      </bottom>
      <diagonal/>
    </border>
    <border>
      <left/>
      <right/>
      <top/>
      <bottom style="thin">
        <color indexed="8"/>
      </bottom>
      <diagonal/>
    </border>
    <border>
      <left/>
      <right/>
      <top/>
      <bottom style="double">
        <color indexed="64"/>
      </bottom>
      <diagonal/>
    </border>
    <border>
      <left/>
      <right/>
      <top/>
      <bottom style="medium">
        <color indexed="8"/>
      </bottom>
      <diagonal/>
    </border>
    <border>
      <left/>
      <right/>
      <top/>
      <bottom style="double">
        <color indexed="8"/>
      </bottom>
      <diagonal/>
    </border>
    <border>
      <left/>
      <right/>
      <top style="thin">
        <color indexed="64"/>
      </top>
      <bottom style="double">
        <color indexed="64"/>
      </bottom>
      <diagonal/>
    </border>
    <border>
      <left/>
      <right/>
      <top style="thin">
        <color indexed="64"/>
      </top>
      <bottom/>
      <diagonal/>
    </border>
    <border>
      <left/>
      <right/>
      <top/>
      <bottom style="medium">
        <color indexed="64"/>
      </bottom>
      <diagonal/>
    </border>
    <border>
      <left/>
      <right/>
      <top style="thin">
        <color indexed="64"/>
      </top>
      <bottom style="thin">
        <color indexed="8"/>
      </bottom>
      <diagonal/>
    </border>
    <border>
      <left/>
      <right/>
      <top style="medium">
        <color indexed="8"/>
      </top>
      <bottom/>
      <diagonal/>
    </border>
    <border>
      <left/>
      <right/>
      <top style="thin">
        <color indexed="8"/>
      </top>
      <bottom style="thin">
        <color indexed="64"/>
      </bottom>
      <diagonal/>
    </border>
    <border>
      <left/>
      <right/>
      <top/>
      <bottom style="thick">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right/>
      <top/>
      <bottom style="thin">
        <color rgb="FF000000"/>
      </bottom>
      <diagonal/>
    </border>
  </borders>
  <cellStyleXfs count="40">
    <xf numFmtId="0" fontId="0" fillId="0" borderId="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1" fontId="1"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3" fillId="0" borderId="0" applyFont="0" applyFill="0" applyBorder="0" applyAlignment="0" applyProtection="0"/>
    <xf numFmtId="42" fontId="1" fillId="0" borderId="0" applyFont="0" applyFill="0" applyBorder="0" applyAlignment="0" applyProtection="0"/>
    <xf numFmtId="44" fontId="1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0" fontId="3" fillId="0" borderId="0"/>
    <xf numFmtId="0" fontId="1" fillId="0" borderId="0"/>
    <xf numFmtId="167" fontId="10" fillId="0" borderId="0"/>
    <xf numFmtId="167" fontId="10" fillId="0" borderId="0"/>
    <xf numFmtId="0" fontId="12" fillId="0" borderId="0"/>
    <xf numFmtId="167" fontId="10" fillId="0" borderId="0"/>
    <xf numFmtId="167" fontId="11" fillId="0" borderId="0"/>
    <xf numFmtId="167" fontId="10" fillId="0" borderId="0"/>
    <xf numFmtId="0" fontId="1" fillId="0" borderId="0"/>
    <xf numFmtId="167" fontId="10" fillId="0" borderId="0"/>
    <xf numFmtId="9" fontId="1" fillId="0" borderId="0" applyFont="0" applyFill="0" applyBorder="0" applyAlignment="0" applyProtection="0"/>
  </cellStyleXfs>
  <cellXfs count="1241">
    <xf numFmtId="0" fontId="0" fillId="0" borderId="0" xfId="0"/>
    <xf numFmtId="0" fontId="2" fillId="0" borderId="1" xfId="0" applyFont="1" applyBorder="1" applyAlignment="1">
      <alignment horizontal="center" wrapText="1"/>
    </xf>
    <xf numFmtId="165" fontId="0" fillId="0" borderId="0" xfId="1" applyNumberFormat="1" applyFont="1" applyFill="1" applyBorder="1"/>
    <xf numFmtId="165" fontId="8" fillId="0" borderId="0" xfId="1" applyNumberFormat="1" applyFont="1" applyFill="1"/>
    <xf numFmtId="0" fontId="0" fillId="0" borderId="0" xfId="0" applyAlignment="1">
      <alignment horizontal="left" indent="1"/>
    </xf>
    <xf numFmtId="165" fontId="0" fillId="0" borderId="0" xfId="1" applyNumberFormat="1" applyFont="1" applyFill="1"/>
    <xf numFmtId="165" fontId="0" fillId="0" borderId="2" xfId="1" applyNumberFormat="1" applyFont="1" applyFill="1" applyBorder="1"/>
    <xf numFmtId="0" fontId="8" fillId="0" borderId="0" xfId="0" applyFont="1"/>
    <xf numFmtId="165" fontId="8" fillId="0" borderId="0" xfId="1" applyNumberFormat="1" applyFont="1" applyFill="1" applyBorder="1"/>
    <xf numFmtId="37" fontId="5" fillId="0" borderId="0" xfId="0" applyNumberFormat="1" applyFont="1" applyAlignment="1" applyProtection="1">
      <alignment horizontal="left" indent="1"/>
      <protection locked="0"/>
    </xf>
    <xf numFmtId="37" fontId="5" fillId="0" borderId="0" xfId="0" applyNumberFormat="1" applyFont="1"/>
    <xf numFmtId="164" fontId="0" fillId="0" borderId="0" xfId="15" applyNumberFormat="1" applyFont="1" applyFill="1"/>
    <xf numFmtId="42" fontId="0" fillId="0" borderId="4" xfId="0" applyNumberFormat="1" applyBorder="1"/>
    <xf numFmtId="42" fontId="0" fillId="0" borderId="0" xfId="0" applyNumberFormat="1"/>
    <xf numFmtId="41" fontId="0" fillId="0" borderId="0" xfId="0" applyNumberFormat="1"/>
    <xf numFmtId="41" fontId="0" fillId="0" borderId="2" xfId="0" applyNumberFormat="1" applyBorder="1"/>
    <xf numFmtId="37" fontId="5" fillId="0" borderId="0" xfId="0" quotePrefix="1" applyNumberFormat="1" applyFont="1" applyAlignment="1">
      <alignment horizontal="left"/>
    </xf>
    <xf numFmtId="37" fontId="5" fillId="0" borderId="0" xfId="0" applyNumberFormat="1" applyFont="1" applyAlignment="1">
      <alignment horizontal="center"/>
    </xf>
    <xf numFmtId="37" fontId="5" fillId="0" borderId="0" xfId="0" quotePrefix="1" applyNumberFormat="1" applyFont="1" applyAlignment="1">
      <alignment horizontal="center"/>
    </xf>
    <xf numFmtId="37" fontId="7" fillId="0" borderId="0" xfId="0" applyNumberFormat="1" applyFont="1" applyAlignment="1">
      <alignment horizontal="center"/>
    </xf>
    <xf numFmtId="37" fontId="7" fillId="0" borderId="0" xfId="0" quotePrefix="1" applyNumberFormat="1" applyFont="1" applyAlignment="1">
      <alignment horizontal="center"/>
    </xf>
    <xf numFmtId="37" fontId="6" fillId="0" borderId="0" xfId="0" quotePrefix="1" applyNumberFormat="1" applyFont="1" applyAlignment="1">
      <alignment horizontal="center"/>
    </xf>
    <xf numFmtId="37" fontId="5" fillId="0" borderId="0" xfId="0" applyNumberFormat="1" applyFont="1" applyAlignment="1">
      <alignment horizontal="left" indent="1"/>
    </xf>
    <xf numFmtId="37" fontId="5" fillId="0" borderId="0" xfId="0" applyNumberFormat="1" applyFont="1" applyAlignment="1">
      <alignment horizontal="left"/>
    </xf>
    <xf numFmtId="37" fontId="5" fillId="0" borderId="0" xfId="0" quotePrefix="1" applyNumberFormat="1" applyFont="1" applyAlignment="1">
      <alignment horizontal="left" indent="1"/>
    </xf>
    <xf numFmtId="37" fontId="5" fillId="0" borderId="0" xfId="0" applyNumberFormat="1" applyFont="1" applyAlignment="1">
      <alignment horizontal="left" indent="2"/>
    </xf>
    <xf numFmtId="0" fontId="9" fillId="0" borderId="0" xfId="0" applyFont="1"/>
    <xf numFmtId="0" fontId="8" fillId="0" borderId="0" xfId="0" applyFont="1" applyAlignment="1">
      <alignment horizontal="left"/>
    </xf>
    <xf numFmtId="0" fontId="0" fillId="0" borderId="0" xfId="0" applyAlignment="1">
      <alignment horizontal="right"/>
    </xf>
    <xf numFmtId="0" fontId="2" fillId="0" borderId="0" xfId="0" applyFont="1" applyAlignment="1">
      <alignment horizontal="centerContinuous"/>
    </xf>
    <xf numFmtId="0" fontId="3" fillId="0" borderId="0" xfId="0" applyFont="1"/>
    <xf numFmtId="0" fontId="0" fillId="0" borderId="0" xfId="0" applyAlignment="1">
      <alignment horizontal="centerContinuous"/>
    </xf>
    <xf numFmtId="0" fontId="2" fillId="0" borderId="0" xfId="0" applyFont="1"/>
    <xf numFmtId="0" fontId="2" fillId="0" borderId="2" xfId="0" applyFont="1" applyBorder="1" applyAlignment="1">
      <alignment horizontal="centerContinuous"/>
    </xf>
    <xf numFmtId="0" fontId="2" fillId="0" borderId="0" xfId="0" applyFont="1" applyAlignment="1">
      <alignment horizontal="center"/>
    </xf>
    <xf numFmtId="0" fontId="2" fillId="0" borderId="3" xfId="0" applyFont="1" applyBorder="1" applyAlignment="1">
      <alignment horizontal="center"/>
    </xf>
    <xf numFmtId="0" fontId="2" fillId="0" borderId="0" xfId="0" applyFont="1" applyAlignment="1">
      <alignment horizontal="left"/>
    </xf>
    <xf numFmtId="165" fontId="0" fillId="0" borderId="0" xfId="0" applyNumberFormat="1"/>
    <xf numFmtId="0" fontId="0" fillId="0" borderId="2" xfId="0" applyBorder="1" applyAlignment="1">
      <alignment horizontal="centerContinuous"/>
    </xf>
    <xf numFmtId="164" fontId="0" fillId="0" borderId="0" xfId="15" applyNumberFormat="1" applyFont="1" applyFill="1" applyBorder="1"/>
    <xf numFmtId="165" fontId="0" fillId="0" borderId="1" xfId="1" applyNumberFormat="1" applyFont="1" applyFill="1" applyBorder="1"/>
    <xf numFmtId="0" fontId="0" fillId="0" borderId="0" xfId="0" applyAlignment="1">
      <alignment horizontal="left" indent="2"/>
    </xf>
    <xf numFmtId="164" fontId="0" fillId="0" borderId="7" xfId="15" applyNumberFormat="1" applyFont="1" applyFill="1" applyBorder="1"/>
    <xf numFmtId="0" fontId="2" fillId="0" borderId="0" xfId="0" quotePrefix="1" applyFont="1" applyAlignment="1">
      <alignment horizontal="center"/>
    </xf>
    <xf numFmtId="0" fontId="0" fillId="0" borderId="0" xfId="0" applyAlignment="1">
      <alignment horizontal="left" indent="3"/>
    </xf>
    <xf numFmtId="165" fontId="8" fillId="0" borderId="0" xfId="1" applyNumberFormat="1" applyFont="1" applyFill="1" applyAlignment="1">
      <alignment horizontal="right"/>
    </xf>
    <xf numFmtId="0" fontId="0" fillId="0" borderId="2" xfId="0" applyBorder="1"/>
    <xf numFmtId="0" fontId="2" fillId="0" borderId="2" xfId="0" applyFont="1" applyBorder="1" applyAlignment="1">
      <alignment horizontal="left"/>
    </xf>
    <xf numFmtId="41" fontId="0" fillId="0" borderId="0" xfId="15" applyNumberFormat="1" applyFont="1" applyFill="1"/>
    <xf numFmtId="164" fontId="0" fillId="0" borderId="0" xfId="0" applyNumberFormat="1"/>
    <xf numFmtId="165" fontId="0" fillId="0" borderId="2" xfId="0" applyNumberFormat="1" applyBorder="1"/>
    <xf numFmtId="0" fontId="4" fillId="0" borderId="0" xfId="0" applyFont="1"/>
    <xf numFmtId="0" fontId="3" fillId="0" borderId="0" xfId="0" applyFont="1" applyAlignment="1">
      <alignment wrapText="1"/>
    </xf>
    <xf numFmtId="42" fontId="0" fillId="0" borderId="2" xfId="0" applyNumberFormat="1" applyBorder="1"/>
    <xf numFmtId="37" fontId="6" fillId="0" borderId="0" xfId="0" applyNumberFormat="1" applyFont="1" applyAlignment="1">
      <alignment horizontal="center"/>
    </xf>
    <xf numFmtId="165" fontId="5" fillId="0" borderId="0" xfId="1" applyNumberFormat="1" applyFont="1" applyFill="1"/>
    <xf numFmtId="165" fontId="5" fillId="0" borderId="0" xfId="1" quotePrefix="1" applyNumberFormat="1" applyFont="1" applyFill="1" applyAlignment="1">
      <alignment horizontal="center"/>
    </xf>
    <xf numFmtId="165" fontId="6" fillId="0" borderId="0" xfId="1" applyNumberFormat="1" applyFont="1" applyAlignment="1">
      <alignment horizontal="center"/>
    </xf>
    <xf numFmtId="165" fontId="5" fillId="0" borderId="7" xfId="1" applyNumberFormat="1" applyFont="1" applyFill="1" applyBorder="1"/>
    <xf numFmtId="165" fontId="5" fillId="0" borderId="4" xfId="1" applyNumberFormat="1" applyFont="1" applyFill="1" applyBorder="1"/>
    <xf numFmtId="165" fontId="5" fillId="0" borderId="0" xfId="1" applyNumberFormat="1" applyFont="1" applyFill="1" applyProtection="1">
      <protection locked="0"/>
    </xf>
    <xf numFmtId="165" fontId="2" fillId="0" borderId="0" xfId="5" applyNumberFormat="1" applyFont="1" applyFill="1" applyAlignment="1">
      <alignment horizontal="center"/>
    </xf>
    <xf numFmtId="165" fontId="2" fillId="0" borderId="0" xfId="5" applyNumberFormat="1" applyFont="1" applyFill="1" applyAlignment="1">
      <alignment wrapText="1"/>
    </xf>
    <xf numFmtId="0" fontId="3" fillId="0" borderId="0" xfId="29"/>
    <xf numFmtId="0" fontId="3" fillId="0" borderId="0" xfId="29" applyAlignment="1">
      <alignment horizontal="left"/>
    </xf>
    <xf numFmtId="0" fontId="8" fillId="0" borderId="0" xfId="29" applyFont="1"/>
    <xf numFmtId="0" fontId="0" fillId="0" borderId="9" xfId="0" applyBorder="1"/>
    <xf numFmtId="3" fontId="0" fillId="0" borderId="0" xfId="0" applyNumberFormat="1"/>
    <xf numFmtId="0" fontId="0" fillId="2" borderId="2" xfId="0" applyFill="1" applyBorder="1"/>
    <xf numFmtId="3" fontId="0" fillId="2" borderId="2" xfId="0" applyNumberFormat="1" applyFill="1" applyBorder="1"/>
    <xf numFmtId="3" fontId="0" fillId="0" borderId="2" xfId="0" applyNumberFormat="1" applyBorder="1"/>
    <xf numFmtId="165" fontId="3" fillId="0" borderId="0" xfId="5" applyNumberFormat="1" applyFont="1" applyFill="1"/>
    <xf numFmtId="165" fontId="0" fillId="0" borderId="0" xfId="6" applyNumberFormat="1" applyFont="1" applyFill="1"/>
    <xf numFmtId="165" fontId="8" fillId="0" borderId="0" xfId="6" applyNumberFormat="1" applyFont="1" applyFill="1" applyAlignment="1">
      <alignment horizontal="right"/>
    </xf>
    <xf numFmtId="41" fontId="3" fillId="0" borderId="0" xfId="29" applyNumberFormat="1"/>
    <xf numFmtId="0" fontId="8" fillId="0" borderId="0" xfId="29" applyFont="1" applyAlignment="1">
      <alignment horizontal="left"/>
    </xf>
    <xf numFmtId="165" fontId="8" fillId="0" borderId="0" xfId="6" applyNumberFormat="1" applyFont="1" applyFill="1"/>
    <xf numFmtId="165" fontId="8" fillId="0" borderId="0" xfId="6" applyNumberFormat="1" applyFont="1" applyFill="1" applyBorder="1"/>
    <xf numFmtId="37" fontId="3" fillId="0" borderId="1" xfId="29" applyNumberFormat="1" applyBorder="1"/>
    <xf numFmtId="37" fontId="7" fillId="0" borderId="0" xfId="0" applyNumberFormat="1" applyFont="1" applyAlignment="1">
      <alignment horizontal="center" wrapText="1"/>
    </xf>
    <xf numFmtId="42" fontId="3" fillId="0" borderId="0" xfId="29" applyNumberFormat="1"/>
    <xf numFmtId="0" fontId="9" fillId="0" borderId="5" xfId="0" applyFont="1" applyBorder="1"/>
    <xf numFmtId="165" fontId="2" fillId="0" borderId="0" xfId="9" applyNumberFormat="1" applyFont="1" applyFill="1" applyAlignment="1">
      <alignment horizontal="centerContinuous"/>
    </xf>
    <xf numFmtId="165" fontId="2" fillId="0" borderId="0" xfId="6" applyNumberFormat="1" applyFont="1" applyFill="1" applyAlignment="1">
      <alignment horizontal="centerContinuous"/>
    </xf>
    <xf numFmtId="165" fontId="2" fillId="0" borderId="0" xfId="6" applyNumberFormat="1" applyFont="1" applyFill="1" applyBorder="1" applyAlignment="1">
      <alignment horizontal="centerContinuous"/>
    </xf>
    <xf numFmtId="0" fontId="2" fillId="0" borderId="0" xfId="29" applyFont="1"/>
    <xf numFmtId="0" fontId="29" fillId="0" borderId="0" xfId="29" applyFont="1"/>
    <xf numFmtId="0" fontId="0" fillId="0" borderId="0" xfId="0" applyAlignment="1">
      <alignment horizontal="left"/>
    </xf>
    <xf numFmtId="0" fontId="0" fillId="0" borderId="0" xfId="0" applyAlignment="1">
      <alignment wrapText="1"/>
    </xf>
    <xf numFmtId="0" fontId="9" fillId="0" borderId="0" xfId="0" applyFont="1" applyAlignment="1">
      <alignment horizontal="left"/>
    </xf>
    <xf numFmtId="0" fontId="9" fillId="0" borderId="2" xfId="0" applyFont="1" applyBorder="1" applyAlignment="1">
      <alignment horizontal="centerContinuous"/>
    </xf>
    <xf numFmtId="0" fontId="14" fillId="0" borderId="2" xfId="0" applyFont="1" applyBorder="1" applyAlignment="1">
      <alignment horizontal="center" wrapText="1"/>
    </xf>
    <xf numFmtId="165" fontId="14" fillId="0" borderId="0" xfId="5" applyNumberFormat="1" applyFont="1" applyFill="1" applyBorder="1" applyAlignment="1">
      <alignment horizontal="center" wrapText="1"/>
    </xf>
    <xf numFmtId="0" fontId="14" fillId="0" borderId="0" xfId="0" applyFont="1"/>
    <xf numFmtId="164" fontId="9" fillId="0" borderId="0" xfId="19" applyNumberFormat="1" applyFont="1" applyFill="1"/>
    <xf numFmtId="165" fontId="9" fillId="0" borderId="0" xfId="5" applyNumberFormat="1" applyFont="1" applyFill="1"/>
    <xf numFmtId="165" fontId="9" fillId="0" borderId="0" xfId="5" applyNumberFormat="1" applyFont="1" applyFill="1" applyBorder="1"/>
    <xf numFmtId="165" fontId="9" fillId="0" borderId="2" xfId="5" applyNumberFormat="1" applyFont="1" applyFill="1" applyBorder="1"/>
    <xf numFmtId="164" fontId="9" fillId="0" borderId="7" xfId="19" applyNumberFormat="1" applyFont="1" applyFill="1" applyBorder="1"/>
    <xf numFmtId="0" fontId="9" fillId="0" borderId="0" xfId="0" applyFont="1" applyAlignment="1">
      <alignment horizontal="left" wrapText="1" indent="1"/>
    </xf>
    <xf numFmtId="0" fontId="9" fillId="0" borderId="0" xfId="0" applyFont="1" applyAlignment="1">
      <alignment horizontal="left" indent="1"/>
    </xf>
    <xf numFmtId="0" fontId="9" fillId="0" borderId="0" xfId="0" applyFont="1" applyAlignment="1">
      <alignment horizontal="left" indent="2"/>
    </xf>
    <xf numFmtId="165" fontId="9" fillId="0" borderId="1" xfId="5" applyNumberFormat="1" applyFont="1" applyFill="1" applyBorder="1"/>
    <xf numFmtId="0" fontId="9" fillId="0" borderId="0" xfId="0" applyFont="1" applyAlignment="1">
      <alignment horizontal="left" indent="3"/>
    </xf>
    <xf numFmtId="164" fontId="9" fillId="0" borderId="4" xfId="19" applyNumberFormat="1" applyFont="1" applyFill="1" applyBorder="1"/>
    <xf numFmtId="0" fontId="0" fillId="0" borderId="0" xfId="0" applyAlignment="1">
      <alignment vertical="top"/>
    </xf>
    <xf numFmtId="0" fontId="14" fillId="0" borderId="0" xfId="0" applyFont="1" applyAlignment="1">
      <alignment wrapText="1"/>
    </xf>
    <xf numFmtId="0" fontId="9" fillId="0" borderId="0" xfId="0" applyFont="1" applyAlignment="1">
      <alignment wrapText="1"/>
    </xf>
    <xf numFmtId="0" fontId="9" fillId="0" borderId="0" xfId="0" applyFont="1" applyAlignment="1">
      <alignment horizontal="left" wrapText="1" indent="2"/>
    </xf>
    <xf numFmtId="165" fontId="14" fillId="0" borderId="0" xfId="1" applyNumberFormat="1" applyFont="1" applyFill="1" applyAlignment="1">
      <alignment horizontal="centerContinuous"/>
    </xf>
    <xf numFmtId="165" fontId="9" fillId="0" borderId="0" xfId="1" applyNumberFormat="1" applyFont="1" applyFill="1" applyAlignment="1">
      <alignment horizontal="centerContinuous"/>
    </xf>
    <xf numFmtId="0" fontId="9" fillId="0" borderId="0" xfId="0" applyFont="1" applyAlignment="1">
      <alignment horizontal="centerContinuous"/>
    </xf>
    <xf numFmtId="165" fontId="9" fillId="0" borderId="0" xfId="9" applyNumberFormat="1" applyFont="1" applyFill="1"/>
    <xf numFmtId="0" fontId="9" fillId="0" borderId="0" xfId="0" applyFont="1" applyAlignment="1">
      <alignment horizontal="center"/>
    </xf>
    <xf numFmtId="165" fontId="9" fillId="0" borderId="0" xfId="1" applyNumberFormat="1" applyFont="1" applyFill="1" applyBorder="1"/>
    <xf numFmtId="165" fontId="9" fillId="0" borderId="0" xfId="9" applyNumberFormat="1" applyFont="1" applyFill="1" applyAlignment="1">
      <alignment horizontal="center"/>
    </xf>
    <xf numFmtId="165" fontId="9" fillId="0" borderId="3" xfId="9" applyNumberFormat="1" applyFont="1" applyFill="1" applyBorder="1" applyAlignment="1">
      <alignment horizontal="center"/>
    </xf>
    <xf numFmtId="0" fontId="9" fillId="0" borderId="3" xfId="0" applyFont="1" applyBorder="1" applyAlignment="1">
      <alignment horizontal="center"/>
    </xf>
    <xf numFmtId="165" fontId="9" fillId="0" borderId="0" xfId="1" applyNumberFormat="1" applyFont="1" applyFill="1" applyBorder="1" applyAlignment="1">
      <alignment horizontal="center"/>
    </xf>
    <xf numFmtId="165" fontId="9" fillId="0" borderId="0" xfId="1" applyNumberFormat="1" applyFont="1" applyFill="1" applyBorder="1" applyAlignment="1">
      <alignment horizontal="left"/>
    </xf>
    <xf numFmtId="165" fontId="9" fillId="0" borderId="0" xfId="9" applyNumberFormat="1" applyFont="1" applyFill="1" applyProtection="1"/>
    <xf numFmtId="37" fontId="9" fillId="0" borderId="0" xfId="0" applyNumberFormat="1" applyFont="1"/>
    <xf numFmtId="42" fontId="9" fillId="0" borderId="0" xfId="17" applyFont="1" applyFill="1" applyAlignment="1">
      <alignment horizontal="left"/>
    </xf>
    <xf numFmtId="165" fontId="9" fillId="0" borderId="0" xfId="9" applyNumberFormat="1" applyFont="1" applyFill="1" applyBorder="1" applyProtection="1"/>
    <xf numFmtId="165" fontId="9" fillId="0" borderId="0" xfId="9" applyNumberFormat="1" applyFont="1" applyFill="1" applyBorder="1" applyAlignment="1" applyProtection="1">
      <alignment horizontal="left"/>
    </xf>
    <xf numFmtId="165" fontId="9" fillId="0" borderId="0" xfId="1" applyNumberFormat="1" applyFont="1" applyFill="1" applyBorder="1" applyProtection="1"/>
    <xf numFmtId="165" fontId="9" fillId="0" borderId="1" xfId="9" applyNumberFormat="1" applyFont="1" applyFill="1" applyBorder="1" applyProtection="1"/>
    <xf numFmtId="165" fontId="9" fillId="0" borderId="0" xfId="9" applyNumberFormat="1" applyFont="1" applyFill="1" applyAlignment="1" applyProtection="1">
      <alignment horizontal="left"/>
    </xf>
    <xf numFmtId="42" fontId="9" fillId="0" borderId="0" xfId="16" applyFont="1" applyFill="1" applyBorder="1" applyAlignment="1">
      <alignment horizontal="left"/>
    </xf>
    <xf numFmtId="165" fontId="9" fillId="0" borderId="0" xfId="1" applyNumberFormat="1" applyFont="1" applyFill="1" applyBorder="1" applyAlignment="1" applyProtection="1">
      <alignment horizontal="left"/>
    </xf>
    <xf numFmtId="41" fontId="9" fillId="0" borderId="0" xfId="3" applyFont="1" applyFill="1" applyBorder="1" applyProtection="1"/>
    <xf numFmtId="41" fontId="9" fillId="0" borderId="0" xfId="2" applyFont="1" applyFill="1" applyBorder="1" applyProtection="1"/>
    <xf numFmtId="41" fontId="9" fillId="0" borderId="1" xfId="3" applyFont="1" applyFill="1" applyBorder="1"/>
    <xf numFmtId="41" fontId="9" fillId="0" borderId="8" xfId="3" applyFont="1" applyFill="1" applyBorder="1"/>
    <xf numFmtId="41" fontId="9" fillId="0" borderId="1" xfId="3" applyFont="1" applyFill="1" applyBorder="1" applyProtection="1"/>
    <xf numFmtId="41" fontId="9" fillId="0" borderId="0" xfId="3" applyFont="1" applyFill="1"/>
    <xf numFmtId="164" fontId="9" fillId="0" borderId="2" xfId="23" applyNumberFormat="1" applyFont="1" applyFill="1" applyBorder="1" applyProtection="1"/>
    <xf numFmtId="41" fontId="9" fillId="0" borderId="2" xfId="3" applyFont="1" applyFill="1" applyBorder="1" applyProtection="1"/>
    <xf numFmtId="41" fontId="9" fillId="0" borderId="0" xfId="0" applyNumberFormat="1" applyFont="1"/>
    <xf numFmtId="41" fontId="9" fillId="0" borderId="0" xfId="3" applyFont="1" applyFill="1" applyBorder="1"/>
    <xf numFmtId="41" fontId="9" fillId="0" borderId="2" xfId="3" applyFont="1" applyFill="1" applyBorder="1"/>
    <xf numFmtId="164" fontId="9" fillId="0" borderId="4" xfId="23" applyNumberFormat="1" applyFont="1" applyFill="1" applyBorder="1"/>
    <xf numFmtId="42" fontId="9" fillId="0" borderId="0" xfId="17" applyFont="1" applyFill="1" applyAlignment="1">
      <alignment horizontal="center"/>
    </xf>
    <xf numFmtId="42" fontId="9" fillId="0" borderId="7" xfId="17" applyFont="1" applyFill="1" applyBorder="1"/>
    <xf numFmtId="165" fontId="9" fillId="0" borderId="5" xfId="1" applyNumberFormat="1" applyFont="1" applyFill="1" applyBorder="1"/>
    <xf numFmtId="165" fontId="9" fillId="0" borderId="0" xfId="1" applyNumberFormat="1" applyFont="1" applyFill="1"/>
    <xf numFmtId="165" fontId="9" fillId="0" borderId="0" xfId="1" applyNumberFormat="1" applyFont="1" applyFill="1" applyAlignment="1">
      <alignment horizontal="center"/>
    </xf>
    <xf numFmtId="165" fontId="9" fillId="0" borderId="0" xfId="1" applyNumberFormat="1" applyFont="1" applyFill="1" applyAlignment="1">
      <alignment horizontal="left"/>
    </xf>
    <xf numFmtId="165" fontId="9" fillId="0" borderId="3" xfId="1" applyNumberFormat="1" applyFont="1" applyFill="1" applyBorder="1" applyAlignment="1">
      <alignment horizontal="center"/>
    </xf>
    <xf numFmtId="165" fontId="9" fillId="0" borderId="0" xfId="1" applyNumberFormat="1" applyFont="1" applyFill="1" applyProtection="1"/>
    <xf numFmtId="164" fontId="9" fillId="0" borderId="0" xfId="1" applyNumberFormat="1" applyFont="1" applyFill="1" applyProtection="1"/>
    <xf numFmtId="164" fontId="9" fillId="0" borderId="0" xfId="0" applyNumberFormat="1" applyFont="1"/>
    <xf numFmtId="165" fontId="9" fillId="0" borderId="2" xfId="1" applyNumberFormat="1" applyFont="1" applyFill="1" applyBorder="1" applyProtection="1"/>
    <xf numFmtId="37" fontId="9" fillId="0" borderId="2" xfId="0" applyNumberFormat="1" applyFont="1" applyBorder="1"/>
    <xf numFmtId="165" fontId="9" fillId="0" borderId="3" xfId="1" applyNumberFormat="1" applyFont="1" applyFill="1" applyBorder="1" applyProtection="1"/>
    <xf numFmtId="37" fontId="9" fillId="0" borderId="3" xfId="0" applyNumberFormat="1" applyFont="1" applyBorder="1"/>
    <xf numFmtId="165" fontId="9" fillId="0" borderId="0" xfId="1" applyNumberFormat="1" applyFont="1" applyFill="1" applyAlignment="1" applyProtection="1">
      <alignment horizontal="right"/>
    </xf>
    <xf numFmtId="165" fontId="9" fillId="0" borderId="3" xfId="1" applyNumberFormat="1" applyFont="1" applyFill="1" applyBorder="1" applyAlignment="1" applyProtection="1">
      <alignment horizontal="right"/>
    </xf>
    <xf numFmtId="164" fontId="9" fillId="0" borderId="6" xfId="1" applyNumberFormat="1" applyFont="1" applyFill="1" applyBorder="1" applyAlignment="1" applyProtection="1">
      <alignment horizontal="right"/>
    </xf>
    <xf numFmtId="164" fontId="9" fillId="0" borderId="6" xfId="0" applyNumberFormat="1" applyFont="1" applyBorder="1"/>
    <xf numFmtId="0" fontId="9" fillId="0" borderId="0" xfId="29" applyFont="1" applyAlignment="1">
      <alignment horizontal="center"/>
    </xf>
    <xf numFmtId="0" fontId="9" fillId="0" borderId="0" xfId="29" applyFont="1"/>
    <xf numFmtId="0" fontId="9" fillId="0" borderId="2" xfId="29" applyFont="1" applyBorder="1"/>
    <xf numFmtId="0" fontId="14" fillId="0" borderId="0" xfId="29" applyFont="1"/>
    <xf numFmtId="42" fontId="9" fillId="0" borderId="0" xfId="23" applyNumberFormat="1" applyFont="1" applyFill="1"/>
    <xf numFmtId="42" fontId="9" fillId="0" borderId="0" xfId="29" applyNumberFormat="1" applyFont="1"/>
    <xf numFmtId="41" fontId="9" fillId="0" borderId="0" xfId="9" applyNumberFormat="1" applyFont="1" applyFill="1"/>
    <xf numFmtId="41" fontId="9" fillId="0" borderId="2" xfId="9" applyNumberFormat="1" applyFont="1" applyFill="1" applyBorder="1"/>
    <xf numFmtId="41" fontId="9" fillId="0" borderId="0" xfId="29" applyNumberFormat="1" applyFont="1"/>
    <xf numFmtId="41" fontId="9" fillId="0" borderId="2" xfId="29" applyNumberFormat="1" applyFont="1" applyBorder="1"/>
    <xf numFmtId="164" fontId="9" fillId="0" borderId="0" xfId="23" applyNumberFormat="1" applyFont="1" applyFill="1" applyBorder="1"/>
    <xf numFmtId="41" fontId="9" fillId="0" borderId="0" xfId="15" applyNumberFormat="1" applyFont="1" applyFill="1"/>
    <xf numFmtId="41" fontId="9" fillId="0" borderId="1" xfId="23" applyNumberFormat="1" applyFont="1" applyFill="1" applyBorder="1"/>
    <xf numFmtId="41" fontId="9" fillId="0" borderId="1" xfId="29" applyNumberFormat="1" applyFont="1" applyBorder="1"/>
    <xf numFmtId="44" fontId="9" fillId="0" borderId="4" xfId="23" applyFont="1" applyFill="1" applyBorder="1"/>
    <xf numFmtId="165" fontId="9" fillId="0" borderId="2" xfId="9" applyNumberFormat="1" applyFont="1" applyFill="1" applyBorder="1" applyAlignment="1">
      <alignment horizontal="center"/>
    </xf>
    <xf numFmtId="165" fontId="9" fillId="0" borderId="5" xfId="9" applyNumberFormat="1" applyFont="1" applyFill="1" applyBorder="1"/>
    <xf numFmtId="0" fontId="9" fillId="0" borderId="5" xfId="29" applyFont="1" applyBorder="1"/>
    <xf numFmtId="43" fontId="9" fillId="0" borderId="5" xfId="9" applyFont="1" applyFill="1" applyBorder="1"/>
    <xf numFmtId="165" fontId="9" fillId="0" borderId="11" xfId="9" applyNumberFormat="1" applyFont="1" applyFill="1" applyBorder="1"/>
    <xf numFmtId="0" fontId="9" fillId="0" borderId="11" xfId="29" applyFont="1" applyBorder="1"/>
    <xf numFmtId="43" fontId="9" fillId="0" borderId="11" xfId="9" applyFont="1" applyFill="1" applyBorder="1"/>
    <xf numFmtId="43" fontId="9" fillId="0" borderId="2" xfId="9" applyFont="1" applyFill="1" applyBorder="1" applyAlignment="1">
      <alignment horizontal="center"/>
    </xf>
    <xf numFmtId="43" fontId="9" fillId="0" borderId="0" xfId="9" applyFont="1" applyFill="1"/>
    <xf numFmtId="37" fontId="9" fillId="0" borderId="0" xfId="29" applyNumberFormat="1" applyFont="1" applyAlignment="1">
      <alignment horizontal="left"/>
    </xf>
    <xf numFmtId="42" fontId="9" fillId="0" borderId="2" xfId="17" applyFont="1" applyFill="1" applyBorder="1"/>
    <xf numFmtId="42" fontId="9" fillId="0" borderId="0" xfId="17" applyFont="1" applyFill="1" applyAlignment="1" applyProtection="1">
      <alignment horizontal="left"/>
    </xf>
    <xf numFmtId="42" fontId="9" fillId="0" borderId="0" xfId="17" applyFont="1" applyFill="1"/>
    <xf numFmtId="42" fontId="9" fillId="0" borderId="4" xfId="17" applyFont="1" applyFill="1" applyBorder="1"/>
    <xf numFmtId="37" fontId="9" fillId="0" borderId="0" xfId="29" applyNumberFormat="1" applyFont="1"/>
    <xf numFmtId="37" fontId="9" fillId="0" borderId="2" xfId="29" applyNumberFormat="1" applyFont="1" applyBorder="1"/>
    <xf numFmtId="44" fontId="9" fillId="0" borderId="0" xfId="23" applyFont="1" applyFill="1"/>
    <xf numFmtId="0" fontId="14" fillId="0" borderId="0" xfId="0" applyFont="1" applyAlignment="1">
      <alignment horizontal="centerContinuous"/>
    </xf>
    <xf numFmtId="164" fontId="9" fillId="0" borderId="0" xfId="1" applyNumberFormat="1" applyFont="1" applyFill="1" applyAlignment="1" applyProtection="1">
      <alignment horizontal="right"/>
    </xf>
    <xf numFmtId="165" fontId="9" fillId="0" borderId="0" xfId="1" applyNumberFormat="1" applyFont="1" applyFill="1" applyBorder="1" applyAlignment="1" applyProtection="1">
      <alignment horizontal="right"/>
    </xf>
    <xf numFmtId="165" fontId="9" fillId="0" borderId="2" xfId="1" applyNumberFormat="1" applyFont="1" applyFill="1" applyBorder="1" applyAlignment="1" applyProtection="1">
      <alignment horizontal="right"/>
    </xf>
    <xf numFmtId="164" fontId="9" fillId="0" borderId="1" xfId="15" applyNumberFormat="1" applyFont="1" applyFill="1" applyBorder="1" applyProtection="1"/>
    <xf numFmtId="165" fontId="9" fillId="0" borderId="12" xfId="1" applyNumberFormat="1" applyFont="1" applyFill="1" applyBorder="1" applyProtection="1"/>
    <xf numFmtId="0" fontId="14" fillId="0" borderId="0" xfId="0" applyFont="1" applyAlignment="1">
      <alignment horizontal="left"/>
    </xf>
    <xf numFmtId="165" fontId="9" fillId="0" borderId="3" xfId="1" applyNumberFormat="1" applyFont="1" applyFill="1" applyBorder="1" applyAlignment="1">
      <alignment horizontal="right"/>
    </xf>
    <xf numFmtId="164" fontId="9" fillId="0" borderId="4" xfId="1" applyNumberFormat="1" applyFont="1" applyFill="1" applyBorder="1" applyProtection="1"/>
    <xf numFmtId="167" fontId="14" fillId="0" borderId="0" xfId="36" applyFont="1" applyAlignment="1">
      <alignment horizontal="left"/>
    </xf>
    <xf numFmtId="167" fontId="9" fillId="0" borderId="0" xfId="36" applyFont="1"/>
    <xf numFmtId="37" fontId="9" fillId="0" borderId="0" xfId="36" applyNumberFormat="1" applyFont="1"/>
    <xf numFmtId="167" fontId="9" fillId="0" borderId="0" xfId="36" applyFont="1" applyAlignment="1">
      <alignment horizontal="left"/>
    </xf>
    <xf numFmtId="167" fontId="9" fillId="0" borderId="13" xfId="35" applyFont="1" applyBorder="1"/>
    <xf numFmtId="167" fontId="9" fillId="0" borderId="0" xfId="35" applyFont="1"/>
    <xf numFmtId="167" fontId="9" fillId="0" borderId="0" xfId="35" applyFont="1" applyAlignment="1">
      <alignment horizontal="center"/>
    </xf>
    <xf numFmtId="167" fontId="9" fillId="0" borderId="0" xfId="35" applyFont="1" applyAlignment="1">
      <alignment horizontal="left"/>
    </xf>
    <xf numFmtId="42" fontId="9" fillId="0" borderId="0" xfId="35" applyNumberFormat="1" applyFont="1"/>
    <xf numFmtId="42" fontId="9" fillId="0" borderId="0" xfId="35" applyNumberFormat="1" applyFont="1" applyAlignment="1">
      <alignment horizontal="right"/>
    </xf>
    <xf numFmtId="41" fontId="9" fillId="0" borderId="0" xfId="35" applyNumberFormat="1" applyFont="1"/>
    <xf numFmtId="41" fontId="9" fillId="0" borderId="0" xfId="35" applyNumberFormat="1" applyFont="1" applyAlignment="1">
      <alignment horizontal="right"/>
    </xf>
    <xf numFmtId="41" fontId="9" fillId="0" borderId="1" xfId="35" applyNumberFormat="1" applyFont="1" applyBorder="1"/>
    <xf numFmtId="42" fontId="9" fillId="0" borderId="4" xfId="35" applyNumberFormat="1" applyFont="1" applyBorder="1" applyAlignment="1">
      <alignment horizontal="right"/>
    </xf>
    <xf numFmtId="167" fontId="14" fillId="0" borderId="0" xfId="36" applyFont="1" applyAlignment="1">
      <alignment horizontal="centerContinuous"/>
    </xf>
    <xf numFmtId="167" fontId="9" fillId="0" borderId="0" xfId="36" applyFont="1" applyAlignment="1">
      <alignment horizontal="centerContinuous"/>
    </xf>
    <xf numFmtId="167" fontId="9" fillId="0" borderId="9" xfId="36" applyFont="1" applyBorder="1" applyAlignment="1">
      <alignment horizontal="centerContinuous"/>
    </xf>
    <xf numFmtId="167" fontId="9" fillId="0" borderId="0" xfId="36" applyFont="1" applyAlignment="1">
      <alignment horizontal="center"/>
    </xf>
    <xf numFmtId="167" fontId="9" fillId="0" borderId="3" xfId="36" applyFont="1" applyBorder="1" applyAlignment="1">
      <alignment horizontal="center"/>
    </xf>
    <xf numFmtId="42" fontId="9" fillId="0" borderId="0" xfId="15" applyNumberFormat="1" applyFont="1" applyFill="1" applyAlignment="1" applyProtection="1">
      <alignment horizontal="right"/>
    </xf>
    <xf numFmtId="42" fontId="9" fillId="0" borderId="0" xfId="15" applyNumberFormat="1" applyFont="1" applyFill="1" applyProtection="1"/>
    <xf numFmtId="41" fontId="9" fillId="0" borderId="3" xfId="1" applyNumberFormat="1" applyFont="1" applyFill="1" applyBorder="1" applyAlignment="1" applyProtection="1">
      <alignment horizontal="right"/>
    </xf>
    <xf numFmtId="41" fontId="9" fillId="0" borderId="0" xfId="36" applyNumberFormat="1" applyFont="1"/>
    <xf numFmtId="41" fontId="9" fillId="0" borderId="3" xfId="36" applyNumberFormat="1" applyFont="1" applyBorder="1"/>
    <xf numFmtId="164" fontId="9" fillId="0" borderId="3" xfId="15" applyNumberFormat="1" applyFont="1" applyFill="1" applyBorder="1" applyProtection="1"/>
    <xf numFmtId="41" fontId="9" fillId="0" borderId="0" xfId="36" applyNumberFormat="1" applyFont="1" applyAlignment="1">
      <alignment horizontal="right"/>
    </xf>
    <xf numFmtId="41" fontId="9" fillId="0" borderId="3" xfId="36" applyNumberFormat="1" applyFont="1" applyBorder="1" applyAlignment="1">
      <alignment horizontal="right"/>
    </xf>
    <xf numFmtId="165" fontId="9" fillId="0" borderId="0" xfId="0" applyNumberFormat="1" applyFont="1" applyAlignment="1">
      <alignment horizontal="right"/>
    </xf>
    <xf numFmtId="41" fontId="9" fillId="0" borderId="1" xfId="36" applyNumberFormat="1" applyFont="1" applyBorder="1"/>
    <xf numFmtId="0" fontId="9" fillId="0" borderId="0" xfId="36" applyNumberFormat="1" applyFont="1"/>
    <xf numFmtId="41" fontId="9" fillId="0" borderId="2" xfId="36" applyNumberFormat="1" applyFont="1" applyBorder="1"/>
    <xf numFmtId="41" fontId="9" fillId="0" borderId="0" xfId="0" applyNumberFormat="1" applyFont="1" applyAlignment="1">
      <alignment horizontal="right"/>
    </xf>
    <xf numFmtId="42" fontId="9" fillId="0" borderId="6" xfId="15" applyNumberFormat="1" applyFont="1" applyFill="1" applyBorder="1" applyProtection="1"/>
    <xf numFmtId="167" fontId="14" fillId="0" borderId="0" xfId="34" applyFont="1" applyAlignment="1">
      <alignment horizontal="centerContinuous"/>
    </xf>
    <xf numFmtId="167" fontId="9" fillId="0" borderId="0" xfId="34" applyFont="1" applyAlignment="1">
      <alignment horizontal="centerContinuous"/>
    </xf>
    <xf numFmtId="167" fontId="9" fillId="0" borderId="5" xfId="34" applyFont="1" applyBorder="1"/>
    <xf numFmtId="167" fontId="9" fillId="0" borderId="0" xfId="34" applyFont="1"/>
    <xf numFmtId="167" fontId="9" fillId="0" borderId="0" xfId="34" applyFont="1" applyAlignment="1">
      <alignment horizontal="center"/>
    </xf>
    <xf numFmtId="167" fontId="9" fillId="0" borderId="3" xfId="34" applyFont="1" applyBorder="1" applyAlignment="1">
      <alignment horizontal="centerContinuous"/>
    </xf>
    <xf numFmtId="167" fontId="9" fillId="0" borderId="0" xfId="34" applyFont="1" applyAlignment="1">
      <alignment horizontal="left"/>
    </xf>
    <xf numFmtId="167" fontId="9" fillId="0" borderId="3" xfId="34" applyFont="1" applyBorder="1" applyAlignment="1">
      <alignment horizontal="center"/>
    </xf>
    <xf numFmtId="37" fontId="9" fillId="0" borderId="0" xfId="34" applyNumberFormat="1" applyFont="1"/>
    <xf numFmtId="42" fontId="9" fillId="0" borderId="0" xfId="15" applyNumberFormat="1" applyFont="1" applyFill="1" applyAlignment="1">
      <alignment horizontal="left"/>
    </xf>
    <xf numFmtId="41" fontId="9" fillId="0" borderId="3" xfId="34" applyNumberFormat="1" applyFont="1" applyBorder="1"/>
    <xf numFmtId="41" fontId="9" fillId="0" borderId="0" xfId="34" applyNumberFormat="1" applyFont="1"/>
    <xf numFmtId="41" fontId="9" fillId="0" borderId="0" xfId="1" applyNumberFormat="1" applyFont="1" applyFill="1" applyAlignment="1" applyProtection="1">
      <alignment horizontal="right"/>
    </xf>
    <xf numFmtId="41" fontId="9" fillId="0" borderId="2" xfId="34" applyNumberFormat="1" applyFont="1" applyBorder="1"/>
    <xf numFmtId="42" fontId="9" fillId="0" borderId="6" xfId="15" applyNumberFormat="1" applyFont="1" applyFill="1" applyBorder="1" applyAlignment="1">
      <alignment horizontal="right"/>
    </xf>
    <xf numFmtId="164" fontId="9" fillId="0" borderId="0" xfId="15" applyNumberFormat="1" applyFont="1" applyFill="1" applyProtection="1"/>
    <xf numFmtId="164" fontId="9" fillId="0" borderId="0" xfId="15" applyNumberFormat="1" applyFont="1" applyFill="1" applyAlignment="1" applyProtection="1">
      <alignment horizontal="right"/>
    </xf>
    <xf numFmtId="167" fontId="3" fillId="0" borderId="0" xfId="31" applyFont="1"/>
    <xf numFmtId="41" fontId="3" fillId="0" borderId="0" xfId="31" applyNumberFormat="1" applyFont="1"/>
    <xf numFmtId="167" fontId="3" fillId="0" borderId="0" xfId="31" applyFont="1" applyAlignment="1">
      <alignment horizontal="center"/>
    </xf>
    <xf numFmtId="167" fontId="3" fillId="0" borderId="0" xfId="31" applyFont="1" applyAlignment="1">
      <alignment horizontal="right"/>
    </xf>
    <xf numFmtId="10" fontId="19" fillId="0" borderId="0" xfId="31" applyNumberFormat="1" applyFont="1"/>
    <xf numFmtId="167" fontId="20" fillId="0" borderId="0" xfId="31" applyFont="1"/>
    <xf numFmtId="167" fontId="2" fillId="0" borderId="0" xfId="32" applyFont="1" applyAlignment="1">
      <alignment horizontal="centerContinuous"/>
    </xf>
    <xf numFmtId="167" fontId="3" fillId="0" borderId="0" xfId="32" applyFont="1"/>
    <xf numFmtId="168" fontId="2" fillId="0" borderId="0" xfId="32" applyNumberFormat="1" applyFont="1" applyAlignment="1">
      <alignment horizontal="centerContinuous"/>
    </xf>
    <xf numFmtId="167" fontId="21" fillId="0" borderId="0" xfId="32" applyFont="1" applyAlignment="1">
      <alignment horizontal="left"/>
    </xf>
    <xf numFmtId="167" fontId="14" fillId="0" borderId="0" xfId="38" applyFont="1" applyAlignment="1">
      <alignment horizontal="left"/>
    </xf>
    <xf numFmtId="167" fontId="9" fillId="0" borderId="0" xfId="38" applyFont="1"/>
    <xf numFmtId="167" fontId="9" fillId="0" borderId="0" xfId="38" applyFont="1" applyAlignment="1">
      <alignment horizontal="center"/>
    </xf>
    <xf numFmtId="37" fontId="9" fillId="0" borderId="0" xfId="38" applyNumberFormat="1" applyFont="1"/>
    <xf numFmtId="37" fontId="9" fillId="0" borderId="0" xfId="38" applyNumberFormat="1" applyFont="1" applyAlignment="1">
      <alignment horizontal="center"/>
    </xf>
    <xf numFmtId="165" fontId="9" fillId="0" borderId="2" xfId="1" applyNumberFormat="1" applyFont="1" applyFill="1" applyBorder="1"/>
    <xf numFmtId="164" fontId="3" fillId="0" borderId="4" xfId="29" applyNumberFormat="1" applyBorder="1"/>
    <xf numFmtId="0" fontId="31" fillId="0" borderId="0" xfId="0" applyFont="1" applyAlignment="1">
      <alignment wrapText="1"/>
    </xf>
    <xf numFmtId="172" fontId="31" fillId="0" borderId="0" xfId="39" applyNumberFormat="1" applyFont="1" applyBorder="1"/>
    <xf numFmtId="164" fontId="31" fillId="0" borderId="0" xfId="15" applyNumberFormat="1" applyFont="1" applyFill="1" applyBorder="1"/>
    <xf numFmtId="164" fontId="31" fillId="0" borderId="0" xfId="15" applyNumberFormat="1" applyFont="1"/>
    <xf numFmtId="10" fontId="31" fillId="0" borderId="0" xfId="39" applyNumberFormat="1" applyFont="1"/>
    <xf numFmtId="0" fontId="31" fillId="0" borderId="0" xfId="0" applyFont="1"/>
    <xf numFmtId="165" fontId="31" fillId="0" borderId="2" xfId="1" applyNumberFormat="1" applyFont="1" applyBorder="1"/>
    <xf numFmtId="164" fontId="31" fillId="0" borderId="7" xfId="15" applyNumberFormat="1" applyFont="1" applyBorder="1"/>
    <xf numFmtId="0" fontId="32" fillId="0" borderId="2" xfId="0" applyFont="1" applyBorder="1" applyAlignment="1">
      <alignment horizontal="center"/>
    </xf>
    <xf numFmtId="0" fontId="32" fillId="0" borderId="0" xfId="0" applyFont="1"/>
    <xf numFmtId="0" fontId="31" fillId="0" borderId="0" xfId="0" applyFont="1" applyAlignment="1">
      <alignment vertical="top" wrapText="1"/>
    </xf>
    <xf numFmtId="167" fontId="9" fillId="0" borderId="14" xfId="38" applyFont="1" applyBorder="1" applyAlignment="1">
      <alignment horizontal="left"/>
    </xf>
    <xf numFmtId="167" fontId="9" fillId="0" borderId="15" xfId="38" applyFont="1" applyBorder="1"/>
    <xf numFmtId="0" fontId="9" fillId="0" borderId="0" xfId="29" applyFont="1" applyAlignment="1">
      <alignment horizontal="right"/>
    </xf>
    <xf numFmtId="165" fontId="9" fillId="0" borderId="1" xfId="1" applyNumberFormat="1" applyFont="1" applyFill="1" applyBorder="1" applyAlignment="1" applyProtection="1">
      <alignment horizontal="right"/>
    </xf>
    <xf numFmtId="0" fontId="2" fillId="0" borderId="2" xfId="0" applyFont="1" applyBorder="1" applyAlignment="1">
      <alignment horizontal="center"/>
    </xf>
    <xf numFmtId="165" fontId="2" fillId="0" borderId="0" xfId="1" applyNumberFormat="1" applyFont="1" applyFill="1" applyAlignment="1">
      <alignment horizontal="right"/>
    </xf>
    <xf numFmtId="0" fontId="2" fillId="0" borderId="0" xfId="0" applyFont="1" applyAlignment="1">
      <alignment horizontal="left" indent="2"/>
    </xf>
    <xf numFmtId="0" fontId="2" fillId="0" borderId="0" xfId="0" applyFont="1" applyAlignment="1">
      <alignment horizontal="left" indent="3"/>
    </xf>
    <xf numFmtId="10" fontId="0" fillId="0" borderId="0" xfId="39" applyNumberFormat="1" applyFont="1"/>
    <xf numFmtId="41" fontId="0" fillId="0" borderId="0" xfId="15" applyNumberFormat="1" applyFont="1"/>
    <xf numFmtId="41" fontId="0" fillId="0" borderId="2" xfId="15" applyNumberFormat="1" applyFont="1" applyBorder="1"/>
    <xf numFmtId="170" fontId="0" fillId="0" borderId="0" xfId="0" applyNumberFormat="1"/>
    <xf numFmtId="43" fontId="0" fillId="0" borderId="0" xfId="0" applyNumberFormat="1"/>
    <xf numFmtId="42" fontId="0" fillId="0" borderId="7" xfId="0" applyNumberFormat="1" applyBorder="1"/>
    <xf numFmtId="164" fontId="0" fillId="0" borderId="0" xfId="15" applyNumberFormat="1" applyFont="1"/>
    <xf numFmtId="164" fontId="0" fillId="0" borderId="7" xfId="15" applyNumberFormat="1" applyFont="1" applyBorder="1"/>
    <xf numFmtId="165" fontId="9" fillId="0" borderId="0" xfId="0" applyNumberFormat="1" applyFont="1" applyAlignment="1">
      <alignment horizontal="left"/>
    </xf>
    <xf numFmtId="41" fontId="0" fillId="0" borderId="0" xfId="15" applyNumberFormat="1" applyFont="1" applyBorder="1"/>
    <xf numFmtId="41" fontId="0" fillId="0" borderId="1" xfId="0" applyNumberFormat="1" applyBorder="1"/>
    <xf numFmtId="164" fontId="1" fillId="0" borderId="7" xfId="15" applyNumberFormat="1" applyFont="1" applyFill="1" applyBorder="1"/>
    <xf numFmtId="165" fontId="1" fillId="0" borderId="0" xfId="1" applyNumberFormat="1" applyFont="1" applyFill="1"/>
    <xf numFmtId="165" fontId="1" fillId="0" borderId="0" xfId="1" applyNumberFormat="1" applyFont="1" applyFill="1" applyBorder="1"/>
    <xf numFmtId="165" fontId="1" fillId="0" borderId="0" xfId="1" applyNumberFormat="1" applyFont="1" applyFill="1" applyAlignment="1">
      <alignment horizontal="right"/>
    </xf>
    <xf numFmtId="165" fontId="1" fillId="0" borderId="0" xfId="0" applyNumberFormat="1" applyFont="1"/>
    <xf numFmtId="43" fontId="1" fillId="0" borderId="0" xfId="0" applyNumberFormat="1" applyFont="1"/>
    <xf numFmtId="164" fontId="31" fillId="0" borderId="0" xfId="15" applyNumberFormat="1" applyFont="1" applyBorder="1" applyAlignment="1">
      <alignment wrapText="1"/>
    </xf>
    <xf numFmtId="10" fontId="1" fillId="0" borderId="0" xfId="1" applyNumberFormat="1" applyFont="1"/>
    <xf numFmtId="164" fontId="31" fillId="0" borderId="0" xfId="15" applyNumberFormat="1" applyFont="1" applyAlignment="1">
      <alignment wrapText="1"/>
    </xf>
    <xf numFmtId="10" fontId="31" fillId="0" borderId="0" xfId="0" applyNumberFormat="1" applyFont="1"/>
    <xf numFmtId="10" fontId="31" fillId="0" borderId="0" xfId="39" applyNumberFormat="1" applyFont="1" applyFill="1" applyBorder="1" applyAlignment="1">
      <alignment wrapText="1"/>
    </xf>
    <xf numFmtId="10" fontId="31" fillId="0" borderId="0" xfId="0" applyNumberFormat="1" applyFont="1" applyAlignment="1">
      <alignment wrapText="1"/>
    </xf>
    <xf numFmtId="0" fontId="1" fillId="0" borderId="0" xfId="0" applyFont="1"/>
    <xf numFmtId="165" fontId="1" fillId="0" borderId="0" xfId="1" applyNumberFormat="1" applyFont="1"/>
    <xf numFmtId="165" fontId="1" fillId="0" borderId="2" xfId="1" applyNumberFormat="1" applyFont="1" applyBorder="1"/>
    <xf numFmtId="164" fontId="1" fillId="0" borderId="0" xfId="15" applyNumberFormat="1" applyFont="1"/>
    <xf numFmtId="167" fontId="1" fillId="0" borderId="0" xfId="32" applyFont="1"/>
    <xf numFmtId="165" fontId="0" fillId="0" borderId="0" xfId="1" applyNumberFormat="1" applyFont="1"/>
    <xf numFmtId="0" fontId="34" fillId="0" borderId="0" xfId="0" applyFont="1"/>
    <xf numFmtId="164" fontId="1" fillId="0" borderId="0" xfId="15" applyNumberFormat="1" applyFont="1" applyFill="1"/>
    <xf numFmtId="164" fontId="1" fillId="0" borderId="0" xfId="15" applyNumberFormat="1" applyFont="1" applyFill="1" applyBorder="1"/>
    <xf numFmtId="164" fontId="1" fillId="0" borderId="0" xfId="1" applyNumberFormat="1" applyFont="1" applyFill="1"/>
    <xf numFmtId="165" fontId="1" fillId="0" borderId="1" xfId="1" applyNumberFormat="1" applyFont="1" applyFill="1" applyBorder="1"/>
    <xf numFmtId="165" fontId="1" fillId="0" borderId="8" xfId="1" applyNumberFormat="1" applyFont="1" applyFill="1" applyBorder="1"/>
    <xf numFmtId="0" fontId="1" fillId="0" borderId="0" xfId="0" applyFont="1" applyAlignment="1">
      <alignment horizontal="right"/>
    </xf>
    <xf numFmtId="3" fontId="1" fillId="0" borderId="0" xfId="0" applyNumberFormat="1" applyFont="1"/>
    <xf numFmtId="41" fontId="1" fillId="0" borderId="0" xfId="0" applyNumberFormat="1" applyFont="1"/>
    <xf numFmtId="165" fontId="1" fillId="0" borderId="2" xfId="1" applyNumberFormat="1" applyFont="1" applyFill="1" applyBorder="1"/>
    <xf numFmtId="43" fontId="1" fillId="0" borderId="0" xfId="1" applyFont="1" applyFill="1"/>
    <xf numFmtId="41" fontId="1" fillId="0" borderId="0" xfId="1" applyNumberFormat="1" applyFont="1" applyFill="1"/>
    <xf numFmtId="42" fontId="1" fillId="0" borderId="0" xfId="0" applyNumberFormat="1" applyFont="1"/>
    <xf numFmtId="41" fontId="1" fillId="0" borderId="2" xfId="0" applyNumberFormat="1" applyFont="1" applyBorder="1"/>
    <xf numFmtId="0" fontId="1" fillId="0" borderId="0" xfId="0" applyFont="1" applyAlignment="1">
      <alignment horizontal="left" indent="2"/>
    </xf>
    <xf numFmtId="0" fontId="1" fillId="0" borderId="0" xfId="0" applyFont="1" applyAlignment="1">
      <alignment horizontal="left" indent="3"/>
    </xf>
    <xf numFmtId="164" fontId="1" fillId="0" borderId="0" xfId="0" applyNumberFormat="1" applyFont="1"/>
    <xf numFmtId="175" fontId="1" fillId="0" borderId="0" xfId="0" applyNumberFormat="1" applyFont="1"/>
    <xf numFmtId="166" fontId="1" fillId="0" borderId="0" xfId="0" applyNumberFormat="1" applyFont="1"/>
    <xf numFmtId="41" fontId="1" fillId="0" borderId="0" xfId="15" applyNumberFormat="1" applyFont="1" applyFill="1"/>
    <xf numFmtId="165" fontId="1" fillId="0" borderId="2" xfId="0" applyNumberFormat="1" applyFont="1" applyBorder="1"/>
    <xf numFmtId="176" fontId="1" fillId="0" borderId="0" xfId="0" applyNumberFormat="1" applyFont="1"/>
    <xf numFmtId="44" fontId="1" fillId="0" borderId="0" xfId="0" applyNumberFormat="1" applyFont="1"/>
    <xf numFmtId="174" fontId="1" fillId="0" borderId="0" xfId="0" applyNumberFormat="1" applyFont="1"/>
    <xf numFmtId="0" fontId="1" fillId="0" borderId="0" xfId="0" applyFont="1" applyAlignment="1">
      <alignment horizontal="left" vertical="center" wrapText="1" indent="1"/>
    </xf>
    <xf numFmtId="0" fontId="1" fillId="0" borderId="0" xfId="0" applyFont="1" applyAlignment="1">
      <alignment horizontal="left" wrapText="1" indent="2"/>
    </xf>
    <xf numFmtId="0" fontId="1" fillId="0" borderId="0" xfId="0" applyFont="1" applyAlignment="1">
      <alignment horizontal="left" wrapText="1" indent="3"/>
    </xf>
    <xf numFmtId="164" fontId="1" fillId="0" borderId="0" xfId="15" applyNumberFormat="1" applyFont="1" applyFill="1" applyBorder="1" applyAlignment="1">
      <alignment horizontal="right"/>
    </xf>
    <xf numFmtId="0" fontId="1" fillId="0" borderId="0" xfId="0" applyFont="1" applyAlignment="1">
      <alignment horizontal="centerContinuous"/>
    </xf>
    <xf numFmtId="42" fontId="1" fillId="0" borderId="4" xfId="0" applyNumberFormat="1" applyFont="1" applyBorder="1"/>
    <xf numFmtId="0" fontId="1" fillId="0" borderId="0" xfId="0" applyFont="1" applyAlignment="1">
      <alignment horizontal="left" wrapText="1" indent="4"/>
    </xf>
    <xf numFmtId="0" fontId="1" fillId="0" borderId="0" xfId="0" applyFont="1" applyAlignment="1">
      <alignment horizontal="left" wrapText="1" indent="5"/>
    </xf>
    <xf numFmtId="178" fontId="1" fillId="0" borderId="0" xfId="1" applyNumberFormat="1" applyFont="1" applyFill="1"/>
    <xf numFmtId="165" fontId="1" fillId="0" borderId="2" xfId="1" applyNumberFormat="1" applyFont="1" applyFill="1" applyBorder="1" applyAlignment="1">
      <alignment horizontal="right"/>
    </xf>
    <xf numFmtId="165" fontId="1" fillId="0" borderId="3" xfId="1" applyNumberFormat="1" applyFont="1" applyFill="1" applyBorder="1"/>
    <xf numFmtId="164" fontId="1" fillId="0" borderId="0" xfId="1" applyNumberFormat="1" applyFont="1" applyFill="1" applyBorder="1"/>
    <xf numFmtId="0" fontId="1" fillId="0" borderId="0" xfId="0" applyFont="1" applyAlignment="1">
      <alignment horizontal="left"/>
    </xf>
    <xf numFmtId="43" fontId="9" fillId="0" borderId="2" xfId="1" applyFont="1" applyFill="1" applyBorder="1"/>
    <xf numFmtId="43" fontId="9" fillId="0" borderId="0" xfId="1" applyFont="1" applyFill="1" applyBorder="1"/>
    <xf numFmtId="1" fontId="1" fillId="0" borderId="0" xfId="0" applyNumberFormat="1" applyFont="1"/>
    <xf numFmtId="41" fontId="1" fillId="0" borderId="0" xfId="0" applyNumberFormat="1" applyFont="1" applyAlignment="1">
      <alignment horizontal="right"/>
    </xf>
    <xf numFmtId="10" fontId="1" fillId="0" borderId="0" xfId="39" applyNumberFormat="1" applyFont="1" applyFill="1"/>
    <xf numFmtId="172" fontId="1" fillId="0" borderId="0" xfId="39" applyNumberFormat="1" applyFont="1" applyFill="1"/>
    <xf numFmtId="43" fontId="1" fillId="0" borderId="0" xfId="1" applyFont="1" applyFill="1" applyBorder="1"/>
    <xf numFmtId="0" fontId="1" fillId="0" borderId="3" xfId="0" applyFont="1" applyBorder="1" applyAlignment="1">
      <alignment horizontal="center"/>
    </xf>
    <xf numFmtId="37" fontId="1" fillId="0" borderId="0" xfId="0" applyNumberFormat="1" applyFont="1"/>
    <xf numFmtId="164" fontId="1" fillId="0" borderId="0" xfId="5" applyNumberFormat="1" applyFont="1" applyFill="1" applyAlignment="1" applyProtection="1">
      <alignment horizontal="right"/>
    </xf>
    <xf numFmtId="164" fontId="1" fillId="0" borderId="0" xfId="5" applyNumberFormat="1" applyFont="1" applyFill="1" applyProtection="1"/>
    <xf numFmtId="165" fontId="1" fillId="0" borderId="3" xfId="5" applyNumberFormat="1" applyFont="1" applyFill="1" applyBorder="1" applyAlignment="1" applyProtection="1">
      <alignment horizontal="right"/>
    </xf>
    <xf numFmtId="165" fontId="1" fillId="0" borderId="3" xfId="5" applyNumberFormat="1" applyFont="1" applyFill="1" applyBorder="1" applyProtection="1"/>
    <xf numFmtId="164" fontId="1" fillId="0" borderId="3" xfId="19" applyNumberFormat="1" applyFont="1" applyFill="1" applyBorder="1" applyProtection="1"/>
    <xf numFmtId="165" fontId="1" fillId="0" borderId="0" xfId="5" applyNumberFormat="1" applyFont="1" applyFill="1" applyProtection="1"/>
    <xf numFmtId="165" fontId="1" fillId="0" borderId="0" xfId="5" applyNumberFormat="1" applyFont="1" applyFill="1" applyAlignment="1" applyProtection="1">
      <alignment horizontal="right"/>
    </xf>
    <xf numFmtId="165" fontId="1" fillId="0" borderId="1" xfId="5" applyNumberFormat="1" applyFont="1" applyFill="1" applyBorder="1" applyProtection="1"/>
    <xf numFmtId="165" fontId="1" fillId="0" borderId="0" xfId="5" applyNumberFormat="1" applyFont="1" applyFill="1"/>
    <xf numFmtId="165" fontId="1" fillId="0" borderId="2" xfId="5" applyNumberFormat="1" applyFont="1" applyFill="1" applyBorder="1" applyAlignment="1" applyProtection="1">
      <alignment horizontal="right"/>
    </xf>
    <xf numFmtId="165" fontId="1" fillId="0" borderId="2" xfId="5" applyNumberFormat="1" applyFont="1" applyFill="1" applyBorder="1" applyProtection="1"/>
    <xf numFmtId="165" fontId="1" fillId="0" borderId="0" xfId="5" applyNumberFormat="1" applyFont="1" applyFill="1" applyAlignment="1">
      <alignment horizontal="right"/>
    </xf>
    <xf numFmtId="165" fontId="1" fillId="0" borderId="0" xfId="5" applyNumberFormat="1" applyFont="1" applyFill="1" applyBorder="1" applyProtection="1"/>
    <xf numFmtId="165" fontId="1" fillId="0" borderId="0" xfId="5" applyNumberFormat="1" applyFont="1" applyFill="1" applyBorder="1" applyAlignment="1" applyProtection="1">
      <alignment horizontal="right"/>
    </xf>
    <xf numFmtId="0" fontId="1" fillId="0" borderId="0" xfId="0" applyFont="1" applyAlignment="1">
      <alignment horizontal="fill"/>
    </xf>
    <xf numFmtId="165" fontId="1" fillId="0" borderId="0" xfId="5" applyNumberFormat="1" applyFont="1" applyFill="1" applyBorder="1"/>
    <xf numFmtId="165" fontId="1" fillId="0" borderId="12" xfId="5" applyNumberFormat="1" applyFont="1" applyFill="1" applyBorder="1" applyProtection="1"/>
    <xf numFmtId="165" fontId="1" fillId="0" borderId="0" xfId="5" applyNumberFormat="1" applyFont="1" applyFill="1" applyBorder="1" applyAlignment="1">
      <alignment horizontal="right"/>
    </xf>
    <xf numFmtId="165" fontId="1" fillId="0" borderId="2" xfId="5" applyNumberFormat="1" applyFont="1" applyFill="1" applyBorder="1" applyAlignment="1">
      <alignment horizontal="right"/>
    </xf>
    <xf numFmtId="165" fontId="1" fillId="0" borderId="3" xfId="5" applyNumberFormat="1" applyFont="1" applyFill="1" applyBorder="1" applyAlignment="1">
      <alignment horizontal="right"/>
    </xf>
    <xf numFmtId="179" fontId="1" fillId="0" borderId="0" xfId="0" applyNumberFormat="1" applyFont="1"/>
    <xf numFmtId="164" fontId="1" fillId="0" borderId="0" xfId="5" applyNumberFormat="1" applyFont="1" applyFill="1" applyBorder="1" applyProtection="1"/>
    <xf numFmtId="0" fontId="1" fillId="0" borderId="0" xfId="0" applyFont="1" applyAlignment="1">
      <alignment vertical="top"/>
    </xf>
    <xf numFmtId="44" fontId="9" fillId="0" borderId="4" xfId="15" applyFont="1" applyFill="1" applyBorder="1"/>
    <xf numFmtId="0" fontId="32" fillId="0" borderId="0" xfId="0" applyFont="1" applyAlignment="1">
      <alignment horizontal="center"/>
    </xf>
    <xf numFmtId="164" fontId="31" fillId="0" borderId="0" xfId="15" applyNumberFormat="1" applyFont="1" applyBorder="1"/>
    <xf numFmtId="165" fontId="9" fillId="0" borderId="0" xfId="9" applyNumberFormat="1" applyFont="1" applyFill="1" applyBorder="1"/>
    <xf numFmtId="42" fontId="9" fillId="0" borderId="0" xfId="17" applyFont="1" applyFill="1" applyBorder="1" applyAlignment="1">
      <alignment horizontal="center"/>
    </xf>
    <xf numFmtId="166" fontId="1" fillId="0" borderId="0" xfId="1" applyNumberFormat="1" applyFont="1" applyFill="1"/>
    <xf numFmtId="41" fontId="0" fillId="0" borderId="0" xfId="15" applyNumberFormat="1" applyFont="1" applyFill="1" applyBorder="1"/>
    <xf numFmtId="43" fontId="1" fillId="0" borderId="0" xfId="0" applyNumberFormat="1" applyFont="1" applyAlignment="1">
      <alignment horizontal="right"/>
    </xf>
    <xf numFmtId="172" fontId="31" fillId="0" borderId="0" xfId="39" applyNumberFormat="1" applyFont="1" applyBorder="1" applyAlignment="1">
      <alignment wrapText="1"/>
    </xf>
    <xf numFmtId="44" fontId="0" fillId="0" borderId="0" xfId="0" applyNumberFormat="1"/>
    <xf numFmtId="9" fontId="0" fillId="0" borderId="0" xfId="39" applyFont="1" applyFill="1" applyBorder="1" applyAlignment="1"/>
    <xf numFmtId="10" fontId="0" fillId="0" borderId="0" xfId="39" applyNumberFormat="1" applyFont="1" applyFill="1" applyBorder="1" applyAlignment="1">
      <alignment horizontal="left"/>
    </xf>
    <xf numFmtId="0" fontId="29" fillId="0" borderId="0" xfId="0" applyFont="1" applyAlignment="1">
      <alignment horizontal="left"/>
    </xf>
    <xf numFmtId="9" fontId="0" fillId="0" borderId="0" xfId="39" applyFont="1"/>
    <xf numFmtId="164" fontId="2" fillId="0" borderId="0" xfId="0" applyNumberFormat="1" applyFont="1" applyAlignment="1">
      <alignment horizontal="left" indent="2"/>
    </xf>
    <xf numFmtId="165" fontId="1" fillId="0" borderId="0" xfId="1" applyNumberFormat="1" applyFont="1" applyFill="1" applyAlignment="1">
      <alignment horizontal="left"/>
    </xf>
    <xf numFmtId="43" fontId="1" fillId="0" borderId="0" xfId="1" applyFont="1" applyFill="1" applyAlignment="1"/>
    <xf numFmtId="165" fontId="1" fillId="0" borderId="0" xfId="1" applyNumberFormat="1" applyFont="1" applyFill="1" applyAlignment="1"/>
    <xf numFmtId="165" fontId="1" fillId="0" borderId="0" xfId="1" applyNumberFormat="1" applyFont="1" applyFill="1" applyAlignment="1">
      <alignment wrapText="1"/>
    </xf>
    <xf numFmtId="165" fontId="2" fillId="0" borderId="0" xfId="1" applyNumberFormat="1" applyFont="1" applyFill="1" applyAlignment="1">
      <alignment horizontal="left" indent="2"/>
    </xf>
    <xf numFmtId="0" fontId="2" fillId="0" borderId="0" xfId="0" applyFont="1" applyAlignment="1">
      <alignment horizontal="right" indent="2"/>
    </xf>
    <xf numFmtId="43" fontId="2" fillId="0" borderId="0" xfId="0" applyNumberFormat="1" applyFont="1" applyAlignment="1">
      <alignment horizontal="left" indent="2"/>
    </xf>
    <xf numFmtId="41" fontId="1" fillId="0" borderId="0" xfId="15" applyNumberFormat="1" applyFont="1"/>
    <xf numFmtId="165" fontId="1" fillId="0" borderId="0" xfId="1" applyNumberFormat="1" applyFont="1" applyBorder="1"/>
    <xf numFmtId="10" fontId="0" fillId="0" borderId="0" xfId="39" applyNumberFormat="1" applyFont="1" applyBorder="1"/>
    <xf numFmtId="0" fontId="1" fillId="0" borderId="0" xfId="0" applyFont="1" applyAlignment="1">
      <alignment horizontal="left" vertical="top" wrapText="1"/>
    </xf>
    <xf numFmtId="172" fontId="0" fillId="0" borderId="0" xfId="39" applyNumberFormat="1" applyFont="1"/>
    <xf numFmtId="10" fontId="0" fillId="0" borderId="0" xfId="39" applyNumberFormat="1" applyFont="1" applyBorder="1" applyAlignment="1"/>
    <xf numFmtId="0" fontId="1" fillId="0" borderId="0" xfId="0" applyFont="1" applyAlignment="1">
      <alignment horizontal="left" vertical="top"/>
    </xf>
    <xf numFmtId="167" fontId="1" fillId="0" borderId="0" xfId="38" applyFont="1" applyAlignment="1">
      <alignment horizontal="left"/>
    </xf>
    <xf numFmtId="165" fontId="9" fillId="0" borderId="1" xfId="1" applyNumberFormat="1" applyFont="1" applyFill="1" applyBorder="1"/>
    <xf numFmtId="0" fontId="14" fillId="0" borderId="0" xfId="0" applyFont="1" applyAlignment="1">
      <alignment horizontal="center" wrapText="1"/>
    </xf>
    <xf numFmtId="164" fontId="9" fillId="0" borderId="0" xfId="19" applyNumberFormat="1" applyFont="1" applyFill="1" applyBorder="1"/>
    <xf numFmtId="165" fontId="0" fillId="0" borderId="0" xfId="1" applyNumberFormat="1" applyFont="1" applyFill="1" applyAlignment="1">
      <alignment horizontal="left"/>
    </xf>
    <xf numFmtId="41" fontId="1" fillId="0" borderId="0" xfId="31" applyNumberFormat="1" applyFont="1"/>
    <xf numFmtId="0" fontId="1" fillId="0" borderId="0" xfId="33" applyFont="1"/>
    <xf numFmtId="167" fontId="1" fillId="0" borderId="0" xfId="32" applyFont="1" applyAlignment="1">
      <alignment horizontal="left"/>
    </xf>
    <xf numFmtId="0" fontId="1" fillId="0" borderId="0" xfId="0" applyFont="1" applyAlignment="1">
      <alignment vertical="top" wrapText="1"/>
    </xf>
    <xf numFmtId="164" fontId="9" fillId="0" borderId="2" xfId="1" applyNumberFormat="1" applyFont="1" applyFill="1" applyBorder="1" applyProtection="1"/>
    <xf numFmtId="164" fontId="9" fillId="0" borderId="2" xfId="0" applyNumberFormat="1" applyFont="1" applyBorder="1"/>
    <xf numFmtId="43" fontId="9" fillId="0" borderId="0" xfId="1" applyFont="1" applyFill="1" applyBorder="1" applyProtection="1"/>
    <xf numFmtId="37" fontId="9" fillId="0" borderId="1" xfId="0" applyNumberFormat="1" applyFont="1" applyBorder="1"/>
    <xf numFmtId="165" fontId="9" fillId="0" borderId="1" xfId="1" applyNumberFormat="1" applyFont="1" applyFill="1" applyBorder="1" applyProtection="1"/>
    <xf numFmtId="43" fontId="9" fillId="0" borderId="0" xfId="1" applyFont="1" applyFill="1" applyProtection="1"/>
    <xf numFmtId="43" fontId="9" fillId="0" borderId="3" xfId="1" applyFont="1" applyFill="1" applyBorder="1" applyProtection="1"/>
    <xf numFmtId="0" fontId="33" fillId="0" borderId="14" xfId="0" applyFont="1" applyBorder="1" applyAlignment="1">
      <alignment vertical="top"/>
    </xf>
    <xf numFmtId="0" fontId="33" fillId="0" borderId="0" xfId="0" applyFont="1" applyAlignment="1">
      <alignment vertical="top"/>
    </xf>
    <xf numFmtId="167" fontId="1" fillId="0" borderId="0" xfId="36" applyFont="1" applyAlignment="1">
      <alignment horizontal="left"/>
    </xf>
    <xf numFmtId="167" fontId="2" fillId="0" borderId="0" xfId="36" applyFont="1" applyAlignment="1">
      <alignment horizontal="left"/>
    </xf>
    <xf numFmtId="0" fontId="2" fillId="0" borderId="0" xfId="0" applyFont="1" applyAlignment="1">
      <alignment horizontal="right"/>
    </xf>
    <xf numFmtId="0" fontId="1" fillId="0" borderId="0" xfId="0" applyFont="1" applyAlignment="1">
      <alignment horizontal="left" indent="1"/>
    </xf>
    <xf numFmtId="0" fontId="1" fillId="0" borderId="0" xfId="0" applyFont="1" applyAlignment="1">
      <alignment horizontal="left" wrapText="1" indent="1"/>
    </xf>
    <xf numFmtId="0" fontId="2" fillId="0" borderId="0" xfId="0" applyFont="1" applyAlignment="1">
      <alignment horizontal="center" wrapText="1"/>
    </xf>
    <xf numFmtId="164" fontId="1" fillId="0" borderId="2" xfId="1" applyNumberFormat="1" applyFont="1" applyFill="1" applyBorder="1"/>
    <xf numFmtId="0" fontId="1" fillId="0" borderId="0" xfId="0" applyFont="1" applyAlignment="1">
      <alignment wrapText="1"/>
    </xf>
    <xf numFmtId="165" fontId="0" fillId="0" borderId="0" xfId="1" applyNumberFormat="1" applyFont="1" applyAlignment="1">
      <alignment wrapText="1"/>
    </xf>
    <xf numFmtId="164" fontId="1" fillId="0" borderId="0" xfId="15" applyNumberFormat="1" applyFont="1" applyAlignment="1"/>
    <xf numFmtId="164" fontId="1" fillId="0" borderId="7" xfId="15" applyNumberFormat="1" applyFont="1" applyBorder="1"/>
    <xf numFmtId="41" fontId="1" fillId="0" borderId="0" xfId="1" applyNumberFormat="1" applyFont="1" applyFill="1" applyBorder="1"/>
    <xf numFmtId="172" fontId="31" fillId="0" borderId="0" xfId="39" applyNumberFormat="1" applyFont="1" applyFill="1" applyBorder="1" applyAlignment="1">
      <alignment wrapText="1"/>
    </xf>
    <xf numFmtId="164" fontId="31" fillId="0" borderId="0" xfId="15" applyNumberFormat="1" applyFont="1" applyFill="1" applyBorder="1" applyAlignment="1">
      <alignment wrapText="1"/>
    </xf>
    <xf numFmtId="164" fontId="31" fillId="0" borderId="0" xfId="15" applyNumberFormat="1" applyFont="1" applyFill="1"/>
    <xf numFmtId="164" fontId="0" fillId="0" borderId="4" xfId="15" applyNumberFormat="1" applyFont="1" applyBorder="1"/>
    <xf numFmtId="164" fontId="1" fillId="0" borderId="3" xfId="1" applyNumberFormat="1" applyFont="1" applyFill="1" applyBorder="1"/>
    <xf numFmtId="164" fontId="1" fillId="0" borderId="6" xfId="1" applyNumberFormat="1" applyFont="1" applyFill="1" applyBorder="1"/>
    <xf numFmtId="167" fontId="9" fillId="0" borderId="0" xfId="0" applyNumberFormat="1" applyFont="1"/>
    <xf numFmtId="167" fontId="9" fillId="0" borderId="0" xfId="0" applyNumberFormat="1" applyFont="1" applyAlignment="1">
      <alignment horizontal="center"/>
    </xf>
    <xf numFmtId="167" fontId="9" fillId="0" borderId="40" xfId="0" applyNumberFormat="1" applyFont="1" applyBorder="1" applyAlignment="1">
      <alignment horizontal="center"/>
    </xf>
    <xf numFmtId="165" fontId="1" fillId="0" borderId="0" xfId="1" applyNumberFormat="1" applyFont="1" applyFill="1" applyBorder="1" applyAlignment="1">
      <alignment horizontal="center"/>
    </xf>
    <xf numFmtId="165" fontId="1" fillId="0" borderId="2" xfId="1" applyNumberFormat="1" applyFont="1" applyFill="1" applyBorder="1" applyAlignment="1">
      <alignment horizontal="center"/>
    </xf>
    <xf numFmtId="0" fontId="15" fillId="0" borderId="0" xfId="0" applyFont="1" applyAlignment="1">
      <alignment vertical="center" wrapText="1"/>
    </xf>
    <xf numFmtId="164" fontId="1" fillId="0" borderId="0" xfId="15" applyNumberFormat="1" applyFont="1" applyBorder="1"/>
    <xf numFmtId="177" fontId="1" fillId="0" borderId="0" xfId="39" applyNumberFormat="1" applyFont="1"/>
    <xf numFmtId="164" fontId="1" fillId="2" borderId="0" xfId="15" applyNumberFormat="1" applyFont="1" applyFill="1"/>
    <xf numFmtId="165" fontId="1" fillId="2" borderId="0" xfId="1" applyNumberFormat="1" applyFont="1" applyFill="1"/>
    <xf numFmtId="0" fontId="1" fillId="2" borderId="0" xfId="0" applyFont="1" applyFill="1" applyAlignment="1">
      <alignment wrapText="1"/>
    </xf>
    <xf numFmtId="165" fontId="1" fillId="2" borderId="2" xfId="1" applyNumberFormat="1" applyFont="1" applyFill="1" applyBorder="1"/>
    <xf numFmtId="165" fontId="1" fillId="2" borderId="0" xfId="1" applyNumberFormat="1" applyFont="1" applyFill="1" applyBorder="1"/>
    <xf numFmtId="165" fontId="1" fillId="2" borderId="0" xfId="0" applyNumberFormat="1" applyFont="1" applyFill="1"/>
    <xf numFmtId="0" fontId="9" fillId="2" borderId="0" xfId="0" applyFont="1" applyFill="1" applyAlignment="1">
      <alignment horizontal="left" indent="1"/>
    </xf>
    <xf numFmtId="0" fontId="1" fillId="0" borderId="0" xfId="0" applyFont="1" applyAlignment="1">
      <alignment horizontal="center"/>
    </xf>
    <xf numFmtId="0" fontId="1" fillId="0" borderId="0" xfId="0" applyFont="1" applyAlignment="1">
      <alignment horizontal="left" wrapText="1"/>
    </xf>
    <xf numFmtId="0" fontId="2" fillId="0" borderId="0" xfId="0" applyFont="1" applyAlignment="1">
      <alignment wrapText="1"/>
    </xf>
    <xf numFmtId="0" fontId="2" fillId="0" borderId="0" xfId="29" applyFont="1" applyAlignment="1">
      <alignment horizontal="center"/>
    </xf>
    <xf numFmtId="165" fontId="9" fillId="0" borderId="0" xfId="9" applyNumberFormat="1" applyFont="1" applyFill="1" applyAlignment="1">
      <alignment horizontal="left"/>
    </xf>
    <xf numFmtId="165" fontId="14" fillId="0" borderId="0" xfId="9" applyNumberFormat="1" applyFont="1" applyFill="1" applyBorder="1" applyAlignment="1">
      <alignment horizontal="center"/>
    </xf>
    <xf numFmtId="0" fontId="9" fillId="0" borderId="2" xfId="29" applyFont="1" applyBorder="1" applyAlignment="1">
      <alignment horizontal="center"/>
    </xf>
    <xf numFmtId="167" fontId="9" fillId="0" borderId="2" xfId="35" applyFont="1" applyBorder="1" applyAlignment="1">
      <alignment horizontal="center"/>
    </xf>
    <xf numFmtId="0" fontId="2" fillId="0" borderId="2" xfId="0" applyFont="1" applyBorder="1" applyAlignment="1">
      <alignment horizontal="center" wrapText="1"/>
    </xf>
    <xf numFmtId="0" fontId="3" fillId="0" borderId="0" xfId="29" applyAlignment="1">
      <alignment horizontal="left" wrapText="1" indent="1"/>
    </xf>
    <xf numFmtId="0" fontId="3" fillId="0" borderId="0" xfId="29" applyAlignment="1">
      <alignment horizontal="left" indent="1"/>
    </xf>
    <xf numFmtId="37" fontId="5" fillId="0" borderId="2" xfId="0" quotePrefix="1" applyNumberFormat="1" applyFont="1" applyBorder="1" applyAlignment="1">
      <alignment horizontal="center"/>
    </xf>
    <xf numFmtId="165" fontId="1" fillId="0" borderId="0" xfId="1" applyNumberFormat="1" applyFont="1" applyFill="1" applyAlignment="1">
      <alignment horizontal="center"/>
    </xf>
    <xf numFmtId="165" fontId="1" fillId="0" borderId="3" xfId="1" applyNumberFormat="1" applyFont="1" applyFill="1" applyBorder="1" applyAlignment="1">
      <alignment horizontal="center"/>
    </xf>
    <xf numFmtId="164" fontId="1" fillId="0" borderId="0" xfId="1" applyNumberFormat="1" applyFont="1" applyFill="1" applyProtection="1"/>
    <xf numFmtId="164" fontId="1" fillId="0" borderId="0" xfId="1" applyNumberFormat="1" applyFont="1" applyFill="1" applyBorder="1" applyProtection="1"/>
    <xf numFmtId="165" fontId="1" fillId="0" borderId="0" xfId="1" applyNumberFormat="1" applyFont="1" applyFill="1" applyProtection="1"/>
    <xf numFmtId="165" fontId="1" fillId="0" borderId="0" xfId="1" applyNumberFormat="1" applyFont="1" applyFill="1" applyBorder="1" applyProtection="1"/>
    <xf numFmtId="165" fontId="1" fillId="0" borderId="3" xfId="1" applyNumberFormat="1" applyFont="1" applyFill="1" applyBorder="1" applyProtection="1"/>
    <xf numFmtId="165" fontId="1" fillId="0" borderId="1" xfId="1" applyNumberFormat="1" applyFont="1" applyFill="1" applyBorder="1" applyProtection="1"/>
    <xf numFmtId="165" fontId="1" fillId="0" borderId="2" xfId="1" applyNumberFormat="1" applyFont="1" applyFill="1" applyBorder="1" applyProtection="1"/>
    <xf numFmtId="164" fontId="1" fillId="0" borderId="4" xfId="0" applyNumberFormat="1" applyFont="1" applyBorder="1"/>
    <xf numFmtId="164" fontId="1" fillId="0" borderId="6" xfId="15" applyNumberFormat="1" applyFont="1" applyFill="1" applyBorder="1"/>
    <xf numFmtId="172" fontId="1" fillId="0" borderId="0" xfId="0" applyNumberFormat="1" applyFont="1"/>
    <xf numFmtId="9" fontId="1" fillId="0" borderId="0" xfId="39" applyFont="1"/>
    <xf numFmtId="173" fontId="1" fillId="0" borderId="0" xfId="0" applyNumberFormat="1" applyFont="1"/>
    <xf numFmtId="10" fontId="1" fillId="0" borderId="0" xfId="0" applyNumberFormat="1" applyFont="1"/>
    <xf numFmtId="43" fontId="1" fillId="0" borderId="0" xfId="1" applyFont="1"/>
    <xf numFmtId="41" fontId="1" fillId="0" borderId="0" xfId="15" applyNumberFormat="1" applyFont="1" applyBorder="1"/>
    <xf numFmtId="165" fontId="1" fillId="0" borderId="0" xfId="9" applyNumberFormat="1" applyFont="1" applyFill="1" applyAlignment="1">
      <alignment horizontal="centerContinuous"/>
    </xf>
    <xf numFmtId="165" fontId="1" fillId="0" borderId="5" xfId="9" applyNumberFormat="1" applyFont="1" applyFill="1" applyBorder="1"/>
    <xf numFmtId="165" fontId="1" fillId="0" borderId="0" xfId="9" applyNumberFormat="1" applyFont="1" applyFill="1"/>
    <xf numFmtId="0" fontId="1" fillId="0" borderId="0" xfId="29" applyFont="1" applyAlignment="1">
      <alignment horizontal="center"/>
    </xf>
    <xf numFmtId="165" fontId="1" fillId="0" borderId="0" xfId="9" applyNumberFormat="1" applyFont="1" applyFill="1" applyAlignment="1">
      <alignment horizontal="center"/>
    </xf>
    <xf numFmtId="165" fontId="1" fillId="0" borderId="0" xfId="9" applyNumberFormat="1" applyFont="1" applyFill="1" applyAlignment="1">
      <alignment horizontal="left"/>
    </xf>
    <xf numFmtId="165" fontId="1" fillId="0" borderId="3" xfId="9" applyNumberFormat="1" applyFont="1" applyFill="1" applyBorder="1" applyAlignment="1">
      <alignment horizontal="center"/>
    </xf>
    <xf numFmtId="164" fontId="1" fillId="0" borderId="3" xfId="9" applyNumberFormat="1" applyFont="1" applyFill="1" applyBorder="1" applyProtection="1"/>
    <xf numFmtId="164" fontId="1" fillId="0" borderId="0" xfId="9" applyNumberFormat="1" applyFont="1" applyFill="1" applyProtection="1"/>
    <xf numFmtId="165" fontId="1" fillId="0" borderId="0" xfId="9" applyNumberFormat="1" applyFont="1" applyFill="1" applyProtection="1"/>
    <xf numFmtId="165" fontId="1" fillId="0" borderId="3" xfId="9" applyNumberFormat="1" applyFont="1" applyFill="1" applyBorder="1" applyProtection="1"/>
    <xf numFmtId="0" fontId="1" fillId="0" borderId="0" xfId="29" applyFont="1"/>
    <xf numFmtId="165" fontId="1" fillId="0" borderId="0" xfId="29" applyNumberFormat="1" applyFont="1"/>
    <xf numFmtId="164" fontId="1" fillId="0" borderId="6" xfId="9" applyNumberFormat="1" applyFont="1" applyFill="1" applyBorder="1" applyAlignment="1">
      <alignment horizontal="right"/>
    </xf>
    <xf numFmtId="164" fontId="1" fillId="0" borderId="6" xfId="9" applyNumberFormat="1" applyFont="1" applyFill="1" applyBorder="1" applyProtection="1"/>
    <xf numFmtId="0" fontId="1" fillId="0" borderId="0" xfId="29" applyFont="1" applyAlignment="1">
      <alignment horizontal="centerContinuous"/>
    </xf>
    <xf numFmtId="0" fontId="1" fillId="0" borderId="9" xfId="29" applyFont="1" applyBorder="1"/>
    <xf numFmtId="0" fontId="1" fillId="0" borderId="9" xfId="29" applyFont="1" applyBorder="1" applyAlignment="1">
      <alignment horizontal="center"/>
    </xf>
    <xf numFmtId="0" fontId="1" fillId="0" borderId="2" xfId="29" applyFont="1" applyBorder="1"/>
    <xf numFmtId="0" fontId="1" fillId="0" borderId="2" xfId="29" applyFont="1" applyBorder="1" applyAlignment="1">
      <alignment horizontal="center"/>
    </xf>
    <xf numFmtId="164" fontId="1" fillId="0" borderId="0" xfId="20" applyNumberFormat="1" applyFont="1" applyFill="1"/>
    <xf numFmtId="164" fontId="1" fillId="0" borderId="0" xfId="20" applyNumberFormat="1" applyFont="1" applyFill="1" applyBorder="1"/>
    <xf numFmtId="165" fontId="1" fillId="0" borderId="2" xfId="6" applyNumberFormat="1" applyFont="1" applyFill="1" applyBorder="1"/>
    <xf numFmtId="165" fontId="1" fillId="0" borderId="0" xfId="6" applyNumberFormat="1" applyFont="1" applyFill="1" applyBorder="1"/>
    <xf numFmtId="43" fontId="1" fillId="0" borderId="2" xfId="1" applyFont="1" applyFill="1" applyBorder="1"/>
    <xf numFmtId="165" fontId="1" fillId="0" borderId="0" xfId="6" applyNumberFormat="1" applyFont="1" applyFill="1"/>
    <xf numFmtId="165" fontId="1" fillId="0" borderId="2" xfId="29" applyNumberFormat="1" applyFont="1" applyBorder="1"/>
    <xf numFmtId="165" fontId="1" fillId="0" borderId="1" xfId="6" applyNumberFormat="1" applyFont="1" applyFill="1" applyBorder="1"/>
    <xf numFmtId="164" fontId="1" fillId="0" borderId="4" xfId="20" applyNumberFormat="1" applyFont="1" applyFill="1" applyBorder="1"/>
    <xf numFmtId="42" fontId="1" fillId="0" borderId="0" xfId="29" applyNumberFormat="1" applyFont="1"/>
    <xf numFmtId="41" fontId="1" fillId="0" borderId="0" xfId="29" applyNumberFormat="1" applyFont="1"/>
    <xf numFmtId="0" fontId="1" fillId="0" borderId="5" xfId="0" applyFont="1" applyBorder="1"/>
    <xf numFmtId="42" fontId="1" fillId="0" borderId="2" xfId="1" applyNumberFormat="1" applyFont="1" applyFill="1" applyBorder="1"/>
    <xf numFmtId="165" fontId="1" fillId="0" borderId="10" xfId="1" applyNumberFormat="1" applyFont="1" applyFill="1" applyBorder="1"/>
    <xf numFmtId="165" fontId="1" fillId="0" borderId="6" xfId="1" applyNumberFormat="1" applyFont="1" applyFill="1" applyBorder="1"/>
    <xf numFmtId="167" fontId="1" fillId="0" borderId="0" xfId="32" applyFont="1" applyAlignment="1">
      <alignment horizontal="centerContinuous"/>
    </xf>
    <xf numFmtId="167" fontId="1" fillId="0" borderId="5" xfId="32" applyFont="1" applyBorder="1"/>
    <xf numFmtId="167" fontId="1" fillId="0" borderId="0" xfId="32" applyFont="1" applyAlignment="1">
      <alignment horizontal="center"/>
    </xf>
    <xf numFmtId="42" fontId="1" fillId="0" borderId="0" xfId="1" applyNumberFormat="1" applyFont="1" applyFill="1" applyAlignment="1" applyProtection="1">
      <alignment horizontal="right"/>
    </xf>
    <xf numFmtId="42" fontId="1" fillId="0" borderId="0" xfId="32" applyNumberFormat="1" applyFont="1"/>
    <xf numFmtId="42" fontId="1" fillId="0" borderId="0" xfId="1" applyNumberFormat="1" applyFont="1" applyFill="1" applyProtection="1"/>
    <xf numFmtId="37" fontId="1" fillId="0" borderId="0" xfId="32" applyNumberFormat="1" applyFont="1" applyAlignment="1">
      <alignment horizontal="left"/>
    </xf>
    <xf numFmtId="37" fontId="1" fillId="0" borderId="0" xfId="32" applyNumberFormat="1" applyFont="1"/>
    <xf numFmtId="43" fontId="1" fillId="0" borderId="0" xfId="1" applyFont="1" applyFill="1" applyAlignment="1" applyProtection="1">
      <alignment horizontal="right"/>
    </xf>
    <xf numFmtId="37" fontId="1" fillId="0" borderId="3" xfId="32" applyNumberFormat="1" applyFont="1" applyBorder="1"/>
    <xf numFmtId="43" fontId="1" fillId="0" borderId="2" xfId="1" applyFont="1" applyFill="1" applyBorder="1" applyAlignment="1" applyProtection="1">
      <alignment horizontal="right"/>
    </xf>
    <xf numFmtId="37" fontId="1" fillId="0" borderId="0" xfId="38" applyNumberFormat="1" applyFont="1"/>
    <xf numFmtId="37" fontId="1" fillId="0" borderId="0" xfId="38" applyNumberFormat="1" applyFont="1" applyAlignment="1">
      <alignment horizontal="center"/>
    </xf>
    <xf numFmtId="42" fontId="1" fillId="0" borderId="6" xfId="32" applyNumberFormat="1" applyFont="1" applyBorder="1"/>
    <xf numFmtId="167" fontId="1" fillId="0" borderId="0" xfId="38" applyFont="1"/>
    <xf numFmtId="167" fontId="1" fillId="0" borderId="0" xfId="38" applyFont="1" applyAlignment="1">
      <alignment horizontal="center"/>
    </xf>
    <xf numFmtId="167" fontId="1" fillId="0" borderId="0" xfId="31" applyFont="1"/>
    <xf numFmtId="167" fontId="1" fillId="0" borderId="5" xfId="31" applyFont="1" applyBorder="1"/>
    <xf numFmtId="167" fontId="1" fillId="0" borderId="5" xfId="31" applyFont="1" applyBorder="1" applyAlignment="1">
      <alignment horizontal="right"/>
    </xf>
    <xf numFmtId="167" fontId="1" fillId="0" borderId="0" xfId="31" applyFont="1" applyAlignment="1">
      <alignment horizontal="center"/>
    </xf>
    <xf numFmtId="167" fontId="1" fillId="0" borderId="0" xfId="31" applyFont="1" applyAlignment="1">
      <alignment horizontal="right"/>
    </xf>
    <xf numFmtId="167" fontId="1" fillId="0" borderId="0" xfId="31" applyFont="1" applyAlignment="1">
      <alignment horizontal="centerContinuous"/>
    </xf>
    <xf numFmtId="167" fontId="1" fillId="0" borderId="3" xfId="31" applyFont="1" applyBorder="1" applyAlignment="1">
      <alignment horizontal="center"/>
    </xf>
    <xf numFmtId="167" fontId="1" fillId="0" borderId="2" xfId="31" applyFont="1" applyBorder="1" applyAlignment="1">
      <alignment horizontal="center"/>
    </xf>
    <xf numFmtId="167" fontId="1" fillId="0" borderId="0" xfId="31" applyFont="1" applyAlignment="1">
      <alignment horizontal="left"/>
    </xf>
    <xf numFmtId="42" fontId="1" fillId="0" borderId="0" xfId="31" applyNumberFormat="1" applyFont="1"/>
    <xf numFmtId="43" fontId="1" fillId="0" borderId="0" xfId="31" applyNumberFormat="1" applyFont="1" applyAlignment="1">
      <alignment horizontal="right"/>
    </xf>
    <xf numFmtId="42" fontId="1" fillId="0" borderId="0" xfId="1" applyNumberFormat="1" applyFont="1" applyFill="1"/>
    <xf numFmtId="42" fontId="1" fillId="0" borderId="0" xfId="2" applyNumberFormat="1" applyFont="1" applyFill="1" applyAlignment="1" applyProtection="1">
      <alignment horizontal="center"/>
    </xf>
    <xf numFmtId="42" fontId="1" fillId="0" borderId="0" xfId="2" applyNumberFormat="1" applyFont="1" applyFill="1"/>
    <xf numFmtId="37" fontId="1" fillId="0" borderId="3" xfId="31" applyNumberFormat="1" applyFont="1" applyBorder="1" applyAlignment="1">
      <alignment horizontal="right"/>
    </xf>
    <xf numFmtId="37" fontId="1" fillId="0" borderId="3" xfId="31" applyNumberFormat="1" applyFont="1" applyBorder="1"/>
    <xf numFmtId="37" fontId="1" fillId="0" borderId="0" xfId="31" applyNumberFormat="1" applyFont="1"/>
    <xf numFmtId="41" fontId="1" fillId="0" borderId="2" xfId="2" applyFont="1" applyFill="1" applyBorder="1"/>
    <xf numFmtId="41" fontId="1" fillId="0" borderId="0" xfId="2" applyFont="1" applyFill="1" applyAlignment="1">
      <alignment horizontal="center"/>
    </xf>
    <xf numFmtId="41" fontId="1" fillId="0" borderId="0" xfId="2" applyFont="1" applyFill="1"/>
    <xf numFmtId="37" fontId="1" fillId="0" borderId="0" xfId="31" applyNumberFormat="1" applyFont="1" applyAlignment="1">
      <alignment horizontal="right"/>
    </xf>
    <xf numFmtId="43" fontId="1" fillId="0" borderId="0" xfId="31" applyNumberFormat="1" applyFont="1"/>
    <xf numFmtId="43" fontId="1" fillId="0" borderId="2" xfId="31" applyNumberFormat="1" applyFont="1" applyBorder="1"/>
    <xf numFmtId="37" fontId="1" fillId="0" borderId="10" xfId="31" applyNumberFormat="1" applyFont="1" applyBorder="1"/>
    <xf numFmtId="41" fontId="1" fillId="0" borderId="3" xfId="2" applyFont="1" applyFill="1" applyBorder="1" applyProtection="1"/>
    <xf numFmtId="42" fontId="1" fillId="0" borderId="6" xfId="31" applyNumberFormat="1" applyFont="1" applyBorder="1"/>
    <xf numFmtId="165" fontId="1" fillId="0" borderId="2" xfId="2" applyNumberFormat="1" applyFont="1" applyFill="1" applyBorder="1"/>
    <xf numFmtId="10" fontId="1" fillId="0" borderId="4" xfId="31" applyNumberFormat="1" applyFont="1" applyBorder="1"/>
    <xf numFmtId="10" fontId="1" fillId="0" borderId="0" xfId="31" applyNumberFormat="1" applyFont="1"/>
    <xf numFmtId="0" fontId="1" fillId="0" borderId="0" xfId="29" applyFont="1" applyAlignment="1">
      <alignment horizontal="center" wrapText="1"/>
    </xf>
    <xf numFmtId="164" fontId="1" fillId="0" borderId="2" xfId="20" applyNumberFormat="1" applyFont="1" applyFill="1" applyBorder="1"/>
    <xf numFmtId="0" fontId="1" fillId="2" borderId="0" xfId="0" applyFont="1" applyFill="1"/>
    <xf numFmtId="0" fontId="15" fillId="0" borderId="0" xfId="0" applyFont="1" applyAlignment="1">
      <alignment vertical="center"/>
    </xf>
    <xf numFmtId="0" fontId="27" fillId="0" borderId="0" xfId="0" applyFont="1" applyAlignment="1">
      <alignment horizontal="justify" vertical="center"/>
    </xf>
    <xf numFmtId="0" fontId="5" fillId="0" borderId="0" xfId="0" applyFont="1" applyAlignment="1">
      <alignment vertical="center"/>
    </xf>
    <xf numFmtId="164" fontId="1" fillId="0" borderId="0" xfId="15" quotePrefix="1" applyNumberFormat="1" applyFont="1"/>
    <xf numFmtId="180" fontId="1" fillId="0" borderId="0" xfId="39" quotePrefix="1" applyNumberFormat="1" applyFont="1"/>
    <xf numFmtId="10" fontId="1" fillId="0" borderId="0" xfId="39" quotePrefix="1" applyNumberFormat="1" applyFont="1"/>
    <xf numFmtId="0" fontId="12" fillId="0" borderId="0" xfId="0" applyFont="1" applyAlignment="1">
      <alignment vertical="center" wrapText="1"/>
    </xf>
    <xf numFmtId="0" fontId="36" fillId="0" borderId="0" xfId="0" applyFont="1" applyAlignment="1">
      <alignment wrapText="1"/>
    </xf>
    <xf numFmtId="0" fontId="5" fillId="0" borderId="0" xfId="0" applyFont="1" applyAlignment="1">
      <alignment vertical="center" wrapText="1"/>
    </xf>
    <xf numFmtId="164" fontId="1" fillId="0" borderId="0" xfId="15" quotePrefix="1" applyNumberFormat="1" applyFont="1" applyAlignment="1">
      <alignment wrapText="1"/>
    </xf>
    <xf numFmtId="10" fontId="1" fillId="0" borderId="0" xfId="39" quotePrefix="1" applyNumberFormat="1" applyFont="1" applyAlignment="1">
      <alignment wrapText="1"/>
    </xf>
    <xf numFmtId="0" fontId="37" fillId="0" borderId="0" xfId="0" applyFont="1" applyAlignment="1">
      <alignment wrapText="1"/>
    </xf>
    <xf numFmtId="0" fontId="38" fillId="0" borderId="0" xfId="0" applyFont="1" applyAlignment="1">
      <alignment vertical="center" wrapText="1"/>
    </xf>
    <xf numFmtId="165" fontId="1" fillId="0" borderId="1" xfId="29" applyNumberFormat="1" applyFont="1" applyBorder="1"/>
    <xf numFmtId="9" fontId="1" fillId="0" borderId="0" xfId="39" applyFont="1" applyFill="1"/>
    <xf numFmtId="164" fontId="3" fillId="0" borderId="0" xfId="0" applyNumberFormat="1" applyFont="1"/>
    <xf numFmtId="37" fontId="1" fillId="0" borderId="0" xfId="1" applyNumberFormat="1" applyFont="1" applyFill="1" applyBorder="1"/>
    <xf numFmtId="37" fontId="1" fillId="0" borderId="2" xfId="1" applyNumberFormat="1" applyFont="1" applyFill="1" applyBorder="1"/>
    <xf numFmtId="37" fontId="1" fillId="0" borderId="1" xfId="1" applyNumberFormat="1" applyFont="1" applyFill="1" applyBorder="1"/>
    <xf numFmtId="37" fontId="1" fillId="0" borderId="0" xfId="1" applyNumberFormat="1" applyFont="1" applyFill="1"/>
    <xf numFmtId="165" fontId="1" fillId="0" borderId="0" xfId="15" applyNumberFormat="1" applyFont="1" applyFill="1" applyBorder="1"/>
    <xf numFmtId="10" fontId="3" fillId="0" borderId="0" xfId="0" applyNumberFormat="1" applyFont="1"/>
    <xf numFmtId="172" fontId="3" fillId="0" borderId="0" xfId="0" applyNumberFormat="1" applyFont="1"/>
    <xf numFmtId="164" fontId="3" fillId="0" borderId="0" xfId="15" applyNumberFormat="1" applyFont="1"/>
    <xf numFmtId="44" fontId="1" fillId="0" borderId="0" xfId="15" applyFont="1" applyFill="1"/>
    <xf numFmtId="0" fontId="0" fillId="0" borderId="2" xfId="0" applyBorder="1" applyAlignment="1">
      <alignment horizontal="center"/>
    </xf>
    <xf numFmtId="165" fontId="9" fillId="0" borderId="0" xfId="36" applyNumberFormat="1" applyFont="1"/>
    <xf numFmtId="165" fontId="9" fillId="0" borderId="1" xfId="36" applyNumberFormat="1" applyFont="1" applyBorder="1"/>
    <xf numFmtId="181" fontId="31" fillId="0" borderId="0" xfId="39" applyNumberFormat="1" applyFont="1" applyBorder="1" applyAlignment="1">
      <alignment wrapText="1"/>
    </xf>
    <xf numFmtId="165" fontId="9" fillId="0" borderId="0" xfId="6" applyNumberFormat="1" applyFont="1" applyFill="1" applyAlignment="1">
      <alignment horizontal="left"/>
    </xf>
    <xf numFmtId="165" fontId="9" fillId="2" borderId="0" xfId="1" applyNumberFormat="1" applyFont="1" applyFill="1" applyAlignment="1">
      <alignment horizontal="left"/>
    </xf>
    <xf numFmtId="165" fontId="9" fillId="2" borderId="0" xfId="1" applyNumberFormat="1" applyFont="1" applyFill="1"/>
    <xf numFmtId="165" fontId="9" fillId="2" borderId="0" xfId="1" applyNumberFormat="1" applyFont="1" applyFill="1" applyProtection="1"/>
    <xf numFmtId="165" fontId="1" fillId="2" borderId="1" xfId="1" applyNumberFormat="1" applyFont="1" applyFill="1" applyBorder="1"/>
    <xf numFmtId="164" fontId="1" fillId="2" borderId="7" xfId="0" applyNumberFormat="1" applyFont="1" applyFill="1" applyBorder="1"/>
    <xf numFmtId="42" fontId="1" fillId="2" borderId="0" xfId="0" applyNumberFormat="1" applyFont="1" applyFill="1"/>
    <xf numFmtId="41" fontId="1" fillId="2" borderId="0" xfId="0" applyNumberFormat="1" applyFont="1" applyFill="1"/>
    <xf numFmtId="41" fontId="1" fillId="2" borderId="2" xfId="0" applyNumberFormat="1" applyFont="1" applyFill="1" applyBorder="1"/>
    <xf numFmtId="0" fontId="30" fillId="0" borderId="0" xfId="0" applyFont="1" applyAlignment="1">
      <alignment horizontal="justify" vertical="top" wrapText="1"/>
    </xf>
    <xf numFmtId="0" fontId="14" fillId="0" borderId="0" xfId="0" applyFont="1" applyAlignment="1">
      <alignment horizontal="right"/>
    </xf>
    <xf numFmtId="164" fontId="9" fillId="2" borderId="0" xfId="15" applyNumberFormat="1" applyFont="1" applyFill="1" applyProtection="1"/>
    <xf numFmtId="165" fontId="9" fillId="2" borderId="3" xfId="1" applyNumberFormat="1" applyFont="1" applyFill="1" applyBorder="1" applyProtection="1"/>
    <xf numFmtId="164" fontId="9" fillId="0" borderId="4" xfId="15" applyNumberFormat="1" applyFont="1" applyFill="1" applyBorder="1" applyProtection="1"/>
    <xf numFmtId="0" fontId="8" fillId="0" borderId="0" xfId="0" applyFont="1" applyAlignment="1">
      <alignment horizontal="left" wrapText="1"/>
    </xf>
    <xf numFmtId="164" fontId="1" fillId="0" borderId="0" xfId="15" applyNumberFormat="1" applyFont="1" applyFill="1" applyProtection="1"/>
    <xf numFmtId="37" fontId="1" fillId="0" borderId="0" xfId="15" applyNumberFormat="1" applyFont="1" applyFill="1" applyBorder="1" applyProtection="1"/>
    <xf numFmtId="0" fontId="40" fillId="0" borderId="0" xfId="0" applyFont="1"/>
    <xf numFmtId="182" fontId="1" fillId="0" borderId="0" xfId="0" applyNumberFormat="1" applyFont="1"/>
    <xf numFmtId="0" fontId="9" fillId="2" borderId="1" xfId="0" applyFont="1" applyFill="1" applyBorder="1" applyAlignment="1">
      <alignment horizontal="center" wrapText="1"/>
    </xf>
    <xf numFmtId="0" fontId="9" fillId="2" borderId="0" xfId="0" applyFont="1" applyFill="1"/>
    <xf numFmtId="165" fontId="9" fillId="2" borderId="2" xfId="1" applyNumberFormat="1" applyFont="1" applyFill="1" applyBorder="1" applyProtection="1"/>
    <xf numFmtId="0" fontId="14" fillId="2" borderId="0" xfId="0" applyFont="1" applyFill="1" applyAlignment="1">
      <alignment horizontal="right"/>
    </xf>
    <xf numFmtId="0" fontId="9" fillId="2" borderId="0" xfId="29" applyFont="1" applyFill="1"/>
    <xf numFmtId="164" fontId="9" fillId="2" borderId="4" xfId="15" applyNumberFormat="1" applyFont="1" applyFill="1" applyBorder="1" applyProtection="1"/>
    <xf numFmtId="165" fontId="41" fillId="0" borderId="1" xfId="1" applyNumberFormat="1" applyFont="1" applyFill="1" applyBorder="1" applyProtection="1"/>
    <xf numFmtId="164" fontId="34" fillId="0" borderId="0" xfId="0" applyNumberFormat="1" applyFont="1"/>
    <xf numFmtId="0" fontId="1" fillId="0" borderId="0" xfId="30"/>
    <xf numFmtId="165" fontId="2" fillId="0" borderId="0" xfId="7" applyNumberFormat="1" applyFont="1" applyFill="1" applyAlignment="1">
      <alignment horizontal="centerContinuous"/>
    </xf>
    <xf numFmtId="0" fontId="1" fillId="0" borderId="0" xfId="30" applyAlignment="1">
      <alignment horizontal="centerContinuous"/>
    </xf>
    <xf numFmtId="165" fontId="2" fillId="0" borderId="0" xfId="7" applyNumberFormat="1" applyFont="1" applyFill="1" applyBorder="1" applyAlignment="1">
      <alignment horizontal="centerContinuous"/>
    </xf>
    <xf numFmtId="0" fontId="1" fillId="0" borderId="0" xfId="30" applyAlignment="1">
      <alignment horizontal="center"/>
    </xf>
    <xf numFmtId="0" fontId="1" fillId="0" borderId="9" xfId="30" applyBorder="1"/>
    <xf numFmtId="0" fontId="1" fillId="0" borderId="9" xfId="30" applyBorder="1" applyAlignment="1">
      <alignment horizontal="center"/>
    </xf>
    <xf numFmtId="0" fontId="1" fillId="0" borderId="2" xfId="30" applyBorder="1"/>
    <xf numFmtId="0" fontId="1" fillId="0" borderId="0" xfId="30" applyAlignment="1">
      <alignment horizontal="center" wrapText="1"/>
    </xf>
    <xf numFmtId="0" fontId="1" fillId="0" borderId="2" xfId="30" applyBorder="1" applyAlignment="1">
      <alignment horizontal="center"/>
    </xf>
    <xf numFmtId="0" fontId="2" fillId="0" borderId="0" xfId="30" applyFont="1"/>
    <xf numFmtId="164" fontId="1" fillId="0" borderId="2" xfId="21" applyNumberFormat="1" applyFont="1" applyFill="1" applyBorder="1"/>
    <xf numFmtId="164" fontId="1" fillId="0" borderId="0" xfId="21" applyNumberFormat="1" applyFont="1" applyFill="1" applyBorder="1"/>
    <xf numFmtId="165" fontId="1" fillId="0" borderId="0" xfId="30" applyNumberFormat="1"/>
    <xf numFmtId="165" fontId="1" fillId="0" borderId="0" xfId="7" applyNumberFormat="1" applyFont="1" applyFill="1" applyBorder="1"/>
    <xf numFmtId="165" fontId="1" fillId="0" borderId="2" xfId="30" applyNumberFormat="1" applyBorder="1"/>
    <xf numFmtId="165" fontId="1" fillId="0" borderId="0" xfId="7" applyNumberFormat="1" applyFont="1" applyFill="1"/>
    <xf numFmtId="165" fontId="1" fillId="0" borderId="2" xfId="7" applyNumberFormat="1" applyFont="1" applyFill="1" applyBorder="1"/>
    <xf numFmtId="165" fontId="1" fillId="0" borderId="1" xfId="30" applyNumberFormat="1" applyBorder="1"/>
    <xf numFmtId="164" fontId="1" fillId="0" borderId="4" xfId="21" applyNumberFormat="1" applyFont="1" applyFill="1" applyBorder="1"/>
    <xf numFmtId="165" fontId="1" fillId="0" borderId="0" xfId="7" applyNumberFormat="1" applyFont="1" applyFill="1" applyAlignment="1">
      <alignment horizontal="left"/>
    </xf>
    <xf numFmtId="167" fontId="2" fillId="0" borderId="0" xfId="31" applyFont="1" applyAlignment="1">
      <alignment horizontal="center"/>
    </xf>
    <xf numFmtId="15" fontId="2" fillId="0" borderId="0" xfId="0" applyNumberFormat="1" applyFont="1" applyAlignment="1">
      <alignment horizontal="centerContinuous"/>
    </xf>
    <xf numFmtId="0" fontId="42" fillId="0" borderId="0" xfId="0" applyFont="1"/>
    <xf numFmtId="0" fontId="41" fillId="0" borderId="0" xfId="0" applyFont="1"/>
    <xf numFmtId="0" fontId="43" fillId="0" borderId="0" xfId="0" applyFont="1"/>
    <xf numFmtId="0" fontId="9" fillId="0" borderId="0" xfId="0" applyFont="1" applyAlignment="1">
      <alignment vertical="top"/>
    </xf>
    <xf numFmtId="0" fontId="9" fillId="0" borderId="0" xfId="0" applyFont="1" applyAlignment="1">
      <alignment horizontal="left" vertical="top"/>
    </xf>
    <xf numFmtId="167" fontId="21" fillId="0" borderId="0" xfId="32" applyFont="1" applyAlignment="1">
      <alignment horizontal="center"/>
    </xf>
    <xf numFmtId="164" fontId="1" fillId="0" borderId="6" xfId="15" applyNumberFormat="1" applyFont="1" applyBorder="1"/>
    <xf numFmtId="42" fontId="1" fillId="0" borderId="0" xfId="32" applyNumberFormat="1" applyFont="1" applyAlignment="1">
      <alignment horizontal="center"/>
    </xf>
    <xf numFmtId="37" fontId="1" fillId="0" borderId="0" xfId="32" applyNumberFormat="1" applyFont="1" applyAlignment="1">
      <alignment horizontal="center"/>
    </xf>
    <xf numFmtId="0" fontId="1" fillId="0" borderId="0" xfId="0" applyFont="1" applyAlignment="1">
      <alignment horizontal="left" vertical="top" wrapText="1" indent="1"/>
    </xf>
    <xf numFmtId="0" fontId="14" fillId="0" borderId="0" xfId="0" applyFont="1" applyAlignment="1">
      <alignment horizontal="center"/>
    </xf>
    <xf numFmtId="0" fontId="9" fillId="0" borderId="0" xfId="0" applyFont="1" applyAlignment="1">
      <alignment horizontal="left" vertical="top" wrapText="1"/>
    </xf>
    <xf numFmtId="15" fontId="14" fillId="0" borderId="0" xfId="0" quotePrefix="1" applyNumberFormat="1" applyFont="1" applyAlignment="1">
      <alignment horizontal="center"/>
    </xf>
    <xf numFmtId="165" fontId="14" fillId="0" borderId="0" xfId="1" applyNumberFormat="1" applyFont="1" applyFill="1" applyAlignment="1">
      <alignment horizontal="center"/>
    </xf>
    <xf numFmtId="0" fontId="2" fillId="3" borderId="0" xfId="29" applyFont="1" applyFill="1" applyAlignment="1">
      <alignment horizontal="center"/>
    </xf>
    <xf numFmtId="0" fontId="2" fillId="0" borderId="0" xfId="29" quotePrefix="1" applyFont="1" applyAlignment="1">
      <alignment horizontal="center"/>
    </xf>
    <xf numFmtId="165" fontId="14" fillId="0" borderId="0" xfId="9" applyNumberFormat="1" applyFont="1" applyFill="1" applyAlignment="1">
      <alignment horizontal="center"/>
    </xf>
    <xf numFmtId="167" fontId="14" fillId="0" borderId="0" xfId="35" applyFont="1" applyAlignment="1">
      <alignment horizontal="center"/>
    </xf>
    <xf numFmtId="167" fontId="14" fillId="0" borderId="0" xfId="34" applyFont="1" applyAlignment="1">
      <alignment horizontal="center"/>
    </xf>
    <xf numFmtId="10" fontId="1" fillId="3" borderId="4" xfId="31" applyNumberFormat="1" applyFont="1" applyFill="1" applyBorder="1"/>
    <xf numFmtId="0" fontId="2" fillId="0" borderId="9" xfId="0" applyFont="1" applyBorder="1"/>
    <xf numFmtId="0" fontId="1" fillId="0" borderId="9" xfId="0" applyFont="1" applyBorder="1"/>
    <xf numFmtId="0" fontId="2" fillId="0" borderId="9" xfId="0" quotePrefix="1" applyFont="1" applyBorder="1" applyAlignment="1">
      <alignment horizontal="center"/>
    </xf>
    <xf numFmtId="0" fontId="2" fillId="0" borderId="9" xfId="0" applyFont="1" applyBorder="1" applyAlignment="1">
      <alignment horizontal="center"/>
    </xf>
    <xf numFmtId="0" fontId="9" fillId="0" borderId="9" xfId="0" applyFont="1" applyBorder="1"/>
    <xf numFmtId="0" fontId="1" fillId="0" borderId="9" xfId="0" applyFont="1" applyBorder="1" applyAlignment="1">
      <alignment horizontal="centerContinuous"/>
    </xf>
    <xf numFmtId="15" fontId="2" fillId="0" borderId="0" xfId="0" quotePrefix="1" applyNumberFormat="1" applyFont="1" applyAlignment="1">
      <alignment horizontal="center"/>
    </xf>
    <xf numFmtId="165" fontId="2" fillId="0" borderId="0" xfId="9" applyNumberFormat="1" applyFont="1" applyFill="1" applyAlignment="1">
      <alignment horizontal="center"/>
    </xf>
    <xf numFmtId="165" fontId="1" fillId="0" borderId="9" xfId="1" applyNumberFormat="1" applyFont="1" applyFill="1" applyBorder="1"/>
    <xf numFmtId="0" fontId="2" fillId="0" borderId="9" xfId="0" applyFont="1" applyBorder="1" applyAlignment="1">
      <alignment horizontal="center" wrapText="1"/>
    </xf>
    <xf numFmtId="167" fontId="1" fillId="0" borderId="0" xfId="36" applyFont="1" applyAlignment="1">
      <alignment horizontal="left" indent="1"/>
    </xf>
    <xf numFmtId="0" fontId="0" fillId="0" borderId="0" xfId="0" applyAlignment="1">
      <alignment horizontal="left" vertical="top" wrapText="1" indent="1"/>
    </xf>
    <xf numFmtId="0" fontId="9" fillId="0" borderId="9" xfId="0" applyFont="1" applyBorder="1" applyAlignment="1">
      <alignment wrapText="1"/>
    </xf>
    <xf numFmtId="0" fontId="14" fillId="0" borderId="9" xfId="0" applyFont="1" applyBorder="1" applyAlignment="1">
      <alignment horizontal="centerContinuous"/>
    </xf>
    <xf numFmtId="0" fontId="9" fillId="0" borderId="9" xfId="0" applyFont="1" applyBorder="1" applyAlignment="1">
      <alignment horizontal="centerContinuous"/>
    </xf>
    <xf numFmtId="41" fontId="9" fillId="3" borderId="0" xfId="36" applyNumberFormat="1" applyFont="1" applyFill="1"/>
    <xf numFmtId="167" fontId="9" fillId="0" borderId="9" xfId="36" applyFont="1" applyBorder="1"/>
    <xf numFmtId="41" fontId="9" fillId="0" borderId="9" xfId="36" applyNumberFormat="1" applyFont="1" applyBorder="1"/>
    <xf numFmtId="41" fontId="1" fillId="0" borderId="9" xfId="0" applyNumberFormat="1" applyFont="1" applyBorder="1" applyAlignment="1">
      <alignment horizontal="right"/>
    </xf>
    <xf numFmtId="0" fontId="9" fillId="0" borderId="0" xfId="0" applyFont="1" applyAlignment="1">
      <alignment horizontal="left" wrapText="1"/>
    </xf>
    <xf numFmtId="42" fontId="9" fillId="0" borderId="0" xfId="17" applyFont="1" applyFill="1" applyBorder="1"/>
    <xf numFmtId="165" fontId="9" fillId="0" borderId="2" xfId="9" applyNumberFormat="1" applyFont="1" applyFill="1" applyBorder="1"/>
    <xf numFmtId="164" fontId="1" fillId="3" borderId="2" xfId="20" applyNumberFormat="1" applyFont="1" applyFill="1" applyBorder="1"/>
    <xf numFmtId="0" fontId="1" fillId="3" borderId="0" xfId="29" applyFont="1" applyFill="1"/>
    <xf numFmtId="164" fontId="1" fillId="3" borderId="0" xfId="20" applyNumberFormat="1" applyFont="1" applyFill="1" applyBorder="1"/>
    <xf numFmtId="165" fontId="1" fillId="3" borderId="0" xfId="6" applyNumberFormat="1" applyFont="1" applyFill="1"/>
    <xf numFmtId="165" fontId="1" fillId="3" borderId="0" xfId="6" applyNumberFormat="1" applyFont="1" applyFill="1" applyBorder="1"/>
    <xf numFmtId="0" fontId="1" fillId="3" borderId="0" xfId="30" applyFill="1" applyAlignment="1">
      <alignment vertical="top" wrapText="1"/>
    </xf>
    <xf numFmtId="165" fontId="1" fillId="3" borderId="0" xfId="29" applyNumberFormat="1" applyFont="1" applyFill="1"/>
    <xf numFmtId="165" fontId="1" fillId="3" borderId="2" xfId="29" applyNumberFormat="1" applyFont="1" applyFill="1" applyBorder="1"/>
    <xf numFmtId="165" fontId="1" fillId="3" borderId="2" xfId="6" applyNumberFormat="1" applyFont="1" applyFill="1" applyBorder="1"/>
    <xf numFmtId="0" fontId="9" fillId="3" borderId="0" xfId="29" applyFont="1" applyFill="1"/>
    <xf numFmtId="164" fontId="1" fillId="3" borderId="4" xfId="20" applyNumberFormat="1" applyFont="1" applyFill="1" applyBorder="1"/>
    <xf numFmtId="165" fontId="1" fillId="3" borderId="0" xfId="1" applyNumberFormat="1" applyFont="1" applyFill="1" applyBorder="1"/>
    <xf numFmtId="37" fontId="9" fillId="3" borderId="0" xfId="0" applyNumberFormat="1" applyFont="1" applyFill="1"/>
    <xf numFmtId="43" fontId="9" fillId="3" borderId="0" xfId="1" applyFont="1" applyFill="1" applyBorder="1" applyProtection="1"/>
    <xf numFmtId="165" fontId="3" fillId="3" borderId="2" xfId="29" applyNumberFormat="1" applyFill="1" applyBorder="1"/>
    <xf numFmtId="165" fontId="14" fillId="0" borderId="0" xfId="1" applyNumberFormat="1" applyFont="1" applyFill="1" applyAlignment="1">
      <alignment horizontal="left"/>
    </xf>
    <xf numFmtId="165" fontId="9" fillId="0" borderId="9" xfId="1" applyNumberFormat="1" applyFont="1" applyFill="1" applyBorder="1" applyAlignment="1">
      <alignment horizontal="centerContinuous"/>
    </xf>
    <xf numFmtId="165" fontId="14" fillId="0" borderId="0" xfId="9" applyNumberFormat="1" applyFont="1" applyFill="1" applyAlignment="1">
      <alignment horizontal="left"/>
    </xf>
    <xf numFmtId="165" fontId="14" fillId="0" borderId="0" xfId="9" applyNumberFormat="1" applyFont="1" applyFill="1"/>
    <xf numFmtId="165" fontId="14" fillId="0" borderId="0" xfId="9" applyNumberFormat="1" applyFont="1" applyFill="1" applyProtection="1"/>
    <xf numFmtId="37" fontId="14" fillId="0" borderId="0" xfId="0" applyNumberFormat="1" applyFont="1"/>
    <xf numFmtId="165" fontId="14" fillId="0" borderId="0" xfId="1" applyNumberFormat="1" applyFont="1" applyFill="1" applyBorder="1"/>
    <xf numFmtId="0" fontId="2" fillId="0" borderId="0" xfId="0" applyFont="1" applyAlignment="1">
      <alignment vertical="top"/>
    </xf>
    <xf numFmtId="0" fontId="1" fillId="3" borderId="0" xfId="0" applyFont="1" applyFill="1" applyAlignment="1">
      <alignment vertical="top"/>
    </xf>
    <xf numFmtId="165" fontId="9" fillId="3" borderId="0" xfId="1" applyNumberFormat="1" applyFont="1" applyFill="1"/>
    <xf numFmtId="165" fontId="9" fillId="2" borderId="0" xfId="5" applyNumberFormat="1" applyFont="1" applyFill="1"/>
    <xf numFmtId="43" fontId="9" fillId="0" borderId="0" xfId="1" applyFont="1"/>
    <xf numFmtId="0" fontId="29" fillId="0" borderId="0" xfId="0" applyFont="1"/>
    <xf numFmtId="0" fontId="9" fillId="0" borderId="0" xfId="0" applyFont="1" applyAlignment="1">
      <alignment vertical="top" wrapText="1"/>
    </xf>
    <xf numFmtId="165" fontId="9" fillId="0" borderId="0" xfId="1" applyNumberFormat="1" applyFont="1"/>
    <xf numFmtId="43" fontId="9" fillId="3" borderId="0" xfId="1" applyFont="1" applyFill="1"/>
    <xf numFmtId="165" fontId="9" fillId="3" borderId="0" xfId="5" applyNumberFormat="1" applyFont="1" applyFill="1"/>
    <xf numFmtId="0" fontId="3" fillId="0" borderId="9" xfId="0" applyFont="1" applyBorder="1"/>
    <xf numFmtId="165" fontId="9" fillId="3" borderId="0" xfId="5" applyNumberFormat="1" applyFont="1" applyFill="1" applyBorder="1"/>
    <xf numFmtId="0" fontId="1" fillId="2" borderId="0" xfId="0" applyFont="1" applyFill="1" applyAlignment="1">
      <alignment horizontal="left" wrapText="1" indent="1"/>
    </xf>
    <xf numFmtId="165" fontId="14" fillId="0" borderId="9" xfId="9" applyNumberFormat="1" applyFont="1" applyFill="1" applyBorder="1" applyAlignment="1">
      <alignment horizontal="center"/>
    </xf>
    <xf numFmtId="0" fontId="33" fillId="0" borderId="0" xfId="0" applyFont="1" applyAlignment="1">
      <alignment horizontal="left" vertical="center" wrapText="1"/>
    </xf>
    <xf numFmtId="164" fontId="9" fillId="3" borderId="7" xfId="19" applyNumberFormat="1" applyFont="1" applyFill="1" applyBorder="1"/>
    <xf numFmtId="165" fontId="9" fillId="3" borderId="1" xfId="5" applyNumberFormat="1" applyFont="1" applyFill="1" applyBorder="1"/>
    <xf numFmtId="0" fontId="9" fillId="0" borderId="28" xfId="0" applyFont="1" applyBorder="1" applyAlignment="1">
      <alignment horizontal="centerContinuous"/>
    </xf>
    <xf numFmtId="0" fontId="14" fillId="0" borderId="28" xfId="0" applyFont="1" applyBorder="1" applyAlignment="1">
      <alignment horizontal="centerContinuous"/>
    </xf>
    <xf numFmtId="164" fontId="9" fillId="3" borderId="4" xfId="19" applyNumberFormat="1" applyFont="1" applyFill="1" applyBorder="1"/>
    <xf numFmtId="164" fontId="9" fillId="3" borderId="0" xfId="19" applyNumberFormat="1" applyFont="1" applyFill="1" applyBorder="1"/>
    <xf numFmtId="164" fontId="1" fillId="0" borderId="0" xfId="9" applyNumberFormat="1" applyFont="1" applyFill="1" applyBorder="1" applyProtection="1"/>
    <xf numFmtId="167" fontId="9" fillId="0" borderId="9" xfId="36" applyFont="1" applyBorder="1" applyAlignment="1">
      <alignment horizontal="left"/>
    </xf>
    <xf numFmtId="165" fontId="1" fillId="3" borderId="3" xfId="5" applyNumberFormat="1" applyFont="1" applyFill="1" applyBorder="1" applyProtection="1"/>
    <xf numFmtId="165" fontId="1" fillId="3" borderId="0" xfId="5" applyNumberFormat="1" applyFont="1" applyFill="1" applyProtection="1"/>
    <xf numFmtId="0" fontId="1" fillId="3" borderId="0" xfId="0" applyFont="1" applyFill="1"/>
    <xf numFmtId="165" fontId="1" fillId="3" borderId="0" xfId="5" applyNumberFormat="1" applyFont="1" applyFill="1" applyBorder="1" applyProtection="1"/>
    <xf numFmtId="37" fontId="1" fillId="3" borderId="0" xfId="0" applyNumberFormat="1" applyFont="1" applyFill="1"/>
    <xf numFmtId="164" fontId="1" fillId="3" borderId="0" xfId="5" applyNumberFormat="1" applyFont="1" applyFill="1" applyBorder="1" applyProtection="1"/>
    <xf numFmtId="0" fontId="1" fillId="2" borderId="0" xfId="0" applyFont="1" applyFill="1" applyAlignment="1">
      <alignment horizontal="center"/>
    </xf>
    <xf numFmtId="0" fontId="1" fillId="2" borderId="3" xfId="0" applyFont="1" applyFill="1" applyBorder="1" applyAlignment="1">
      <alignment horizontal="center"/>
    </xf>
    <xf numFmtId="0" fontId="1" fillId="3" borderId="0" xfId="0" applyFont="1" applyFill="1" applyAlignment="1">
      <alignment horizontal="left"/>
    </xf>
    <xf numFmtId="165" fontId="1" fillId="3" borderId="8" xfId="5" applyNumberFormat="1" applyFont="1" applyFill="1" applyBorder="1" applyProtection="1"/>
    <xf numFmtId="0" fontId="1" fillId="3" borderId="0" xfId="0" applyFont="1" applyFill="1" applyAlignment="1">
      <alignment horizontal="right"/>
    </xf>
    <xf numFmtId="165" fontId="1" fillId="3" borderId="0" xfId="5" applyNumberFormat="1" applyFont="1" applyFill="1" applyAlignment="1" applyProtection="1">
      <alignment horizontal="right"/>
    </xf>
    <xf numFmtId="0" fontId="1" fillId="3" borderId="0" xfId="0" applyFont="1" applyFill="1" applyAlignment="1">
      <alignment horizontal="left" wrapText="1"/>
    </xf>
    <xf numFmtId="0" fontId="1" fillId="3" borderId="0" xfId="0" applyFont="1" applyFill="1" applyAlignment="1">
      <alignment wrapText="1"/>
    </xf>
    <xf numFmtId="165" fontId="1" fillId="3" borderId="0" xfId="5" applyNumberFormat="1" applyFont="1" applyFill="1"/>
    <xf numFmtId="0" fontId="2" fillId="3" borderId="0" xfId="0" applyFont="1" applyFill="1" applyAlignment="1">
      <alignment horizontal="left"/>
    </xf>
    <xf numFmtId="0" fontId="2" fillId="3" borderId="0" xfId="0" applyFont="1" applyFill="1"/>
    <xf numFmtId="164" fontId="1" fillId="3" borderId="4" xfId="19" applyNumberFormat="1" applyFont="1" applyFill="1" applyBorder="1" applyProtection="1"/>
    <xf numFmtId="165" fontId="1" fillId="3" borderId="2" xfId="5" applyNumberFormat="1" applyFont="1" applyFill="1" applyBorder="1" applyProtection="1"/>
    <xf numFmtId="164" fontId="1" fillId="3" borderId="0" xfId="0" applyNumberFormat="1" applyFont="1" applyFill="1"/>
    <xf numFmtId="164" fontId="1" fillId="3" borderId="6" xfId="5" applyNumberFormat="1" applyFont="1" applyFill="1" applyBorder="1" applyProtection="1"/>
    <xf numFmtId="164" fontId="1" fillId="3" borderId="0" xfId="15" applyNumberFormat="1" applyFont="1" applyFill="1" applyBorder="1"/>
    <xf numFmtId="165" fontId="1" fillId="3" borderId="2" xfId="1" applyNumberFormat="1" applyFont="1" applyFill="1" applyBorder="1"/>
    <xf numFmtId="165" fontId="1" fillId="3" borderId="1" xfId="1" applyNumberFormat="1" applyFont="1" applyFill="1" applyBorder="1"/>
    <xf numFmtId="165" fontId="0" fillId="3" borderId="2" xfId="0" applyNumberFormat="1" applyFill="1" applyBorder="1"/>
    <xf numFmtId="165" fontId="1" fillId="3" borderId="0" xfId="1" applyNumberFormat="1" applyFont="1" applyFill="1"/>
    <xf numFmtId="164" fontId="1" fillId="3" borderId="6" xfId="15" applyNumberFormat="1" applyFont="1" applyFill="1" applyBorder="1"/>
    <xf numFmtId="0" fontId="0" fillId="3" borderId="0" xfId="0" applyFill="1"/>
    <xf numFmtId="42" fontId="0" fillId="3" borderId="0" xfId="0" applyNumberFormat="1" applyFill="1"/>
    <xf numFmtId="165" fontId="0" fillId="3" borderId="0" xfId="1" applyNumberFormat="1" applyFont="1" applyFill="1" applyBorder="1"/>
    <xf numFmtId="41" fontId="0" fillId="3" borderId="0" xfId="0" applyNumberFormat="1" applyFill="1"/>
    <xf numFmtId="41" fontId="0" fillId="3" borderId="1" xfId="0" applyNumberFormat="1" applyFill="1" applyBorder="1"/>
    <xf numFmtId="41" fontId="0" fillId="3" borderId="2" xfId="0" applyNumberFormat="1" applyFill="1" applyBorder="1"/>
    <xf numFmtId="42" fontId="0" fillId="3" borderId="4" xfId="0" applyNumberFormat="1" applyFill="1" applyBorder="1"/>
    <xf numFmtId="0" fontId="0" fillId="3" borderId="0" xfId="0" applyFill="1" applyAlignment="1">
      <alignment vertical="top"/>
    </xf>
    <xf numFmtId="0" fontId="2" fillId="0" borderId="32" xfId="0" applyFont="1" applyBorder="1" applyAlignment="1">
      <alignment horizontal="centerContinuous"/>
    </xf>
    <xf numFmtId="0" fontId="1" fillId="0" borderId="32" xfId="0" applyFont="1" applyBorder="1" applyAlignment="1">
      <alignment horizontal="centerContinuous"/>
    </xf>
    <xf numFmtId="0" fontId="0" fillId="3" borderId="0" xfId="0" applyFill="1" applyAlignment="1">
      <alignment horizontal="left" indent="1"/>
    </xf>
    <xf numFmtId="0" fontId="1" fillId="3" borderId="0" xfId="0" applyFont="1" applyFill="1" applyAlignment="1">
      <alignment horizontal="centerContinuous"/>
    </xf>
    <xf numFmtId="165" fontId="1" fillId="0" borderId="0" xfId="1" applyNumberFormat="1" applyFont="1" applyFill="1" applyBorder="1" applyAlignment="1">
      <alignment horizontal="right"/>
    </xf>
    <xf numFmtId="0" fontId="9" fillId="3" borderId="0" xfId="0" applyFont="1" applyFill="1"/>
    <xf numFmtId="164" fontId="9" fillId="3" borderId="0" xfId="15" applyNumberFormat="1" applyFont="1" applyFill="1" applyProtection="1"/>
    <xf numFmtId="165" fontId="9" fillId="3" borderId="0" xfId="1" applyNumberFormat="1" applyFont="1" applyFill="1" applyProtection="1"/>
    <xf numFmtId="165" fontId="9" fillId="3" borderId="3" xfId="1" applyNumberFormat="1" applyFont="1" applyFill="1" applyBorder="1" applyProtection="1"/>
    <xf numFmtId="165" fontId="9" fillId="3" borderId="2" xfId="1" applyNumberFormat="1" applyFont="1" applyFill="1" applyBorder="1" applyProtection="1"/>
    <xf numFmtId="0" fontId="14" fillId="3" borderId="0" xfId="0" applyFont="1" applyFill="1" applyAlignment="1">
      <alignment horizontal="right"/>
    </xf>
    <xf numFmtId="164" fontId="9" fillId="3" borderId="4" xfId="15" applyNumberFormat="1" applyFont="1" applyFill="1" applyBorder="1" applyProtection="1"/>
    <xf numFmtId="164" fontId="1" fillId="3" borderId="4" xfId="15" applyNumberFormat="1" applyFont="1" applyFill="1" applyBorder="1" applyProtection="1"/>
    <xf numFmtId="165" fontId="9" fillId="3" borderId="0" xfId="1" applyNumberFormat="1" applyFont="1" applyFill="1" applyBorder="1" applyProtection="1"/>
    <xf numFmtId="165" fontId="1" fillId="3" borderId="0" xfId="1" applyNumberFormat="1" applyFont="1" applyFill="1" applyBorder="1" applyProtection="1"/>
    <xf numFmtId="165" fontId="1" fillId="3" borderId="8" xfId="1" applyNumberFormat="1" applyFont="1" applyFill="1" applyBorder="1" applyProtection="1"/>
    <xf numFmtId="164" fontId="1" fillId="3" borderId="7" xfId="15" applyNumberFormat="1" applyFont="1" applyFill="1" applyBorder="1" applyProtection="1"/>
    <xf numFmtId="0" fontId="9" fillId="3" borderId="0" xfId="0" applyFont="1" applyFill="1" applyAlignment="1">
      <alignment horizontal="left"/>
    </xf>
    <xf numFmtId="165" fontId="1" fillId="3" borderId="0" xfId="1" applyNumberFormat="1" applyFont="1" applyFill="1" applyAlignment="1">
      <alignment horizontal="left"/>
    </xf>
    <xf numFmtId="164" fontId="9" fillId="3" borderId="0" xfId="15" applyNumberFormat="1" applyFont="1" applyFill="1" applyBorder="1" applyProtection="1"/>
    <xf numFmtId="0" fontId="9" fillId="3" borderId="0" xfId="0" applyFont="1" applyFill="1" applyAlignment="1">
      <alignment horizontal="center" wrapText="1"/>
    </xf>
    <xf numFmtId="164" fontId="1" fillId="3" borderId="0" xfId="15" applyNumberFormat="1" applyFont="1" applyFill="1" applyBorder="1" applyProtection="1"/>
    <xf numFmtId="0" fontId="9" fillId="3" borderId="2" xfId="0" applyFont="1" applyFill="1" applyBorder="1" applyAlignment="1">
      <alignment horizontal="center" wrapText="1"/>
    </xf>
    <xf numFmtId="0" fontId="1" fillId="2" borderId="0" xfId="29" applyFont="1" applyFill="1" applyAlignment="1">
      <alignment horizontal="center"/>
    </xf>
    <xf numFmtId="0" fontId="1" fillId="2" borderId="3" xfId="29" applyFont="1" applyFill="1" applyBorder="1" applyAlignment="1">
      <alignment horizontal="center"/>
    </xf>
    <xf numFmtId="0" fontId="9" fillId="2" borderId="2" xfId="0" applyFont="1" applyFill="1" applyBorder="1" applyAlignment="1">
      <alignment horizontal="center" wrapText="1"/>
    </xf>
    <xf numFmtId="0" fontId="0" fillId="2" borderId="0" xfId="0" applyFill="1"/>
    <xf numFmtId="0" fontId="2" fillId="2" borderId="0" xfId="0" applyFont="1" applyFill="1" applyAlignment="1">
      <alignment horizontal="center"/>
    </xf>
    <xf numFmtId="0" fontId="9" fillId="2" borderId="0" xfId="0" applyFont="1" applyFill="1" applyAlignment="1">
      <alignment horizontal="centerContinuous"/>
    </xf>
    <xf numFmtId="0" fontId="0" fillId="2" borderId="9" xfId="0" applyFill="1" applyBorder="1"/>
    <xf numFmtId="0" fontId="9" fillId="2" borderId="9" xfId="0" applyFont="1" applyFill="1" applyBorder="1"/>
    <xf numFmtId="0" fontId="9" fillId="2" borderId="0" xfId="0" applyFont="1" applyFill="1" applyAlignment="1">
      <alignment horizontal="center"/>
    </xf>
    <xf numFmtId="0" fontId="9" fillId="2" borderId="3" xfId="0" applyFont="1" applyFill="1" applyBorder="1" applyAlignment="1">
      <alignment horizontal="center"/>
    </xf>
    <xf numFmtId="0" fontId="1" fillId="2" borderId="0" xfId="30" applyFill="1" applyAlignment="1">
      <alignment horizontal="center"/>
    </xf>
    <xf numFmtId="0" fontId="1" fillId="2" borderId="3" xfId="30" applyFill="1" applyBorder="1" applyAlignment="1">
      <alignment horizontal="center"/>
    </xf>
    <xf numFmtId="0" fontId="9" fillId="2" borderId="0" xfId="29" applyFont="1" applyFill="1" applyAlignment="1">
      <alignment horizontal="center"/>
    </xf>
    <xf numFmtId="0" fontId="9" fillId="2" borderId="3" xfId="29" applyFont="1" applyFill="1" applyBorder="1" applyAlignment="1">
      <alignment horizontal="center"/>
    </xf>
    <xf numFmtId="0" fontId="14" fillId="3" borderId="0" xfId="0" applyFont="1" applyFill="1"/>
    <xf numFmtId="165" fontId="1" fillId="3" borderId="0" xfId="1" applyNumberFormat="1" applyFont="1" applyFill="1" applyProtection="1"/>
    <xf numFmtId="165" fontId="31" fillId="3" borderId="0" xfId="1" applyNumberFormat="1" applyFont="1" applyFill="1" applyProtection="1"/>
    <xf numFmtId="0" fontId="41" fillId="3" borderId="0" xfId="0" applyFont="1" applyFill="1" applyAlignment="1">
      <alignment horizontal="left"/>
    </xf>
    <xf numFmtId="165" fontId="1" fillId="3" borderId="0" xfId="1" applyNumberFormat="1" applyFont="1" applyFill="1" applyBorder="1" applyAlignment="1" applyProtection="1">
      <alignment horizontal="right"/>
    </xf>
    <xf numFmtId="165" fontId="1" fillId="3" borderId="2" xfId="1" applyNumberFormat="1" applyFont="1" applyFill="1" applyBorder="1" applyProtection="1"/>
    <xf numFmtId="165" fontId="1" fillId="3" borderId="3" xfId="1" applyNumberFormat="1" applyFont="1" applyFill="1" applyBorder="1" applyAlignment="1" applyProtection="1">
      <alignment horizontal="right"/>
    </xf>
    <xf numFmtId="165" fontId="1" fillId="3" borderId="1" xfId="1" applyNumberFormat="1" applyFont="1" applyFill="1" applyBorder="1" applyProtection="1"/>
    <xf numFmtId="165" fontId="1" fillId="3" borderId="3" xfId="1" applyNumberFormat="1" applyFont="1" applyFill="1" applyBorder="1" applyProtection="1"/>
    <xf numFmtId="44" fontId="1" fillId="3" borderId="4" xfId="15" applyFont="1" applyFill="1" applyBorder="1" applyProtection="1"/>
    <xf numFmtId="182" fontId="1" fillId="3" borderId="7" xfId="0" applyNumberFormat="1" applyFont="1" applyFill="1" applyBorder="1"/>
    <xf numFmtId="0" fontId="30" fillId="3" borderId="0" xfId="0" applyFont="1" applyFill="1" applyAlignment="1">
      <alignment horizontal="justify" vertical="top" wrapText="1"/>
    </xf>
    <xf numFmtId="182" fontId="1" fillId="3" borderId="0" xfId="0" applyNumberFormat="1" applyFont="1" applyFill="1"/>
    <xf numFmtId="0" fontId="9" fillId="0" borderId="0" xfId="0" applyFont="1" applyAlignment="1">
      <alignment horizontal="center" wrapText="1"/>
    </xf>
    <xf numFmtId="44" fontId="1" fillId="3" borderId="0" xfId="15" applyFont="1" applyFill="1" applyBorder="1" applyProtection="1"/>
    <xf numFmtId="165" fontId="41" fillId="0" borderId="0" xfId="1" applyNumberFormat="1" applyFont="1" applyFill="1" applyBorder="1" applyProtection="1"/>
    <xf numFmtId="164" fontId="1" fillId="0" borderId="0" xfId="15" applyNumberFormat="1" applyFont="1" applyFill="1" applyBorder="1" applyProtection="1"/>
    <xf numFmtId="165" fontId="1" fillId="2" borderId="0" xfId="1" applyNumberFormat="1" applyFont="1" applyFill="1" applyAlignment="1">
      <alignment horizontal="center"/>
    </xf>
    <xf numFmtId="165" fontId="1" fillId="2" borderId="2" xfId="1" applyNumberFormat="1" applyFont="1" applyFill="1" applyBorder="1" applyAlignment="1">
      <alignment horizontal="center"/>
    </xf>
    <xf numFmtId="0" fontId="1" fillId="4" borderId="0" xfId="0" applyFont="1" applyFill="1"/>
    <xf numFmtId="0" fontId="2" fillId="3" borderId="2" xfId="0" applyFont="1" applyFill="1" applyBorder="1" applyAlignment="1">
      <alignment horizontal="center" wrapText="1"/>
    </xf>
    <xf numFmtId="164" fontId="1" fillId="3" borderId="0" xfId="15" applyNumberFormat="1" applyFont="1" applyFill="1"/>
    <xf numFmtId="0" fontId="1" fillId="3" borderId="0" xfId="0" applyFont="1" applyFill="1" applyAlignment="1">
      <alignment horizontal="left" indent="1"/>
    </xf>
    <xf numFmtId="0" fontId="1" fillId="3" borderId="0" xfId="0" applyFont="1" applyFill="1" applyAlignment="1">
      <alignment horizontal="left" wrapText="1" indent="1"/>
    </xf>
    <xf numFmtId="0" fontId="1" fillId="3" borderId="0" xfId="0" applyFont="1" applyFill="1" applyAlignment="1">
      <alignment horizontal="left" wrapText="1" indent="2"/>
    </xf>
    <xf numFmtId="0" fontId="1" fillId="3" borderId="0" xfId="0" applyFont="1" applyFill="1" applyAlignment="1">
      <alignment horizontal="left" indent="2"/>
    </xf>
    <xf numFmtId="0" fontId="1" fillId="3" borderId="0" xfId="0" applyFont="1" applyFill="1" applyAlignment="1">
      <alignment horizontal="left" wrapText="1" indent="3"/>
    </xf>
    <xf numFmtId="0" fontId="9" fillId="3" borderId="0" xfId="0" applyFont="1" applyFill="1" applyAlignment="1">
      <alignment wrapText="1"/>
    </xf>
    <xf numFmtId="0" fontId="9" fillId="3" borderId="0" xfId="0" applyFont="1" applyFill="1" applyAlignment="1">
      <alignment horizontal="left" wrapText="1" indent="1"/>
    </xf>
    <xf numFmtId="164" fontId="1" fillId="3" borderId="7" xfId="15" applyNumberFormat="1" applyFont="1" applyFill="1" applyBorder="1"/>
    <xf numFmtId="0" fontId="0" fillId="0" borderId="0" xfId="0" applyAlignment="1">
      <alignment horizontal="center"/>
    </xf>
    <xf numFmtId="0" fontId="2" fillId="3" borderId="0" xfId="0" applyFont="1" applyFill="1" applyAlignment="1">
      <alignment horizontal="center" wrapText="1"/>
    </xf>
    <xf numFmtId="41" fontId="9" fillId="3" borderId="2" xfId="9" applyNumberFormat="1" applyFont="1" applyFill="1" applyBorder="1"/>
    <xf numFmtId="171" fontId="1" fillId="3" borderId="0" xfId="15" applyNumberFormat="1" applyFont="1" applyFill="1"/>
    <xf numFmtId="41" fontId="1" fillId="3" borderId="0" xfId="15" applyNumberFormat="1" applyFont="1" applyFill="1"/>
    <xf numFmtId="165" fontId="1" fillId="3" borderId="0" xfId="0" applyNumberFormat="1" applyFont="1" applyFill="1"/>
    <xf numFmtId="164" fontId="1" fillId="3" borderId="0" xfId="1" applyNumberFormat="1" applyFont="1" applyFill="1"/>
    <xf numFmtId="0" fontId="1" fillId="3" borderId="0" xfId="0" applyFont="1" applyFill="1" applyAlignment="1">
      <alignment horizontal="left" indent="3"/>
    </xf>
    <xf numFmtId="165" fontId="1" fillId="3" borderId="8" xfId="1" applyNumberFormat="1" applyFont="1" applyFill="1" applyBorder="1"/>
    <xf numFmtId="0" fontId="1" fillId="3" borderId="0" xfId="0" applyFont="1" applyFill="1" applyAlignment="1">
      <alignment vertical="top" wrapText="1"/>
    </xf>
    <xf numFmtId="0" fontId="2" fillId="2" borderId="0" xfId="0" applyFont="1" applyFill="1"/>
    <xf numFmtId="165" fontId="8" fillId="0" borderId="0" xfId="0" applyNumberFormat="1" applyFont="1" applyAlignment="1">
      <alignment horizontal="left"/>
    </xf>
    <xf numFmtId="164" fontId="8" fillId="0" borderId="0" xfId="0" applyNumberFormat="1" applyFont="1" applyAlignment="1">
      <alignment horizontal="left"/>
    </xf>
    <xf numFmtId="164" fontId="8" fillId="0" borderId="0" xfId="0" applyNumberFormat="1" applyFont="1"/>
    <xf numFmtId="0" fontId="2" fillId="3" borderId="0" xfId="0" applyFont="1" applyFill="1" applyAlignment="1">
      <alignment horizontal="center"/>
    </xf>
    <xf numFmtId="37" fontId="6" fillId="3" borderId="0" xfId="0" applyNumberFormat="1" applyFont="1" applyFill="1" applyAlignment="1">
      <alignment horizontal="center"/>
    </xf>
    <xf numFmtId="42" fontId="1" fillId="3" borderId="0" xfId="0" applyNumberFormat="1" applyFont="1" applyFill="1"/>
    <xf numFmtId="10" fontId="3" fillId="0" borderId="0" xfId="39" applyNumberFormat="1" applyFont="1"/>
    <xf numFmtId="10" fontId="31" fillId="2" borderId="0" xfId="39" applyNumberFormat="1" applyFont="1" applyFill="1" applyBorder="1" applyAlignment="1">
      <alignment wrapText="1"/>
    </xf>
    <xf numFmtId="10" fontId="31" fillId="2" borderId="0" xfId="39" applyNumberFormat="1" applyFont="1" applyFill="1"/>
    <xf numFmtId="10" fontId="1" fillId="2" borderId="0" xfId="0" applyNumberFormat="1" applyFont="1" applyFill="1"/>
    <xf numFmtId="10" fontId="3" fillId="2" borderId="0" xfId="0" applyNumberFormat="1" applyFont="1" applyFill="1"/>
    <xf numFmtId="165" fontId="1" fillId="0" borderId="2" xfId="1" applyNumberFormat="1" applyFont="1" applyBorder="1" applyAlignment="1"/>
    <xf numFmtId="165" fontId="31" fillId="0" borderId="0" xfId="1" applyNumberFormat="1" applyFont="1" applyBorder="1" applyAlignment="1"/>
    <xf numFmtId="165" fontId="31" fillId="0" borderId="2" xfId="1" applyNumberFormat="1" applyFont="1" applyBorder="1" applyAlignment="1"/>
    <xf numFmtId="10" fontId="31" fillId="2" borderId="0" xfId="0" applyNumberFormat="1" applyFont="1" applyFill="1" applyAlignment="1">
      <alignment wrapText="1"/>
    </xf>
    <xf numFmtId="164" fontId="3" fillId="2" borderId="0" xfId="15" applyNumberFormat="1" applyFont="1" applyFill="1"/>
    <xf numFmtId="165" fontId="31" fillId="2" borderId="2" xfId="1" applyNumberFormat="1" applyFont="1" applyFill="1" applyBorder="1"/>
    <xf numFmtId="172" fontId="3" fillId="2" borderId="0" xfId="0" applyNumberFormat="1" applyFont="1" applyFill="1"/>
    <xf numFmtId="164" fontId="31" fillId="2" borderId="0" xfId="15" applyNumberFormat="1" applyFont="1" applyFill="1" applyBorder="1"/>
    <xf numFmtId="164" fontId="31" fillId="2" borderId="0" xfId="15" applyNumberFormat="1" applyFont="1" applyFill="1"/>
    <xf numFmtId="165" fontId="31" fillId="2" borderId="2" xfId="1" applyNumberFormat="1" applyFont="1" applyFill="1" applyBorder="1" applyAlignment="1"/>
    <xf numFmtId="165" fontId="0" fillId="2" borderId="0" xfId="1" applyNumberFormat="1" applyFont="1" applyFill="1"/>
    <xf numFmtId="164" fontId="1" fillId="2" borderId="7" xfId="15" applyNumberFormat="1" applyFont="1" applyFill="1" applyBorder="1"/>
    <xf numFmtId="164" fontId="0" fillId="2" borderId="0" xfId="0" applyNumberFormat="1" applyFill="1"/>
    <xf numFmtId="41" fontId="0" fillId="2" borderId="0" xfId="0" applyNumberFormat="1" applyFill="1"/>
    <xf numFmtId="10" fontId="0" fillId="2" borderId="0" xfId="39" applyNumberFormat="1" applyFont="1" applyFill="1"/>
    <xf numFmtId="41" fontId="1" fillId="2" borderId="0" xfId="15" applyNumberFormat="1" applyFont="1" applyFill="1"/>
    <xf numFmtId="164" fontId="0" fillId="2" borderId="7" xfId="15" applyNumberFormat="1" applyFont="1" applyFill="1" applyBorder="1"/>
    <xf numFmtId="41" fontId="0" fillId="2" borderId="0" xfId="15" applyNumberFormat="1" applyFont="1" applyFill="1"/>
    <xf numFmtId="41" fontId="0" fillId="2" borderId="2" xfId="15" applyNumberFormat="1" applyFont="1" applyFill="1" applyBorder="1"/>
    <xf numFmtId="164" fontId="0" fillId="2" borderId="4" xfId="15" applyNumberFormat="1" applyFont="1" applyFill="1" applyBorder="1"/>
    <xf numFmtId="0" fontId="2" fillId="3" borderId="2" xfId="0" applyFont="1" applyFill="1" applyBorder="1" applyAlignment="1">
      <alignment horizontal="center"/>
    </xf>
    <xf numFmtId="173" fontId="1" fillId="2" borderId="0" xfId="0" applyNumberFormat="1" applyFont="1" applyFill="1"/>
    <xf numFmtId="164" fontId="1" fillId="2" borderId="0" xfId="15" applyNumberFormat="1" applyFont="1" applyFill="1" applyAlignment="1"/>
    <xf numFmtId="42" fontId="0" fillId="2" borderId="7" xfId="0" applyNumberFormat="1" applyFill="1" applyBorder="1"/>
    <xf numFmtId="0" fontId="32" fillId="3" borderId="2" xfId="0" applyFont="1" applyFill="1" applyBorder="1" applyAlignment="1">
      <alignment horizontal="center"/>
    </xf>
    <xf numFmtId="0" fontId="1" fillId="0" borderId="0" xfId="0" applyFont="1" applyAlignment="1">
      <alignment wrapText="1" readingOrder="1"/>
    </xf>
    <xf numFmtId="0" fontId="9" fillId="2" borderId="0" xfId="0" applyFont="1" applyFill="1" applyAlignment="1">
      <alignment horizontal="left"/>
    </xf>
    <xf numFmtId="37" fontId="1" fillId="2" borderId="0" xfId="1" applyNumberFormat="1" applyFont="1" applyFill="1" applyBorder="1"/>
    <xf numFmtId="0" fontId="1" fillId="2" borderId="0" xfId="0" applyFont="1" applyFill="1" applyAlignment="1">
      <alignment horizontal="left"/>
    </xf>
    <xf numFmtId="167" fontId="1" fillId="2" borderId="0" xfId="36" applyFont="1" applyFill="1" applyAlignment="1">
      <alignment horizontal="left" indent="1"/>
    </xf>
    <xf numFmtId="0" fontId="20" fillId="0" borderId="0" xfId="0" applyFont="1" applyAlignment="1">
      <alignment horizontal="left"/>
    </xf>
    <xf numFmtId="0" fontId="2" fillId="0" borderId="1" xfId="0" applyFont="1" applyBorder="1" applyAlignment="1">
      <alignment horizontal="centerContinuous"/>
    </xf>
    <xf numFmtId="0" fontId="1" fillId="0" borderId="1" xfId="0" applyFont="1" applyBorder="1" applyAlignment="1">
      <alignment horizontal="centerContinuous"/>
    </xf>
    <xf numFmtId="0" fontId="0" fillId="3" borderId="0" xfId="0" applyFill="1" applyAlignment="1">
      <alignment horizontal="left"/>
    </xf>
    <xf numFmtId="41" fontId="1" fillId="3" borderId="2" xfId="0" applyNumberFormat="1" applyFont="1" applyFill="1" applyBorder="1"/>
    <xf numFmtId="41" fontId="1" fillId="3" borderId="0" xfId="0" applyNumberFormat="1" applyFont="1" applyFill="1"/>
    <xf numFmtId="41" fontId="1" fillId="3" borderId="0" xfId="1" applyNumberFormat="1" applyFont="1" applyFill="1"/>
    <xf numFmtId="41" fontId="1" fillId="3" borderId="0" xfId="1" applyNumberFormat="1" applyFont="1" applyFill="1" applyBorder="1"/>
    <xf numFmtId="167" fontId="9" fillId="2" borderId="0" xfId="36" applyFont="1" applyFill="1" applyAlignment="1">
      <alignment horizontal="left"/>
    </xf>
    <xf numFmtId="167" fontId="9" fillId="2" borderId="0" xfId="36" applyFont="1" applyFill="1"/>
    <xf numFmtId="37" fontId="9" fillId="2" borderId="0" xfId="36" applyNumberFormat="1" applyFont="1" applyFill="1"/>
    <xf numFmtId="41" fontId="9" fillId="2" borderId="0" xfId="36" applyNumberFormat="1" applyFont="1" applyFill="1"/>
    <xf numFmtId="165" fontId="9" fillId="2" borderId="0" xfId="36" applyNumberFormat="1" applyFont="1" applyFill="1"/>
    <xf numFmtId="43" fontId="1" fillId="3" borderId="0" xfId="1" applyFont="1" applyFill="1"/>
    <xf numFmtId="10" fontId="31" fillId="3" borderId="0" xfId="39" applyNumberFormat="1" applyFont="1" applyFill="1"/>
    <xf numFmtId="0" fontId="42" fillId="2" borderId="0" xfId="0" applyFont="1" applyFill="1"/>
    <xf numFmtId="0" fontId="31" fillId="2" borderId="0" xfId="0" applyFont="1" applyFill="1" applyAlignment="1">
      <alignment wrapText="1"/>
    </xf>
    <xf numFmtId="0" fontId="31" fillId="2" borderId="0" xfId="0" applyFont="1" applyFill="1"/>
    <xf numFmtId="0" fontId="3" fillId="2" borderId="0" xfId="0" applyFont="1" applyFill="1"/>
    <xf numFmtId="0" fontId="31" fillId="2" borderId="0" xfId="0" applyFont="1" applyFill="1" applyAlignment="1">
      <alignment horizontal="left" wrapText="1" indent="3"/>
    </xf>
    <xf numFmtId="10" fontId="31" fillId="2" borderId="0" xfId="39" applyNumberFormat="1" applyFont="1" applyFill="1" applyAlignment="1">
      <alignment horizontal="left" vertical="top"/>
    </xf>
    <xf numFmtId="0" fontId="31" fillId="2" borderId="0" xfId="0" applyFont="1" applyFill="1" applyAlignment="1">
      <alignment horizontal="left" wrapText="1" indent="4"/>
    </xf>
    <xf numFmtId="0" fontId="41" fillId="2" borderId="0" xfId="0" applyFont="1" applyFill="1"/>
    <xf numFmtId="0" fontId="41" fillId="3" borderId="0" xfId="0" applyFont="1" applyFill="1"/>
    <xf numFmtId="0" fontId="2" fillId="2" borderId="0" xfId="0" applyFont="1" applyFill="1" applyAlignment="1">
      <alignment horizontal="left" indent="2"/>
    </xf>
    <xf numFmtId="165" fontId="1" fillId="2" borderId="0" xfId="1" applyNumberFormat="1" applyFont="1" applyFill="1" applyAlignment="1"/>
    <xf numFmtId="41" fontId="1" fillId="2" borderId="2" xfId="1" applyNumberFormat="1" applyFont="1" applyFill="1" applyBorder="1"/>
    <xf numFmtId="41" fontId="1" fillId="2" borderId="1" xfId="1" applyNumberFormat="1" applyFont="1" applyFill="1" applyBorder="1"/>
    <xf numFmtId="0" fontId="9" fillId="0" borderId="2" xfId="0" applyFont="1" applyBorder="1" applyAlignment="1">
      <alignment horizontal="center" wrapText="1"/>
    </xf>
    <xf numFmtId="0" fontId="14" fillId="0" borderId="32" xfId="0" applyFont="1" applyBorder="1" applyAlignment="1">
      <alignment horizontal="centerContinuous"/>
    </xf>
    <xf numFmtId="0" fontId="9" fillId="0" borderId="32" xfId="0" applyFont="1" applyBorder="1" applyAlignment="1">
      <alignment horizontal="centerContinuous"/>
    </xf>
    <xf numFmtId="0" fontId="9" fillId="2" borderId="0" xfId="0" applyFont="1" applyFill="1" applyAlignment="1">
      <alignment horizontal="left" indent="2"/>
    </xf>
    <xf numFmtId="0" fontId="9" fillId="2" borderId="0" xfId="0" applyFont="1" applyFill="1" applyAlignment="1">
      <alignment horizontal="left" wrapText="1" indent="1"/>
    </xf>
    <xf numFmtId="165" fontId="14" fillId="0" borderId="0" xfId="1" applyNumberFormat="1" applyFont="1" applyFill="1" applyAlignment="1"/>
    <xf numFmtId="167" fontId="14" fillId="0" borderId="0" xfId="34" applyFont="1" applyAlignment="1">
      <alignment horizontal="left"/>
    </xf>
    <xf numFmtId="165" fontId="2" fillId="0" borderId="0" xfId="1" applyNumberFormat="1" applyFont="1" applyFill="1" applyAlignment="1">
      <alignment horizontal="left"/>
    </xf>
    <xf numFmtId="42" fontId="1" fillId="0" borderId="4" xfId="32" applyNumberFormat="1" applyFont="1" applyBorder="1"/>
    <xf numFmtId="37" fontId="1" fillId="2" borderId="2" xfId="1" applyNumberFormat="1" applyFont="1" applyFill="1" applyBorder="1"/>
    <xf numFmtId="165" fontId="1" fillId="0" borderId="0" xfId="39" applyNumberFormat="1" applyFont="1" applyFill="1"/>
    <xf numFmtId="0" fontId="1" fillId="2" borderId="0" xfId="29" applyFont="1" applyFill="1" applyAlignment="1">
      <alignment horizontal="centerContinuous"/>
    </xf>
    <xf numFmtId="0" fontId="2" fillId="2" borderId="0" xfId="0" applyFont="1" applyFill="1" applyAlignment="1">
      <alignment horizontal="right"/>
    </xf>
    <xf numFmtId="165" fontId="3" fillId="0" borderId="0" xfId="1" applyNumberFormat="1" applyFont="1"/>
    <xf numFmtId="37" fontId="1" fillId="2" borderId="0" xfId="32" applyNumberFormat="1" applyFont="1" applyFill="1"/>
    <xf numFmtId="0" fontId="1" fillId="2" borderId="0" xfId="29" applyFont="1" applyFill="1"/>
    <xf numFmtId="167" fontId="15" fillId="0" borderId="0" xfId="31" applyFont="1" applyAlignment="1">
      <alignment horizontal="centerContinuous"/>
    </xf>
    <xf numFmtId="167" fontId="27" fillId="0" borderId="0" xfId="31" applyFont="1" applyAlignment="1">
      <alignment horizontal="centerContinuous"/>
    </xf>
    <xf numFmtId="0" fontId="27" fillId="0" borderId="0" xfId="33" applyFont="1"/>
    <xf numFmtId="167" fontId="27" fillId="0" borderId="0" xfId="31" applyFont="1"/>
    <xf numFmtId="37" fontId="27" fillId="0" borderId="0" xfId="31" applyNumberFormat="1" applyFont="1"/>
    <xf numFmtId="167" fontId="44" fillId="0" borderId="0" xfId="31" applyFont="1"/>
    <xf numFmtId="167" fontId="27" fillId="0" borderId="9" xfId="31" applyFont="1" applyBorder="1"/>
    <xf numFmtId="9" fontId="27" fillId="0" borderId="0" xfId="31" applyNumberFormat="1" applyFont="1"/>
    <xf numFmtId="167" fontId="27" fillId="0" borderId="0" xfId="31" applyFont="1" applyAlignment="1">
      <alignment horizontal="left"/>
    </xf>
    <xf numFmtId="42" fontId="27" fillId="0" borderId="0" xfId="31" applyNumberFormat="1" applyFont="1"/>
    <xf numFmtId="37" fontId="27" fillId="0" borderId="2" xfId="31" applyNumberFormat="1" applyFont="1" applyBorder="1"/>
    <xf numFmtId="165" fontId="27" fillId="0" borderId="0" xfId="1" applyNumberFormat="1" applyFont="1" applyFill="1"/>
    <xf numFmtId="43" fontId="27" fillId="0" borderId="0" xfId="1" applyFont="1" applyFill="1"/>
    <xf numFmtId="164" fontId="27" fillId="0" borderId="0" xfId="15" applyNumberFormat="1" applyFont="1" applyFill="1" applyBorder="1" applyProtection="1"/>
    <xf numFmtId="0" fontId="27" fillId="0" borderId="0" xfId="0" applyFont="1" applyAlignment="1">
      <alignment vertical="center" wrapText="1"/>
    </xf>
    <xf numFmtId="0" fontId="15" fillId="0" borderId="0" xfId="37" applyFont="1" applyAlignment="1">
      <alignment horizontal="centerContinuous"/>
    </xf>
    <xf numFmtId="0" fontId="27" fillId="0" borderId="0" xfId="37" applyFont="1" applyAlignment="1">
      <alignment horizontal="centerContinuous"/>
    </xf>
    <xf numFmtId="0" fontId="27" fillId="0" borderId="0" xfId="33" applyFont="1" applyAlignment="1">
      <alignment horizontal="centerContinuous"/>
    </xf>
    <xf numFmtId="167" fontId="15" fillId="0" borderId="0" xfId="31" quotePrefix="1" applyFont="1" applyAlignment="1">
      <alignment horizontal="centerContinuous"/>
    </xf>
    <xf numFmtId="0" fontId="27" fillId="0" borderId="9" xfId="37" applyFont="1" applyBorder="1" applyAlignment="1">
      <alignment horizontal="centerContinuous"/>
    </xf>
    <xf numFmtId="0" fontId="27" fillId="0" borderId="9" xfId="33" applyFont="1" applyBorder="1" applyAlignment="1">
      <alignment horizontal="centerContinuous"/>
    </xf>
    <xf numFmtId="0" fontId="15" fillId="0" borderId="0" xfId="37" applyFont="1"/>
    <xf numFmtId="0" fontId="15" fillId="0" borderId="0" xfId="37" applyFont="1" applyAlignment="1">
      <alignment horizontal="center"/>
    </xf>
    <xf numFmtId="0" fontId="15" fillId="0" borderId="2" xfId="37" applyFont="1" applyBorder="1"/>
    <xf numFmtId="0" fontId="15" fillId="0" borderId="2" xfId="37" applyFont="1" applyBorder="1" applyAlignment="1">
      <alignment horizontal="center"/>
    </xf>
    <xf numFmtId="0" fontId="27" fillId="0" borderId="0" xfId="37" applyFont="1"/>
    <xf numFmtId="42" fontId="27" fillId="0" borderId="0" xfId="1" applyNumberFormat="1" applyFont="1" applyFill="1"/>
    <xf numFmtId="10" fontId="27" fillId="0" borderId="0" xfId="37" applyNumberFormat="1" applyFont="1" applyAlignment="1">
      <alignment horizontal="center"/>
    </xf>
    <xf numFmtId="10" fontId="27" fillId="0" borderId="0" xfId="39" applyNumberFormat="1" applyFont="1" applyFill="1"/>
    <xf numFmtId="2" fontId="27" fillId="0" borderId="0" xfId="37" applyNumberFormat="1" applyFont="1" applyAlignment="1">
      <alignment horizontal="center"/>
    </xf>
    <xf numFmtId="10" fontId="27" fillId="0" borderId="0" xfId="33" applyNumberFormat="1" applyFont="1"/>
    <xf numFmtId="165" fontId="27" fillId="0" borderId="2" xfId="1" applyNumberFormat="1" applyFont="1" applyFill="1" applyBorder="1"/>
    <xf numFmtId="42" fontId="27" fillId="0" borderId="0" xfId="33" applyNumberFormat="1" applyFont="1"/>
    <xf numFmtId="0" fontId="27" fillId="0" borderId="0" xfId="37" applyFont="1" applyAlignment="1">
      <alignment horizontal="left" indent="1"/>
    </xf>
    <xf numFmtId="42" fontId="27" fillId="0" borderId="4" xfId="1" applyNumberFormat="1" applyFont="1" applyFill="1" applyBorder="1"/>
    <xf numFmtId="10" fontId="27" fillId="0" borderId="7" xfId="39" applyNumberFormat="1" applyFont="1" applyFill="1" applyBorder="1" applyAlignment="1">
      <alignment horizontal="center"/>
    </xf>
    <xf numFmtId="169" fontId="27" fillId="0" borderId="0" xfId="37" applyNumberFormat="1" applyFont="1" applyAlignment="1">
      <alignment horizontal="center"/>
    </xf>
    <xf numFmtId="0" fontId="45" fillId="0" borderId="0" xfId="0" applyFont="1"/>
    <xf numFmtId="0" fontId="46" fillId="0" borderId="0" xfId="0" applyFont="1"/>
    <xf numFmtId="0" fontId="27" fillId="0" borderId="0" xfId="0" applyFont="1"/>
    <xf numFmtId="10" fontId="27" fillId="0" borderId="0" xfId="1" applyNumberFormat="1" applyFont="1"/>
    <xf numFmtId="0" fontId="46" fillId="2" borderId="0" xfId="0" applyFont="1" applyFill="1"/>
    <xf numFmtId="0" fontId="1" fillId="3" borderId="14" xfId="0" applyFont="1" applyFill="1" applyBorder="1" applyAlignment="1">
      <alignment horizontal="left" wrapText="1"/>
    </xf>
    <xf numFmtId="0" fontId="1" fillId="3" borderId="0" xfId="0" applyFont="1" applyFill="1" applyAlignment="1">
      <alignment horizontal="left" wrapText="1"/>
    </xf>
    <xf numFmtId="0" fontId="1" fillId="3" borderId="15" xfId="0" applyFont="1" applyFill="1" applyBorder="1" applyAlignment="1">
      <alignment horizontal="left" wrapText="1"/>
    </xf>
    <xf numFmtId="0" fontId="1" fillId="3" borderId="16" xfId="0" applyFont="1" applyFill="1" applyBorder="1" applyAlignment="1">
      <alignment horizontal="left" wrapText="1"/>
    </xf>
    <xf numFmtId="0" fontId="1" fillId="3" borderId="9" xfId="0" applyFont="1" applyFill="1" applyBorder="1" applyAlignment="1">
      <alignment horizontal="left" wrapText="1"/>
    </xf>
    <xf numFmtId="0" fontId="1" fillId="3" borderId="17" xfId="0" applyFont="1" applyFill="1" applyBorder="1" applyAlignment="1">
      <alignment horizontal="left" wrapText="1"/>
    </xf>
    <xf numFmtId="0" fontId="2" fillId="0" borderId="32" xfId="0" applyFont="1" applyBorder="1" applyAlignment="1">
      <alignment horizontal="center"/>
    </xf>
    <xf numFmtId="0" fontId="2" fillId="0" borderId="0" xfId="0" applyFont="1" applyAlignment="1">
      <alignment horizontal="center"/>
    </xf>
    <xf numFmtId="15" fontId="2" fillId="0" borderId="0" xfId="0" quotePrefix="1" applyNumberFormat="1" applyFont="1" applyAlignment="1">
      <alignment horizontal="center"/>
    </xf>
    <xf numFmtId="0" fontId="1" fillId="0" borderId="18"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18" xfId="0" applyFont="1" applyBorder="1" applyAlignment="1">
      <alignment horizontal="left" vertical="center" wrapText="1" readingOrder="1"/>
    </xf>
    <xf numFmtId="0" fontId="2" fillId="0" borderId="19" xfId="0" applyFont="1" applyBorder="1" applyAlignment="1">
      <alignment horizontal="left" vertical="center" wrapText="1" readingOrder="1"/>
    </xf>
    <xf numFmtId="0" fontId="1" fillId="0" borderId="19" xfId="0" applyFont="1" applyBorder="1" applyAlignment="1">
      <alignment wrapText="1" readingOrder="1"/>
    </xf>
    <xf numFmtId="0" fontId="1" fillId="0" borderId="20" xfId="0" applyFont="1" applyBorder="1" applyAlignment="1">
      <alignment wrapText="1" readingOrder="1"/>
    </xf>
    <xf numFmtId="0" fontId="1" fillId="0" borderId="14" xfId="0" applyFont="1" applyBorder="1" applyAlignment="1">
      <alignment wrapText="1" readingOrder="1"/>
    </xf>
    <xf numFmtId="0" fontId="1" fillId="0" borderId="0" xfId="0" applyFont="1" applyAlignment="1">
      <alignment wrapText="1" readingOrder="1"/>
    </xf>
    <xf numFmtId="0" fontId="1" fillId="0" borderId="15" xfId="0" applyFont="1" applyBorder="1" applyAlignment="1">
      <alignment wrapText="1" readingOrder="1"/>
    </xf>
    <xf numFmtId="0" fontId="1" fillId="0" borderId="16" xfId="0" applyFont="1" applyBorder="1" applyAlignment="1">
      <alignment wrapText="1" readingOrder="1"/>
    </xf>
    <xf numFmtId="0" fontId="1" fillId="0" borderId="9" xfId="0" applyFont="1" applyBorder="1" applyAlignment="1">
      <alignment wrapText="1" readingOrder="1"/>
    </xf>
    <xf numFmtId="0" fontId="1" fillId="0" borderId="17" xfId="0" applyFont="1" applyBorder="1" applyAlignment="1">
      <alignment wrapText="1" readingOrder="1"/>
    </xf>
    <xf numFmtId="0" fontId="1" fillId="3" borderId="0" xfId="0" applyFont="1" applyFill="1" applyAlignment="1">
      <alignment horizontal="left" wrapText="1" indent="1"/>
    </xf>
    <xf numFmtId="0" fontId="0" fillId="0" borderId="32" xfId="0" applyBorder="1" applyAlignment="1">
      <alignment horizontal="center"/>
    </xf>
    <xf numFmtId="0" fontId="1" fillId="0" borderId="27" xfId="0" applyFont="1" applyBorder="1" applyAlignment="1">
      <alignment horizontal="left" wrapText="1"/>
    </xf>
    <xf numFmtId="0" fontId="1" fillId="0" borderId="28" xfId="0" applyFont="1" applyBorder="1" applyAlignment="1">
      <alignment horizontal="left" wrapText="1"/>
    </xf>
    <xf numFmtId="0" fontId="1" fillId="0" borderId="29" xfId="0" applyFont="1" applyBorder="1" applyAlignment="1">
      <alignment horizontal="left" wrapText="1"/>
    </xf>
    <xf numFmtId="0" fontId="1" fillId="0" borderId="0" xfId="0" applyFont="1" applyAlignment="1">
      <alignment horizontal="left" wrapText="1" indent="1"/>
    </xf>
    <xf numFmtId="0" fontId="1" fillId="0" borderId="0" xfId="0" applyFont="1" applyAlignment="1">
      <alignment horizontal="left" vertical="top" wrapText="1" indent="1"/>
    </xf>
    <xf numFmtId="0" fontId="1" fillId="2" borderId="0" xfId="0" applyFont="1" applyFill="1" applyAlignment="1">
      <alignment horizontal="left" wrapText="1" indent="1"/>
    </xf>
    <xf numFmtId="0" fontId="1" fillId="0" borderId="0" xfId="0" applyFont="1" applyAlignment="1">
      <alignment horizontal="left" wrapText="1"/>
    </xf>
    <xf numFmtId="0" fontId="14" fillId="0" borderId="0" xfId="0" applyFont="1" applyAlignment="1">
      <alignment horizontal="center"/>
    </xf>
    <xf numFmtId="0" fontId="1" fillId="2" borderId="0" xfId="0" applyFont="1" applyFill="1" applyAlignment="1">
      <alignment wrapText="1"/>
    </xf>
    <xf numFmtId="0" fontId="2" fillId="0" borderId="0" xfId="29" quotePrefix="1" applyFont="1" applyAlignment="1">
      <alignment horizontal="center"/>
    </xf>
    <xf numFmtId="0" fontId="2" fillId="0" borderId="0" xfId="29" applyFont="1" applyAlignment="1">
      <alignment horizontal="center"/>
    </xf>
    <xf numFmtId="0" fontId="1" fillId="0" borderId="32" xfId="29" applyFont="1" applyBorder="1" applyAlignment="1">
      <alignment horizontal="center"/>
    </xf>
    <xf numFmtId="0" fontId="2" fillId="2" borderId="27" xfId="0" applyFont="1" applyFill="1" applyBorder="1" applyAlignment="1">
      <alignment horizontal="left" vertical="top" wrapText="1"/>
    </xf>
    <xf numFmtId="0" fontId="2" fillId="2" borderId="28" xfId="0" applyFont="1" applyFill="1" applyBorder="1" applyAlignment="1">
      <alignment horizontal="left" vertical="top" wrapText="1"/>
    </xf>
    <xf numFmtId="0" fontId="2" fillId="2" borderId="29" xfId="0" applyFont="1" applyFill="1" applyBorder="1" applyAlignment="1">
      <alignment horizontal="left" vertical="top" wrapText="1"/>
    </xf>
    <xf numFmtId="0" fontId="14" fillId="2" borderId="32" xfId="0" applyFont="1" applyFill="1" applyBorder="1" applyAlignment="1">
      <alignment horizontal="center"/>
    </xf>
    <xf numFmtId="0" fontId="33" fillId="3" borderId="27" xfId="0" applyFont="1" applyFill="1" applyBorder="1" applyAlignment="1">
      <alignment horizontal="left" vertical="top" wrapText="1"/>
    </xf>
    <xf numFmtId="0" fontId="33" fillId="3" borderId="28" xfId="0" applyFont="1" applyFill="1" applyBorder="1" applyAlignment="1">
      <alignment horizontal="left" vertical="top" wrapText="1"/>
    </xf>
    <xf numFmtId="0" fontId="33" fillId="3" borderId="29" xfId="0" applyFont="1" applyFill="1" applyBorder="1" applyAlignment="1">
      <alignment horizontal="left" vertical="top" wrapText="1"/>
    </xf>
    <xf numFmtId="0" fontId="14" fillId="2" borderId="0" xfId="0" applyFont="1" applyFill="1" applyAlignment="1">
      <alignment horizontal="center"/>
    </xf>
    <xf numFmtId="0" fontId="1" fillId="0" borderId="18" xfId="0" applyFont="1" applyBorder="1" applyAlignment="1">
      <alignment wrapText="1"/>
    </xf>
    <xf numFmtId="0" fontId="1" fillId="0" borderId="19" xfId="0" applyFont="1" applyBorder="1" applyAlignment="1">
      <alignment wrapText="1"/>
    </xf>
    <xf numFmtId="0" fontId="1" fillId="0" borderId="20" xfId="0" applyFont="1" applyBorder="1" applyAlignment="1">
      <alignment wrapText="1"/>
    </xf>
    <xf numFmtId="0" fontId="1" fillId="0" borderId="14" xfId="0" applyFont="1" applyBorder="1" applyAlignment="1">
      <alignment wrapText="1"/>
    </xf>
    <xf numFmtId="0" fontId="1" fillId="0" borderId="0" xfId="0" applyFont="1" applyAlignment="1">
      <alignment wrapText="1"/>
    </xf>
    <xf numFmtId="0" fontId="1" fillId="0" borderId="15" xfId="0" applyFont="1" applyBorder="1" applyAlignment="1">
      <alignment wrapText="1"/>
    </xf>
    <xf numFmtId="0" fontId="1" fillId="0" borderId="16" xfId="0" applyFont="1" applyBorder="1" applyAlignment="1">
      <alignment wrapText="1"/>
    </xf>
    <xf numFmtId="0" fontId="1" fillId="0" borderId="9" xfId="0" applyFont="1" applyBorder="1" applyAlignment="1">
      <alignment wrapText="1"/>
    </xf>
    <xf numFmtId="0" fontId="1" fillId="0" borderId="17" xfId="0" applyFont="1" applyBorder="1" applyAlignment="1">
      <alignment wrapText="1"/>
    </xf>
    <xf numFmtId="0" fontId="1" fillId="0" borderId="18" xfId="0" applyFont="1" applyBorder="1" applyAlignment="1">
      <alignment horizontal="left" vertical="center" wrapText="1" readingOrder="1"/>
    </xf>
    <xf numFmtId="0" fontId="1" fillId="0" borderId="0" xfId="0" applyFont="1" applyAlignment="1">
      <alignment horizontal="left" vertical="top" wrapText="1"/>
    </xf>
    <xf numFmtId="0" fontId="1" fillId="0" borderId="0" xfId="0" applyFont="1" applyAlignment="1">
      <alignment vertical="top" wrapText="1"/>
    </xf>
    <xf numFmtId="15" fontId="2" fillId="0" borderId="0" xfId="0" applyNumberFormat="1" applyFont="1" applyAlignment="1">
      <alignment horizontal="center"/>
    </xf>
    <xf numFmtId="0" fontId="0" fillId="0" borderId="0" xfId="0" applyAlignment="1">
      <alignment vertical="top" wrapText="1"/>
    </xf>
    <xf numFmtId="0" fontId="15" fillId="3" borderId="27" xfId="0" applyFont="1" applyFill="1" applyBorder="1" applyAlignment="1">
      <alignment horizontal="left" vertical="center" wrapText="1"/>
    </xf>
    <xf numFmtId="0" fontId="15" fillId="3" borderId="28" xfId="0" applyFont="1" applyFill="1" applyBorder="1" applyAlignment="1">
      <alignment horizontal="left" vertical="center" wrapText="1"/>
    </xf>
    <xf numFmtId="0" fontId="15" fillId="3" borderId="29" xfId="0" applyFont="1" applyFill="1" applyBorder="1" applyAlignment="1">
      <alignment horizontal="left" vertical="center" wrapText="1"/>
    </xf>
    <xf numFmtId="0" fontId="1" fillId="0" borderId="0" xfId="0" applyFont="1" applyAlignment="1">
      <alignment horizontal="center"/>
    </xf>
    <xf numFmtId="0" fontId="15" fillId="0" borderId="27" xfId="0" applyFont="1" applyBorder="1" applyAlignment="1">
      <alignment horizontal="left" vertical="center" wrapText="1"/>
    </xf>
    <xf numFmtId="0" fontId="15" fillId="0" borderId="28" xfId="0" applyFont="1" applyBorder="1" applyAlignment="1">
      <alignment horizontal="left" vertical="center" wrapText="1"/>
    </xf>
    <xf numFmtId="0" fontId="15" fillId="0" borderId="29" xfId="0" applyFont="1" applyBorder="1" applyAlignment="1">
      <alignment horizontal="left" vertical="center" wrapText="1"/>
    </xf>
    <xf numFmtId="0" fontId="32" fillId="0" borderId="0" xfId="0" applyFont="1" applyAlignment="1">
      <alignment horizontal="center" wrapText="1"/>
    </xf>
    <xf numFmtId="0" fontId="15" fillId="2" borderId="27" xfId="0" applyFont="1" applyFill="1" applyBorder="1" applyAlignment="1">
      <alignment horizontal="left" vertical="center" wrapText="1"/>
    </xf>
    <xf numFmtId="0" fontId="15" fillId="2" borderId="28" xfId="0" applyFont="1" applyFill="1" applyBorder="1" applyAlignment="1">
      <alignment horizontal="left" vertical="center" wrapText="1"/>
    </xf>
    <xf numFmtId="0" fontId="15" fillId="2" borderId="29" xfId="0" applyFont="1" applyFill="1" applyBorder="1" applyAlignment="1">
      <alignment horizontal="left" vertical="center" wrapText="1"/>
    </xf>
    <xf numFmtId="0" fontId="31" fillId="2" borderId="0" xfId="0" applyFont="1" applyFill="1" applyAlignment="1">
      <alignment horizontal="left" vertical="top" wrapText="1"/>
    </xf>
    <xf numFmtId="10" fontId="31" fillId="2" borderId="0" xfId="39" applyNumberFormat="1" applyFont="1" applyFill="1" applyAlignment="1">
      <alignment horizontal="left" vertical="top"/>
    </xf>
    <xf numFmtId="0" fontId="32" fillId="3" borderId="0" xfId="0" applyFont="1" applyFill="1" applyAlignment="1">
      <alignment horizontal="center" wrapText="1"/>
    </xf>
    <xf numFmtId="0" fontId="32" fillId="0" borderId="0" xfId="0" applyFont="1" applyAlignment="1">
      <alignment horizontal="center"/>
    </xf>
    <xf numFmtId="0" fontId="15" fillId="3" borderId="27" xfId="0" applyFont="1" applyFill="1" applyBorder="1" applyAlignment="1">
      <alignment horizontal="left" vertical="top" wrapText="1"/>
    </xf>
    <xf numFmtId="0" fontId="15" fillId="3" borderId="28" xfId="0" applyFont="1" applyFill="1" applyBorder="1" applyAlignment="1">
      <alignment horizontal="left" vertical="top" wrapText="1"/>
    </xf>
    <xf numFmtId="0" fontId="15" fillId="3" borderId="29" xfId="0" applyFont="1" applyFill="1" applyBorder="1" applyAlignment="1">
      <alignment horizontal="left" vertical="top" wrapText="1"/>
    </xf>
    <xf numFmtId="0" fontId="2" fillId="3" borderId="27" xfId="0" applyFont="1" applyFill="1" applyBorder="1" applyAlignment="1">
      <alignment horizontal="left" vertical="center" wrapText="1"/>
    </xf>
    <xf numFmtId="0" fontId="2" fillId="3" borderId="28" xfId="0" applyFont="1" applyFill="1" applyBorder="1" applyAlignment="1">
      <alignment horizontal="left" vertical="center" wrapText="1"/>
    </xf>
    <xf numFmtId="0" fontId="2" fillId="3" borderId="29" xfId="0" applyFont="1" applyFill="1" applyBorder="1" applyAlignment="1">
      <alignment horizontal="left" vertical="center" wrapText="1"/>
    </xf>
    <xf numFmtId="0" fontId="2" fillId="3" borderId="27" xfId="0" applyFont="1" applyFill="1" applyBorder="1" applyAlignment="1">
      <alignment horizontal="left" vertical="top" wrapText="1"/>
    </xf>
    <xf numFmtId="0" fontId="2" fillId="3" borderId="28" xfId="0" applyFont="1" applyFill="1" applyBorder="1" applyAlignment="1">
      <alignment horizontal="left" vertical="top" wrapText="1"/>
    </xf>
    <xf numFmtId="0" fontId="2" fillId="3" borderId="29" xfId="0" applyFont="1" applyFill="1" applyBorder="1" applyAlignment="1">
      <alignment horizontal="left" vertical="top"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2" borderId="27" xfId="0" applyFont="1" applyFill="1" applyBorder="1" applyAlignment="1">
      <alignment horizontal="left" vertical="top" wrapText="1"/>
    </xf>
    <xf numFmtId="0" fontId="1" fillId="2" borderId="28" xfId="0" applyFont="1" applyFill="1" applyBorder="1" applyAlignment="1">
      <alignment horizontal="left" vertical="top" wrapText="1"/>
    </xf>
    <xf numFmtId="0" fontId="1" fillId="2" borderId="29" xfId="0" applyFont="1" applyFill="1" applyBorder="1" applyAlignment="1">
      <alignment horizontal="left" vertical="top" wrapText="1"/>
    </xf>
    <xf numFmtId="0" fontId="2" fillId="0" borderId="0" xfId="0" applyFont="1" applyAlignment="1">
      <alignment horizontal="center" wrapText="1"/>
    </xf>
    <xf numFmtId="0" fontId="2" fillId="2" borderId="0" xfId="0" applyFont="1" applyFill="1" applyAlignment="1">
      <alignment horizontal="center"/>
    </xf>
    <xf numFmtId="0" fontId="2" fillId="3" borderId="0" xfId="0" applyFont="1" applyFill="1" applyAlignment="1">
      <alignment horizontal="center"/>
    </xf>
    <xf numFmtId="0" fontId="9" fillId="0" borderId="0" xfId="0" applyFont="1" applyAlignment="1">
      <alignment horizontal="left" vertical="top" wrapText="1"/>
    </xf>
    <xf numFmtId="183" fontId="9" fillId="2" borderId="0" xfId="0" applyNumberFormat="1" applyFont="1" applyFill="1" applyAlignment="1">
      <alignment horizontal="left"/>
    </xf>
    <xf numFmtId="0" fontId="9" fillId="0" borderId="0" xfId="0" applyFont="1" applyAlignment="1">
      <alignment wrapText="1"/>
    </xf>
    <xf numFmtId="0" fontId="1" fillId="3" borderId="0" xfId="0" applyFont="1" applyFill="1" applyAlignment="1">
      <alignment wrapText="1"/>
    </xf>
    <xf numFmtId="0" fontId="1" fillId="0" borderId="19" xfId="0" applyFont="1" applyBorder="1" applyAlignment="1">
      <alignment vertical="top" wrapText="1"/>
    </xf>
    <xf numFmtId="0" fontId="1" fillId="0" borderId="20" xfId="0" applyFont="1" applyBorder="1" applyAlignment="1">
      <alignment vertical="top" wrapText="1"/>
    </xf>
    <xf numFmtId="0" fontId="1" fillId="0" borderId="16" xfId="0" applyFont="1" applyBorder="1" applyAlignment="1">
      <alignment vertical="top" wrapText="1"/>
    </xf>
    <xf numFmtId="0" fontId="1" fillId="0" borderId="9" xfId="0" applyFont="1" applyBorder="1" applyAlignment="1">
      <alignment vertical="top" wrapText="1"/>
    </xf>
    <xf numFmtId="0" fontId="1" fillId="0" borderId="17" xfId="0" applyFont="1" applyBorder="1" applyAlignment="1">
      <alignment vertical="top" wrapText="1"/>
    </xf>
    <xf numFmtId="0" fontId="1" fillId="0" borderId="27" xfId="29" applyFont="1" applyBorder="1" applyAlignment="1">
      <alignment horizontal="justify" vertical="top" wrapText="1"/>
    </xf>
    <xf numFmtId="0" fontId="0" fillId="0" borderId="28" xfId="0" applyBorder="1" applyAlignment="1">
      <alignment horizontal="justify" vertical="top" wrapText="1"/>
    </xf>
    <xf numFmtId="0" fontId="0" fillId="0" borderId="29" xfId="0" applyBorder="1" applyAlignment="1">
      <alignment horizontal="justify" vertical="top" wrapText="1"/>
    </xf>
    <xf numFmtId="165" fontId="2" fillId="0" borderId="0" xfId="9" applyNumberFormat="1" applyFont="1" applyFill="1" applyAlignment="1">
      <alignment horizontal="center"/>
    </xf>
    <xf numFmtId="0" fontId="1" fillId="3" borderId="28" xfId="0" applyFont="1" applyFill="1" applyBorder="1" applyAlignment="1">
      <alignment horizontal="left" vertical="top" wrapText="1"/>
    </xf>
    <xf numFmtId="0" fontId="1" fillId="3" borderId="29" xfId="0" applyFont="1" applyFill="1" applyBorder="1" applyAlignment="1">
      <alignment horizontal="left" vertical="top" wrapText="1"/>
    </xf>
    <xf numFmtId="0" fontId="33" fillId="2" borderId="27" xfId="0" applyFont="1" applyFill="1" applyBorder="1" applyAlignment="1">
      <alignment horizontal="justify" vertical="top" wrapText="1"/>
    </xf>
    <xf numFmtId="0" fontId="1" fillId="2" borderId="28" xfId="0" applyFont="1" applyFill="1" applyBorder="1" applyAlignment="1">
      <alignment horizontal="justify" vertical="top" wrapText="1"/>
    </xf>
    <xf numFmtId="0" fontId="1" fillId="2" borderId="29" xfId="0" applyFont="1" applyFill="1" applyBorder="1" applyAlignment="1">
      <alignment horizontal="justify" vertical="top" wrapText="1"/>
    </xf>
    <xf numFmtId="0" fontId="2" fillId="3" borderId="0" xfId="29" applyFont="1" applyFill="1" applyAlignment="1">
      <alignment horizontal="center"/>
    </xf>
    <xf numFmtId="0" fontId="1" fillId="0" borderId="0" xfId="29" applyFont="1" applyAlignment="1">
      <alignment horizontal="left" wrapText="1"/>
    </xf>
    <xf numFmtId="0" fontId="1" fillId="0" borderId="2" xfId="30" applyBorder="1" applyAlignment="1">
      <alignment horizontal="center"/>
    </xf>
    <xf numFmtId="0" fontId="33" fillId="3" borderId="27" xfId="30" applyFont="1" applyFill="1" applyBorder="1" applyAlignment="1">
      <alignment horizontal="left" vertical="top" wrapText="1"/>
    </xf>
    <xf numFmtId="0" fontId="33" fillId="3" borderId="28" xfId="30" applyFont="1" applyFill="1" applyBorder="1" applyAlignment="1">
      <alignment horizontal="left" vertical="top" wrapText="1"/>
    </xf>
    <xf numFmtId="0" fontId="33" fillId="3" borderId="29" xfId="30" applyFont="1" applyFill="1" applyBorder="1" applyAlignment="1">
      <alignment horizontal="left" vertical="top" wrapText="1"/>
    </xf>
    <xf numFmtId="0" fontId="2" fillId="2" borderId="27" xfId="30" applyFont="1" applyFill="1" applyBorder="1" applyAlignment="1">
      <alignment horizontal="left" vertical="top" wrapText="1"/>
    </xf>
    <xf numFmtId="0" fontId="2" fillId="2" borderId="28" xfId="30" applyFont="1" applyFill="1" applyBorder="1" applyAlignment="1">
      <alignment horizontal="left" vertical="top" wrapText="1"/>
    </xf>
    <xf numFmtId="0" fontId="2" fillId="2" borderId="29" xfId="30" applyFont="1" applyFill="1" applyBorder="1" applyAlignment="1">
      <alignment horizontal="left" vertical="top" wrapText="1"/>
    </xf>
    <xf numFmtId="0" fontId="33" fillId="0" borderId="21" xfId="0" applyFont="1" applyBorder="1" applyAlignment="1">
      <alignment horizontal="left" vertical="center" wrapText="1"/>
    </xf>
    <xf numFmtId="0" fontId="33" fillId="0" borderId="1" xfId="0" applyFont="1" applyBorder="1" applyAlignment="1">
      <alignment horizontal="left" vertical="center" wrapText="1"/>
    </xf>
    <xf numFmtId="0" fontId="33" fillId="0" borderId="22" xfId="0" applyFont="1" applyBorder="1" applyAlignment="1">
      <alignment horizontal="left" vertical="center" wrapText="1"/>
    </xf>
    <xf numFmtId="15" fontId="14" fillId="0" borderId="0" xfId="0" quotePrefix="1" applyNumberFormat="1" applyFont="1" applyAlignment="1">
      <alignment horizontal="center"/>
    </xf>
    <xf numFmtId="0" fontId="14" fillId="0" borderId="28" xfId="0" applyFont="1" applyBorder="1" applyAlignment="1">
      <alignment horizontal="center"/>
    </xf>
    <xf numFmtId="0" fontId="14" fillId="0" borderId="9" xfId="0" applyFont="1" applyBorder="1" applyAlignment="1">
      <alignment horizontal="center"/>
    </xf>
    <xf numFmtId="165" fontId="9" fillId="0" borderId="0" xfId="9" applyNumberFormat="1" applyFont="1" applyFill="1" applyAlignment="1">
      <alignment horizontal="left"/>
    </xf>
    <xf numFmtId="0" fontId="30" fillId="0" borderId="0" xfId="0" applyFont="1" applyAlignment="1">
      <alignment horizontal="left" vertical="top" wrapText="1"/>
    </xf>
    <xf numFmtId="0" fontId="33" fillId="0" borderId="27" xfId="0" applyFont="1" applyBorder="1" applyAlignment="1">
      <alignment wrapText="1"/>
    </xf>
    <xf numFmtId="0" fontId="33" fillId="0" borderId="28" xfId="0" applyFont="1" applyBorder="1" applyAlignment="1">
      <alignment wrapText="1"/>
    </xf>
    <xf numFmtId="0" fontId="1" fillId="0" borderId="28" xfId="0" applyFont="1" applyBorder="1" applyAlignment="1">
      <alignment wrapText="1"/>
    </xf>
    <xf numFmtId="0" fontId="1" fillId="0" borderId="29" xfId="0" applyFont="1" applyBorder="1" applyAlignment="1">
      <alignment wrapText="1"/>
    </xf>
    <xf numFmtId="165" fontId="14" fillId="0" borderId="0" xfId="1" applyNumberFormat="1" applyFont="1" applyFill="1" applyAlignment="1">
      <alignment horizontal="center"/>
    </xf>
    <xf numFmtId="0" fontId="33" fillId="0" borderId="27" xfId="0" applyFont="1" applyBorder="1" applyAlignment="1">
      <alignment horizontal="left" vertical="top" wrapText="1"/>
    </xf>
    <xf numFmtId="0" fontId="33" fillId="0" borderId="28" xfId="0" applyFont="1" applyBorder="1" applyAlignment="1">
      <alignment horizontal="left" vertical="top" wrapText="1"/>
    </xf>
    <xf numFmtId="0" fontId="33" fillId="0" borderId="29" xfId="0" applyFont="1" applyBorder="1" applyAlignment="1">
      <alignment horizontal="left" vertical="top" wrapText="1"/>
    </xf>
    <xf numFmtId="165" fontId="2" fillId="0" borderId="0" xfId="6" applyNumberFormat="1" applyFont="1" applyFill="1" applyAlignment="1">
      <alignment horizontal="center"/>
    </xf>
    <xf numFmtId="0" fontId="1" fillId="0" borderId="0" xfId="29" applyFont="1" applyAlignment="1">
      <alignment horizontal="center" wrapText="1"/>
    </xf>
    <xf numFmtId="0" fontId="1" fillId="0" borderId="2" xfId="29" applyFont="1" applyBorder="1" applyAlignment="1">
      <alignment horizontal="center" wrapText="1"/>
    </xf>
    <xf numFmtId="0" fontId="1" fillId="0" borderId="0" xfId="29" applyFont="1" applyAlignment="1">
      <alignment horizontal="center"/>
    </xf>
    <xf numFmtId="0" fontId="1" fillId="0" borderId="2" xfId="29" applyFont="1" applyBorder="1" applyAlignment="1">
      <alignment horizontal="center"/>
    </xf>
    <xf numFmtId="0" fontId="33" fillId="0" borderId="18" xfId="0" applyFont="1" applyBorder="1" applyAlignment="1">
      <alignment horizontal="justify" vertical="top" wrapText="1"/>
    </xf>
    <xf numFmtId="0" fontId="1" fillId="0" borderId="19" xfId="0" applyFont="1" applyBorder="1" applyAlignment="1">
      <alignment horizontal="justify" vertical="top" wrapText="1"/>
    </xf>
    <xf numFmtId="0" fontId="1" fillId="0" borderId="20" xfId="0" applyFont="1" applyBorder="1" applyAlignment="1">
      <alignment horizontal="justify" vertical="top" wrapText="1"/>
    </xf>
    <xf numFmtId="0" fontId="1" fillId="0" borderId="14" xfId="0" applyFont="1" applyBorder="1" applyAlignment="1">
      <alignment horizontal="justify" vertical="top" wrapText="1"/>
    </xf>
    <xf numFmtId="0" fontId="1" fillId="0" borderId="0" xfId="0" applyFont="1" applyAlignment="1">
      <alignment horizontal="justify" vertical="top" wrapText="1"/>
    </xf>
    <xf numFmtId="0" fontId="1" fillId="0" borderId="15" xfId="0" applyFont="1" applyBorder="1" applyAlignment="1">
      <alignment horizontal="justify" vertical="top" wrapText="1"/>
    </xf>
    <xf numFmtId="0" fontId="0" fillId="0" borderId="16" xfId="0" applyBorder="1" applyAlignment="1">
      <alignment wrapText="1"/>
    </xf>
    <xf numFmtId="0" fontId="0" fillId="0" borderId="9" xfId="0" applyBorder="1" applyAlignment="1">
      <alignment wrapText="1"/>
    </xf>
    <xf numFmtId="0" fontId="0" fillId="0" borderId="17" xfId="0" applyBorder="1" applyAlignment="1">
      <alignment wrapText="1"/>
    </xf>
    <xf numFmtId="165" fontId="14" fillId="0" borderId="9" xfId="9" applyNumberFormat="1" applyFont="1" applyFill="1" applyBorder="1" applyAlignment="1">
      <alignment horizontal="center"/>
    </xf>
    <xf numFmtId="0" fontId="9" fillId="2" borderId="0" xfId="29" applyFont="1" applyFill="1" applyAlignment="1">
      <alignment wrapText="1"/>
    </xf>
    <xf numFmtId="0" fontId="9" fillId="2" borderId="0" xfId="0" applyFont="1" applyFill="1" applyAlignment="1">
      <alignment wrapText="1"/>
    </xf>
    <xf numFmtId="165" fontId="14" fillId="0" borderId="0" xfId="9" applyNumberFormat="1" applyFont="1" applyFill="1" applyAlignment="1">
      <alignment horizontal="center"/>
    </xf>
    <xf numFmtId="165" fontId="14" fillId="0" borderId="0" xfId="9" applyNumberFormat="1" applyFont="1" applyFill="1" applyBorder="1" applyAlignment="1">
      <alignment horizontal="center"/>
    </xf>
    <xf numFmtId="165" fontId="9" fillId="0" borderId="0" xfId="9" applyNumberFormat="1" applyFont="1" applyFill="1" applyBorder="1" applyAlignment="1">
      <alignment horizontal="left" wrapText="1"/>
    </xf>
    <xf numFmtId="0" fontId="1" fillId="2" borderId="0" xfId="29" applyFont="1" applyFill="1" applyAlignment="1">
      <alignment wrapText="1"/>
    </xf>
    <xf numFmtId="0" fontId="9" fillId="0" borderId="0" xfId="29" applyFont="1" applyAlignment="1">
      <alignment horizontal="left" vertical="top" wrapText="1"/>
    </xf>
    <xf numFmtId="0" fontId="35" fillId="0" borderId="18" xfId="0" applyFont="1" applyBorder="1" applyAlignment="1">
      <alignment vertical="center" wrapText="1"/>
    </xf>
    <xf numFmtId="0" fontId="35" fillId="0" borderId="19" xfId="0" applyFont="1" applyBorder="1" applyAlignment="1">
      <alignment vertical="center" wrapText="1"/>
    </xf>
    <xf numFmtId="0" fontId="35" fillId="0" borderId="20" xfId="0" applyFont="1" applyBorder="1" applyAlignment="1">
      <alignment vertical="center" wrapText="1"/>
    </xf>
    <xf numFmtId="0" fontId="35" fillId="0" borderId="14" xfId="0" applyFont="1" applyBorder="1" applyAlignment="1">
      <alignment vertical="center" wrapText="1"/>
    </xf>
    <xf numFmtId="0" fontId="35" fillId="0" borderId="0" xfId="0" applyFont="1" applyAlignment="1">
      <alignment vertical="center" wrapText="1"/>
    </xf>
    <xf numFmtId="0" fontId="35" fillId="0" borderId="15" xfId="0" applyFont="1" applyBorder="1" applyAlignment="1">
      <alignment vertical="center" wrapText="1"/>
    </xf>
    <xf numFmtId="0" fontId="35" fillId="0" borderId="16" xfId="0" applyFont="1" applyBorder="1" applyAlignment="1">
      <alignment vertical="center" wrapText="1"/>
    </xf>
    <xf numFmtId="0" fontId="35" fillId="0" borderId="9" xfId="0" applyFont="1" applyBorder="1" applyAlignment="1">
      <alignment vertical="center" wrapText="1"/>
    </xf>
    <xf numFmtId="0" fontId="35" fillId="0" borderId="17" xfId="0" applyFont="1" applyBorder="1" applyAlignment="1">
      <alignment vertical="center" wrapText="1"/>
    </xf>
    <xf numFmtId="0" fontId="9" fillId="0" borderId="2" xfId="29" applyFont="1" applyBorder="1" applyAlignment="1">
      <alignment horizontal="center"/>
    </xf>
    <xf numFmtId="0" fontId="9" fillId="0" borderId="0" xfId="0" applyFont="1" applyAlignment="1">
      <alignment horizontal="left" wrapText="1"/>
    </xf>
    <xf numFmtId="167" fontId="9" fillId="0" borderId="0" xfId="35" applyFont="1" applyAlignment="1">
      <alignment horizontal="left" vertical="top" wrapText="1"/>
    </xf>
    <xf numFmtId="167" fontId="9" fillId="0" borderId="2" xfId="35" applyFont="1" applyBorder="1" applyAlignment="1">
      <alignment horizontal="center"/>
    </xf>
    <xf numFmtId="167" fontId="14" fillId="0" borderId="0" xfId="35" applyFont="1" applyAlignment="1">
      <alignment horizontal="center"/>
    </xf>
    <xf numFmtId="167" fontId="14" fillId="0" borderId="0" xfId="34" applyFont="1" applyAlignment="1">
      <alignment horizontal="center"/>
    </xf>
    <xf numFmtId="0" fontId="0" fillId="0" borderId="0" xfId="0" applyAlignment="1">
      <alignment horizontal="center" wrapText="1"/>
    </xf>
    <xf numFmtId="0" fontId="0" fillId="0" borderId="2" xfId="0" applyBorder="1" applyAlignment="1">
      <alignment horizontal="center" wrapText="1"/>
    </xf>
    <xf numFmtId="0" fontId="2" fillId="0" borderId="19" xfId="0" applyFont="1" applyBorder="1" applyAlignment="1">
      <alignment horizontal="center" wrapText="1"/>
    </xf>
    <xf numFmtId="0" fontId="2" fillId="0" borderId="2" xfId="0" applyFont="1" applyBorder="1" applyAlignment="1">
      <alignment horizontal="center" wrapText="1"/>
    </xf>
    <xf numFmtId="0" fontId="33" fillId="0" borderId="21" xfId="0" applyFont="1" applyBorder="1" applyAlignment="1">
      <alignment horizontal="left" vertical="top" wrapText="1"/>
    </xf>
    <xf numFmtId="0" fontId="33" fillId="0" borderId="1" xfId="0" applyFont="1" applyBorder="1" applyAlignment="1">
      <alignment horizontal="left" vertical="top" wrapText="1"/>
    </xf>
    <xf numFmtId="0" fontId="33" fillId="0" borderId="22" xfId="0" applyFont="1" applyBorder="1" applyAlignment="1">
      <alignment horizontal="left" vertical="top" wrapText="1"/>
    </xf>
    <xf numFmtId="167" fontId="1" fillId="0" borderId="18" xfId="31" applyFont="1"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0" fillId="0" borderId="16" xfId="0" applyBorder="1" applyAlignment="1">
      <alignment vertical="top" wrapText="1"/>
    </xf>
    <xf numFmtId="0" fontId="0" fillId="0" borderId="9" xfId="0" applyBorder="1" applyAlignment="1">
      <alignment vertical="top" wrapText="1"/>
    </xf>
    <xf numFmtId="0" fontId="0" fillId="0" borderId="17" xfId="0" applyBorder="1" applyAlignment="1">
      <alignment vertical="top" wrapText="1"/>
    </xf>
    <xf numFmtId="167" fontId="1" fillId="0" borderId="23" xfId="31" applyFont="1" applyBorder="1" applyAlignment="1">
      <alignment vertical="center" wrapText="1"/>
    </xf>
    <xf numFmtId="0" fontId="1" fillId="0" borderId="8" xfId="0" applyFont="1" applyBorder="1" applyAlignment="1">
      <alignment vertical="center" wrapText="1"/>
    </xf>
    <xf numFmtId="0" fontId="1" fillId="0" borderId="24" xfId="0" applyFont="1" applyBorder="1" applyAlignment="1">
      <alignment vertical="center" wrapText="1"/>
    </xf>
    <xf numFmtId="0" fontId="1" fillId="0" borderId="30" xfId="0" applyFont="1" applyBorder="1" applyAlignment="1">
      <alignment vertical="center" wrapText="1"/>
    </xf>
    <xf numFmtId="0" fontId="1" fillId="0" borderId="0" xfId="0" applyFont="1" applyAlignment="1">
      <alignment vertical="center" wrapText="1"/>
    </xf>
    <xf numFmtId="0" fontId="1" fillId="0" borderId="31" xfId="0" applyFont="1" applyBorder="1" applyAlignment="1">
      <alignment vertical="center" wrapText="1"/>
    </xf>
    <xf numFmtId="0" fontId="1" fillId="0" borderId="25" xfId="0" applyFont="1" applyBorder="1" applyAlignment="1">
      <alignment vertical="center" wrapText="1"/>
    </xf>
    <xf numFmtId="0" fontId="1" fillId="0" borderId="2" xfId="0" applyFont="1" applyBorder="1" applyAlignment="1">
      <alignment vertical="center" wrapText="1"/>
    </xf>
    <xf numFmtId="0" fontId="1" fillId="0" borderId="26" xfId="0" applyFont="1" applyBorder="1" applyAlignment="1">
      <alignment vertical="center" wrapText="1"/>
    </xf>
    <xf numFmtId="0" fontId="33" fillId="0" borderId="18"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30" fillId="0" borderId="14" xfId="0" applyFont="1" applyBorder="1" applyAlignment="1">
      <alignment vertical="top" wrapText="1"/>
    </xf>
    <xf numFmtId="0" fontId="0" fillId="0" borderId="15" xfId="0" applyBorder="1" applyAlignment="1">
      <alignment vertical="top" wrapText="1"/>
    </xf>
    <xf numFmtId="0" fontId="0" fillId="0" borderId="14" xfId="0" applyBorder="1" applyAlignment="1">
      <alignment vertical="top" wrapText="1"/>
    </xf>
    <xf numFmtId="167" fontId="2" fillId="0" borderId="0" xfId="31" applyFont="1" applyAlignment="1">
      <alignment horizontal="center"/>
    </xf>
    <xf numFmtId="167" fontId="1" fillId="0" borderId="32" xfId="31" applyFont="1" applyBorder="1" applyAlignment="1">
      <alignment horizontal="center"/>
    </xf>
    <xf numFmtId="0" fontId="35" fillId="0" borderId="18" xfId="0" applyFont="1" applyBorder="1" applyAlignment="1">
      <alignment horizontal="justify" vertical="top" wrapText="1"/>
    </xf>
    <xf numFmtId="0" fontId="35" fillId="0" borderId="19" xfId="0" applyFont="1" applyBorder="1" applyAlignment="1">
      <alignment horizontal="justify" vertical="top" wrapText="1"/>
    </xf>
    <xf numFmtId="0" fontId="35" fillId="0" borderId="20" xfId="0" applyFont="1" applyBorder="1" applyAlignment="1">
      <alignment horizontal="justify" vertical="top" wrapText="1"/>
    </xf>
    <xf numFmtId="0" fontId="35" fillId="0" borderId="14" xfId="0" applyFont="1" applyBorder="1" applyAlignment="1">
      <alignment horizontal="justify" vertical="top" wrapText="1"/>
    </xf>
    <xf numFmtId="0" fontId="35" fillId="0" borderId="0" xfId="0" applyFont="1" applyAlignment="1">
      <alignment horizontal="justify" vertical="top" wrapText="1"/>
    </xf>
    <xf numFmtId="0" fontId="35" fillId="0" borderId="15" xfId="0" applyFont="1" applyBorder="1" applyAlignment="1">
      <alignment horizontal="justify" vertical="top" wrapText="1"/>
    </xf>
    <xf numFmtId="0" fontId="30" fillId="0" borderId="14" xfId="0" applyFont="1" applyBorder="1" applyAlignment="1">
      <alignment horizontal="justify" vertical="top" wrapText="1"/>
    </xf>
    <xf numFmtId="0" fontId="30" fillId="0" borderId="0" xfId="0" applyFont="1" applyAlignment="1">
      <alignment horizontal="justify" vertical="top" wrapText="1"/>
    </xf>
    <xf numFmtId="0" fontId="30" fillId="0" borderId="15" xfId="0" applyFont="1" applyBorder="1" applyAlignment="1">
      <alignment horizontal="justify" vertical="top" wrapText="1"/>
    </xf>
    <xf numFmtId="0" fontId="30" fillId="0" borderId="16" xfId="0" applyFont="1" applyBorder="1" applyAlignment="1">
      <alignment horizontal="justify" vertical="top" wrapText="1"/>
    </xf>
    <xf numFmtId="0" fontId="30" fillId="0" borderId="9" xfId="0" applyFont="1" applyBorder="1" applyAlignment="1">
      <alignment horizontal="justify" vertical="top" wrapText="1"/>
    </xf>
    <xf numFmtId="0" fontId="30" fillId="0" borderId="17" xfId="0" applyFont="1" applyBorder="1" applyAlignment="1">
      <alignment horizontal="justify" vertical="top" wrapText="1"/>
    </xf>
    <xf numFmtId="167" fontId="15" fillId="0" borderId="18" xfId="31" applyFont="1" applyBorder="1" applyAlignment="1">
      <alignment vertical="center" wrapText="1"/>
    </xf>
    <xf numFmtId="167" fontId="15" fillId="0" borderId="19" xfId="31" applyFont="1" applyBorder="1" applyAlignment="1">
      <alignment vertical="center" wrapText="1"/>
    </xf>
    <xf numFmtId="0" fontId="27" fillId="0" borderId="19" xfId="0" applyFont="1" applyBorder="1" applyAlignment="1">
      <alignment vertical="center" wrapText="1"/>
    </xf>
    <xf numFmtId="0" fontId="27" fillId="0" borderId="20" xfId="0" applyFont="1" applyBorder="1" applyAlignment="1">
      <alignment vertical="center" wrapText="1"/>
    </xf>
    <xf numFmtId="0" fontId="27" fillId="0" borderId="14" xfId="0" applyFont="1" applyBorder="1" applyAlignment="1">
      <alignment vertical="center" wrapText="1"/>
    </xf>
    <xf numFmtId="0" fontId="27" fillId="0" borderId="0" xfId="0" applyFont="1" applyAlignment="1">
      <alignment vertical="center" wrapText="1"/>
    </xf>
    <xf numFmtId="0" fontId="27" fillId="0" borderId="15" xfId="0" applyFont="1" applyBorder="1" applyAlignment="1">
      <alignment vertical="center" wrapText="1"/>
    </xf>
    <xf numFmtId="0" fontId="27" fillId="0" borderId="16" xfId="0" applyFont="1" applyBorder="1" applyAlignment="1">
      <alignment vertical="center" wrapText="1"/>
    </xf>
    <xf numFmtId="0" fontId="27" fillId="0" borderId="9" xfId="0" applyFont="1" applyBorder="1" applyAlignment="1">
      <alignment vertical="center" wrapText="1"/>
    </xf>
    <xf numFmtId="0" fontId="27" fillId="0" borderId="17" xfId="0" applyFont="1" applyBorder="1" applyAlignment="1">
      <alignment vertical="center" wrapText="1"/>
    </xf>
    <xf numFmtId="167" fontId="15" fillId="0" borderId="33" xfId="31" applyFont="1" applyBorder="1" applyAlignment="1">
      <alignment vertical="center" wrapText="1"/>
    </xf>
    <xf numFmtId="0" fontId="27" fillId="0" borderId="34" xfId="0" applyFont="1" applyBorder="1" applyAlignment="1">
      <alignment vertical="center" wrapText="1"/>
    </xf>
    <xf numFmtId="0" fontId="27" fillId="0" borderId="35" xfId="0" applyFont="1" applyBorder="1" applyAlignment="1">
      <alignment vertical="center" wrapText="1"/>
    </xf>
    <xf numFmtId="0" fontId="27" fillId="0" borderId="36" xfId="0" applyFont="1" applyBorder="1" applyAlignment="1">
      <alignment vertical="center" wrapText="1"/>
    </xf>
    <xf numFmtId="0" fontId="27" fillId="0" borderId="37" xfId="0" applyFont="1" applyBorder="1" applyAlignment="1">
      <alignment vertical="center" wrapText="1"/>
    </xf>
    <xf numFmtId="0" fontId="27" fillId="0" borderId="38" xfId="0" applyFont="1" applyBorder="1" applyAlignment="1">
      <alignment vertical="center" wrapText="1"/>
    </xf>
    <xf numFmtId="0" fontId="27" fillId="0" borderId="13" xfId="0" applyFont="1" applyBorder="1" applyAlignment="1">
      <alignment vertical="center" wrapText="1"/>
    </xf>
    <xf numFmtId="0" fontId="27" fillId="0" borderId="39" xfId="0" applyFont="1" applyBorder="1" applyAlignment="1">
      <alignment vertical="center" wrapText="1"/>
    </xf>
    <xf numFmtId="167" fontId="27" fillId="0" borderId="0" xfId="31" applyFont="1" applyAlignment="1">
      <alignment vertical="top" wrapText="1"/>
    </xf>
    <xf numFmtId="0" fontId="27" fillId="0" borderId="0" xfId="0" applyFont="1" applyAlignment="1">
      <alignment vertical="top" wrapText="1"/>
    </xf>
    <xf numFmtId="0" fontId="3" fillId="0" borderId="0" xfId="29" applyAlignment="1">
      <alignment horizontal="left" wrapText="1" indent="1"/>
    </xf>
    <xf numFmtId="0" fontId="3" fillId="0" borderId="0" xfId="29" applyAlignment="1">
      <alignment horizontal="left" indent="1"/>
    </xf>
    <xf numFmtId="15" fontId="2" fillId="0" borderId="0" xfId="29" quotePrefix="1" applyNumberFormat="1" applyFont="1" applyAlignment="1">
      <alignment horizontal="center"/>
    </xf>
    <xf numFmtId="0" fontId="3" fillId="0" borderId="0" xfId="29" applyAlignment="1">
      <alignment horizontal="left" wrapText="1"/>
    </xf>
    <xf numFmtId="0" fontId="3" fillId="0" borderId="0" xfId="29"/>
    <xf numFmtId="0" fontId="1" fillId="0" borderId="0" xfId="29" applyFont="1" applyAlignment="1">
      <alignment horizontal="left" wrapText="1" indent="1"/>
    </xf>
    <xf numFmtId="0" fontId="33" fillId="0" borderId="18" xfId="0" applyFont="1" applyBorder="1" applyAlignment="1">
      <alignment wrapText="1"/>
    </xf>
    <xf numFmtId="0" fontId="0" fillId="0" borderId="19" xfId="0" applyBorder="1" applyAlignment="1">
      <alignment wrapText="1"/>
    </xf>
    <xf numFmtId="0" fontId="0" fillId="0" borderId="20" xfId="0" applyBorder="1" applyAlignment="1">
      <alignment wrapText="1"/>
    </xf>
    <xf numFmtId="0" fontId="0" fillId="0" borderId="14" xfId="0" applyBorder="1" applyAlignment="1">
      <alignment wrapText="1"/>
    </xf>
    <xf numFmtId="0" fontId="0" fillId="0" borderId="0" xfId="0" applyAlignment="1">
      <alignment wrapText="1"/>
    </xf>
    <xf numFmtId="0" fontId="0" fillId="0" borderId="15" xfId="0" applyBorder="1" applyAlignment="1">
      <alignment wrapText="1"/>
    </xf>
    <xf numFmtId="0" fontId="15" fillId="0" borderId="18" xfId="29" applyFont="1" applyBorder="1" applyAlignment="1">
      <alignment horizontal="left" wrapText="1"/>
    </xf>
    <xf numFmtId="0" fontId="15" fillId="0" borderId="19" xfId="29" applyFont="1" applyBorder="1" applyAlignment="1">
      <alignment horizontal="left" wrapText="1"/>
    </xf>
    <xf numFmtId="0" fontId="15" fillId="0" borderId="20" xfId="29" applyFont="1" applyBorder="1" applyAlignment="1">
      <alignment horizontal="left" wrapText="1"/>
    </xf>
    <xf numFmtId="0" fontId="15" fillId="0" borderId="14" xfId="29" applyFont="1" applyBorder="1" applyAlignment="1">
      <alignment horizontal="left" wrapText="1"/>
    </xf>
    <xf numFmtId="0" fontId="15" fillId="0" borderId="0" xfId="29" applyFont="1" applyAlignment="1">
      <alignment horizontal="left" wrapText="1"/>
    </xf>
    <xf numFmtId="0" fontId="15" fillId="0" borderId="15" xfId="29" applyFont="1" applyBorder="1" applyAlignment="1">
      <alignment horizontal="left" wrapText="1"/>
    </xf>
    <xf numFmtId="0" fontId="15" fillId="0" borderId="16" xfId="29" applyFont="1" applyBorder="1" applyAlignment="1">
      <alignment horizontal="left" wrapText="1"/>
    </xf>
    <xf numFmtId="0" fontId="15" fillId="0" borderId="9" xfId="29" applyFont="1" applyBorder="1" applyAlignment="1">
      <alignment horizontal="left" wrapText="1"/>
    </xf>
    <xf numFmtId="0" fontId="15" fillId="0" borderId="17" xfId="29" applyFont="1" applyBorder="1" applyAlignment="1">
      <alignment horizontal="left" wrapText="1"/>
    </xf>
    <xf numFmtId="37" fontId="5" fillId="0" borderId="2" xfId="0" quotePrefix="1" applyNumberFormat="1" applyFont="1" applyBorder="1" applyAlignment="1">
      <alignment horizontal="center"/>
    </xf>
    <xf numFmtId="37" fontId="5" fillId="0" borderId="2" xfId="0" applyNumberFormat="1" applyFont="1" applyBorder="1" applyAlignment="1">
      <alignment horizontal="center"/>
    </xf>
  </cellXfs>
  <cellStyles count="40">
    <cellStyle name="Comma" xfId="1" builtinId="3"/>
    <cellStyle name="Comma [0]" xfId="2" builtinId="6"/>
    <cellStyle name="Comma [0] 2" xfId="3" xr:uid="{00000000-0005-0000-0000-000002000000}"/>
    <cellStyle name="Comma [0] 2 2" xfId="4" xr:uid="{00000000-0005-0000-0000-000003000000}"/>
    <cellStyle name="Comma 2" xfId="5" xr:uid="{00000000-0005-0000-0000-000004000000}"/>
    <cellStyle name="Comma 2 2" xfId="6" xr:uid="{00000000-0005-0000-0000-000005000000}"/>
    <cellStyle name="Comma 2 2 2" xfId="7" xr:uid="{00000000-0005-0000-0000-000006000000}"/>
    <cellStyle name="Comma 2 3" xfId="8" xr:uid="{00000000-0005-0000-0000-000007000000}"/>
    <cellStyle name="Comma 3" xfId="9" xr:uid="{00000000-0005-0000-0000-000008000000}"/>
    <cellStyle name="Comma 3 2" xfId="10" xr:uid="{00000000-0005-0000-0000-000009000000}"/>
    <cellStyle name="Comma 4" xfId="11" xr:uid="{00000000-0005-0000-0000-00000A000000}"/>
    <cellStyle name="Comma 4 2" xfId="12" xr:uid="{00000000-0005-0000-0000-00000B000000}"/>
    <cellStyle name="Comma 5" xfId="13" xr:uid="{00000000-0005-0000-0000-00000C000000}"/>
    <cellStyle name="Comma 5 2" xfId="14" xr:uid="{00000000-0005-0000-0000-00000D000000}"/>
    <cellStyle name="Currency" xfId="15" builtinId="4"/>
    <cellStyle name="Currency [0]" xfId="16" builtinId="7"/>
    <cellStyle name="Currency [0] 2" xfId="17" xr:uid="{00000000-0005-0000-0000-000010000000}"/>
    <cellStyle name="Currency [0] 2 2" xfId="18" xr:uid="{00000000-0005-0000-0000-000011000000}"/>
    <cellStyle name="Currency 2" xfId="19" xr:uid="{00000000-0005-0000-0000-000012000000}"/>
    <cellStyle name="Currency 2 2" xfId="20" xr:uid="{00000000-0005-0000-0000-000013000000}"/>
    <cellStyle name="Currency 2 2 2" xfId="21" xr:uid="{00000000-0005-0000-0000-000014000000}"/>
    <cellStyle name="Currency 2 3" xfId="22" xr:uid="{00000000-0005-0000-0000-000015000000}"/>
    <cellStyle name="Currency 3" xfId="23" xr:uid="{00000000-0005-0000-0000-000016000000}"/>
    <cellStyle name="Currency 3 2" xfId="24" xr:uid="{00000000-0005-0000-0000-000017000000}"/>
    <cellStyle name="Currency 4" xfId="25" xr:uid="{00000000-0005-0000-0000-000018000000}"/>
    <cellStyle name="Currency 4 2" xfId="26" xr:uid="{00000000-0005-0000-0000-000019000000}"/>
    <cellStyle name="Currency 5" xfId="27" xr:uid="{00000000-0005-0000-0000-00001A000000}"/>
    <cellStyle name="Currency 5 2" xfId="28" xr:uid="{00000000-0005-0000-0000-00001B000000}"/>
    <cellStyle name="Normal" xfId="0" builtinId="0"/>
    <cellStyle name="Normal 2" xfId="29" xr:uid="{00000000-0005-0000-0000-00001D000000}"/>
    <cellStyle name="Normal 2 2" xfId="30" xr:uid="{00000000-0005-0000-0000-00001E000000}"/>
    <cellStyle name="Normal_A" xfId="31" xr:uid="{00000000-0005-0000-0000-00001F000000}"/>
    <cellStyle name="Normal_A (2)" xfId="32" xr:uid="{00000000-0005-0000-0000-000020000000}"/>
    <cellStyle name="Normal_CHANGES" xfId="33" xr:uid="{00000000-0005-0000-0000-000021000000}"/>
    <cellStyle name="Normal_EFCPIS" xfId="34" xr:uid="{00000000-0005-0000-0000-000022000000}"/>
    <cellStyle name="Normal_EFCRIS" xfId="35" xr:uid="{00000000-0005-0000-0000-000023000000}"/>
    <cellStyle name="Normal_EFWSIS" xfId="36" xr:uid="{00000000-0005-0000-0000-000024000000}"/>
    <cellStyle name="Normal_Sheet1" xfId="37" xr:uid="{00000000-0005-0000-0000-000025000000}"/>
    <cellStyle name="Normal_TAXREC" xfId="38" xr:uid="{00000000-0005-0000-0000-000026000000}"/>
    <cellStyle name="Percent" xfId="39" builtinId="5"/>
  </cellStyles>
  <dxfs count="0"/>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68"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twoCellAnchor>
    <xdr:from>
      <xdr:col>5</xdr:col>
      <xdr:colOff>121920</xdr:colOff>
      <xdr:row>46</xdr:row>
      <xdr:rowOff>97155</xdr:rowOff>
    </xdr:from>
    <xdr:to>
      <xdr:col>10</xdr:col>
      <xdr:colOff>80005</xdr:colOff>
      <xdr:row>49</xdr:row>
      <xdr:rowOff>122150</xdr:rowOff>
    </xdr:to>
    <xdr:sp macro="" textlink="">
      <xdr:nvSpPr>
        <xdr:cNvPr id="1025" name="Text Box 1">
          <a:extLst>
            <a:ext uri="{FF2B5EF4-FFF2-40B4-BE49-F238E27FC236}">
              <a16:creationId xmlns:a16="http://schemas.microsoft.com/office/drawing/2014/main" id="{4BF63731-9BAE-48E0-A285-4D9AD0777DB2}"/>
            </a:ext>
          </a:extLst>
        </xdr:cNvPr>
        <xdr:cNvSpPr txBox="1">
          <a:spLocks noChangeArrowheads="1"/>
        </xdr:cNvSpPr>
      </xdr:nvSpPr>
      <xdr:spPr bwMode="auto">
        <a:xfrm>
          <a:off x="6515100" y="8629650"/>
          <a:ext cx="5067300" cy="51435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NOTE TO PREPARER: </a:t>
          </a:r>
          <a:r>
            <a:rPr lang="en-US" sz="900" b="0" i="0" u="none" strike="noStrike" baseline="0">
              <a:solidFill>
                <a:srgbClr val="000000"/>
              </a:solidFill>
              <a:latin typeface="Arial"/>
              <a:cs typeface="Arial"/>
            </a:rPr>
            <a:t> </a:t>
          </a:r>
          <a:r>
            <a:rPr lang="en-US" sz="900" b="0" i="1" u="sng" strike="noStrike" baseline="0">
              <a:solidFill>
                <a:srgbClr val="000000"/>
              </a:solidFill>
              <a:latin typeface="Arial"/>
              <a:cs typeface="Arial"/>
            </a:rPr>
            <a:t>Special items</a:t>
          </a:r>
          <a:r>
            <a:rPr lang="en-US" sz="900" b="0" i="0" u="none" strike="noStrike" baseline="0">
              <a:solidFill>
                <a:srgbClr val="000000"/>
              </a:solidFill>
              <a:latin typeface="Arial"/>
              <a:cs typeface="Arial"/>
            </a:rPr>
            <a:t> reported on this statement should be material to the unit as a whole in addition to meeting the other requirements for a special item.  The special item reported  here is for illustrative purposes only.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304800</xdr:colOff>
      <xdr:row>1</xdr:row>
      <xdr:rowOff>133350</xdr:rowOff>
    </xdr:from>
    <xdr:to>
      <xdr:col>2</xdr:col>
      <xdr:colOff>304800</xdr:colOff>
      <xdr:row>1</xdr:row>
      <xdr:rowOff>133350</xdr:rowOff>
    </xdr:to>
    <xdr:sp macro="" textlink="">
      <xdr:nvSpPr>
        <xdr:cNvPr id="83970" name="Line 2">
          <a:extLst>
            <a:ext uri="{FF2B5EF4-FFF2-40B4-BE49-F238E27FC236}">
              <a16:creationId xmlns:a16="http://schemas.microsoft.com/office/drawing/2014/main" id="{F5E9E666-B370-4FC1-B61C-97FB32FF8A88}"/>
            </a:ext>
          </a:extLst>
        </xdr:cNvPr>
        <xdr:cNvSpPr>
          <a:spLocks noChangeShapeType="1"/>
        </xdr:cNvSpPr>
      </xdr:nvSpPr>
      <xdr:spPr bwMode="auto">
        <a:xfrm>
          <a:off x="1524000" y="295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129.bin"/><Relationship Id="rId1" Type="http://schemas.openxmlformats.org/officeDocument/2006/relationships/printerSettings" Target="../printerSettings/printerSettings128.bin"/></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133.bin"/><Relationship Id="rId1" Type="http://schemas.openxmlformats.org/officeDocument/2006/relationships/printerSettings" Target="../printerSettings/printerSettings132.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36.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39.bin"/><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42.bin"/><Relationship Id="rId2" Type="http://schemas.openxmlformats.org/officeDocument/2006/relationships/printerSettings" Target="../printerSettings/printerSettings141.bin"/><Relationship Id="rId1" Type="http://schemas.openxmlformats.org/officeDocument/2006/relationships/printerSettings" Target="../printerSettings/printerSettings140.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45.bin"/><Relationship Id="rId2" Type="http://schemas.openxmlformats.org/officeDocument/2006/relationships/printerSettings" Target="../printerSettings/printerSettings144.bin"/><Relationship Id="rId1" Type="http://schemas.openxmlformats.org/officeDocument/2006/relationships/printerSettings" Target="../printerSettings/printerSettings143.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48.bin"/><Relationship Id="rId2" Type="http://schemas.openxmlformats.org/officeDocument/2006/relationships/printerSettings" Target="../printerSettings/printerSettings147.bin"/><Relationship Id="rId1" Type="http://schemas.openxmlformats.org/officeDocument/2006/relationships/printerSettings" Target="../printerSettings/printerSettings146.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51.bin"/><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54.bin"/><Relationship Id="rId2" Type="http://schemas.openxmlformats.org/officeDocument/2006/relationships/printerSettings" Target="../printerSettings/printerSettings153.bin"/><Relationship Id="rId1" Type="http://schemas.openxmlformats.org/officeDocument/2006/relationships/printerSettings" Target="../printerSettings/printerSettings15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Q72"/>
  <sheetViews>
    <sheetView tabSelected="1" workbookViewId="0">
      <selection activeCell="H4" sqref="H4"/>
    </sheetView>
  </sheetViews>
  <sheetFormatPr defaultColWidth="9.140625" defaultRowHeight="12.75" x14ac:dyDescent="0.2"/>
  <cols>
    <col min="1" max="1" width="37.5703125" style="310" customWidth="1"/>
    <col min="2" max="2" width="14.7109375" style="310" customWidth="1"/>
    <col min="3" max="3" width="1.28515625" style="310" customWidth="1"/>
    <col min="4" max="4" width="14.7109375" style="310" customWidth="1"/>
    <col min="5" max="5" width="1.28515625" style="310" customWidth="1"/>
    <col min="6" max="6" width="14.7109375" style="310" customWidth="1"/>
    <col min="7" max="7" width="1.28515625" style="310" customWidth="1"/>
    <col min="8" max="8" width="14.7109375" style="310" customWidth="1"/>
    <col min="9" max="9" width="1.28515625" style="310" customWidth="1"/>
    <col min="10" max="10" width="12.85546875" style="310" customWidth="1"/>
    <col min="11" max="11" width="1.28515625" style="310" customWidth="1"/>
    <col min="12" max="12" width="15.42578125" style="310" bestFit="1" customWidth="1"/>
    <col min="13" max="13" width="12.85546875" style="310" bestFit="1" customWidth="1"/>
    <col min="14" max="14" width="12.140625" style="310" bestFit="1" customWidth="1"/>
    <col min="15" max="15" width="14" style="310" bestFit="1" customWidth="1"/>
    <col min="16" max="16384" width="9.140625" style="310"/>
  </cols>
  <sheetData>
    <row r="1" spans="1:15" x14ac:dyDescent="0.2">
      <c r="A1" s="990" t="s">
        <v>0</v>
      </c>
      <c r="B1" s="990"/>
      <c r="C1" s="990"/>
      <c r="D1" s="990"/>
      <c r="E1" s="990"/>
      <c r="F1" s="990"/>
      <c r="G1" s="990"/>
      <c r="H1" s="990"/>
      <c r="I1" s="990"/>
      <c r="J1" s="990"/>
      <c r="K1" s="990"/>
      <c r="L1" s="990"/>
    </row>
    <row r="2" spans="1:15" x14ac:dyDescent="0.2">
      <c r="A2" s="990" t="s">
        <v>1</v>
      </c>
      <c r="B2" s="990"/>
      <c r="C2" s="990"/>
      <c r="D2" s="990"/>
      <c r="E2" s="990"/>
      <c r="F2" s="990"/>
      <c r="G2" s="990"/>
      <c r="H2" s="990"/>
      <c r="I2" s="990"/>
      <c r="J2" s="990"/>
      <c r="K2" s="990"/>
      <c r="L2" s="990"/>
    </row>
    <row r="3" spans="1:15" x14ac:dyDescent="0.2">
      <c r="A3" s="991" t="s">
        <v>978</v>
      </c>
      <c r="B3" s="991"/>
      <c r="C3" s="991"/>
      <c r="D3" s="991"/>
      <c r="E3" s="991"/>
      <c r="F3" s="991"/>
      <c r="G3" s="991"/>
      <c r="H3" s="991"/>
      <c r="I3" s="991"/>
      <c r="J3" s="991"/>
      <c r="K3" s="991"/>
      <c r="L3" s="991"/>
    </row>
    <row r="4" spans="1:15" x14ac:dyDescent="0.2">
      <c r="A4" s="682"/>
      <c r="B4" s="682"/>
      <c r="C4" s="682"/>
      <c r="D4" s="682"/>
      <c r="E4" s="682"/>
      <c r="F4" s="682"/>
      <c r="G4" s="682"/>
      <c r="H4" s="682"/>
      <c r="I4" s="682"/>
      <c r="J4" s="682"/>
      <c r="K4" s="682"/>
      <c r="L4" s="434" t="s">
        <v>1179</v>
      </c>
    </row>
    <row r="5" spans="1:15" ht="13.5" thickBot="1" x14ac:dyDescent="0.25">
      <c r="A5" s="676"/>
      <c r="B5" s="676"/>
      <c r="C5" s="676"/>
      <c r="D5" s="676"/>
      <c r="E5" s="676"/>
      <c r="F5" s="676"/>
      <c r="G5" s="676"/>
      <c r="H5" s="676"/>
      <c r="I5" s="676"/>
      <c r="J5" s="677"/>
      <c r="K5" s="677"/>
      <c r="L5" s="677"/>
    </row>
    <row r="6" spans="1:15" x14ac:dyDescent="0.2">
      <c r="A6" s="32"/>
      <c r="B6" s="989" t="s">
        <v>2</v>
      </c>
      <c r="C6" s="989"/>
      <c r="D6" s="989"/>
      <c r="E6" s="989"/>
      <c r="F6" s="989"/>
      <c r="G6" s="34"/>
      <c r="H6" s="989" t="s">
        <v>3</v>
      </c>
      <c r="I6" s="989"/>
      <c r="J6" s="989"/>
      <c r="K6" s="989"/>
      <c r="L6" s="989"/>
    </row>
    <row r="7" spans="1:15" ht="51" x14ac:dyDescent="0.2">
      <c r="A7" s="32"/>
      <c r="B7" s="473" t="s">
        <v>4</v>
      </c>
      <c r="C7" s="437"/>
      <c r="D7" s="473" t="s">
        <v>5</v>
      </c>
      <c r="E7" s="437"/>
      <c r="F7" s="473" t="s">
        <v>6</v>
      </c>
      <c r="G7" s="437"/>
      <c r="H7" s="473" t="s">
        <v>7</v>
      </c>
      <c r="I7" s="437"/>
      <c r="J7" s="473" t="s">
        <v>8</v>
      </c>
      <c r="K7" s="437"/>
      <c r="L7" s="473" t="s">
        <v>9</v>
      </c>
      <c r="M7" s="465"/>
    </row>
    <row r="8" spans="1:15" x14ac:dyDescent="0.2">
      <c r="A8" s="32" t="s">
        <v>10</v>
      </c>
      <c r="B8" s="32"/>
      <c r="C8" s="32"/>
      <c r="D8" s="32"/>
      <c r="E8" s="32"/>
      <c r="F8" s="32"/>
      <c r="G8" s="32"/>
      <c r="H8" s="32"/>
      <c r="I8" s="32"/>
      <c r="M8" s="745"/>
    </row>
    <row r="9" spans="1:15" x14ac:dyDescent="0.2">
      <c r="A9" s="756" t="s">
        <v>11</v>
      </c>
      <c r="B9" s="836">
        <v>12733761</v>
      </c>
      <c r="C9" s="836"/>
      <c r="D9" s="317">
        <v>826817</v>
      </c>
      <c r="E9" s="317"/>
      <c r="F9" s="317">
        <f t="shared" ref="F9:F18" si="0">SUM(B9:D9)</f>
        <v>13560578</v>
      </c>
      <c r="G9" s="317"/>
      <c r="H9" s="317">
        <f>10411307-1500000/4-12674</f>
        <v>10023633</v>
      </c>
      <c r="I9" s="317"/>
      <c r="J9" s="317">
        <f>320838-8600</f>
        <v>312238</v>
      </c>
      <c r="K9" s="317"/>
      <c r="L9" s="317">
        <v>689522</v>
      </c>
      <c r="N9" s="332"/>
    </row>
    <row r="10" spans="1:15" x14ac:dyDescent="0.2">
      <c r="A10" s="756" t="s">
        <v>12</v>
      </c>
      <c r="B10" s="768">
        <v>4041414</v>
      </c>
      <c r="C10" s="768"/>
      <c r="D10" s="299">
        <v>99808</v>
      </c>
      <c r="E10" s="299"/>
      <c r="F10" s="299">
        <f t="shared" si="0"/>
        <v>4141222</v>
      </c>
      <c r="G10" s="299"/>
      <c r="H10" s="327">
        <v>8965583</v>
      </c>
      <c r="I10" s="327"/>
      <c r="J10" s="299">
        <v>0</v>
      </c>
      <c r="K10" s="299"/>
      <c r="L10" s="299">
        <v>36524</v>
      </c>
      <c r="N10" s="332"/>
    </row>
    <row r="11" spans="1:15" x14ac:dyDescent="0.2">
      <c r="A11" s="756" t="s">
        <v>13</v>
      </c>
      <c r="B11" s="768">
        <f>3257800-3000</f>
        <v>3254800</v>
      </c>
      <c r="C11" s="768"/>
      <c r="D11" s="299">
        <v>0</v>
      </c>
      <c r="E11" s="299"/>
      <c r="F11" s="299">
        <f t="shared" si="0"/>
        <v>3254800</v>
      </c>
      <c r="G11" s="299"/>
      <c r="H11" s="299">
        <v>0</v>
      </c>
      <c r="I11" s="299"/>
      <c r="J11" s="299">
        <v>0</v>
      </c>
      <c r="K11" s="299"/>
      <c r="L11" s="299">
        <v>0</v>
      </c>
      <c r="N11" s="332"/>
    </row>
    <row r="12" spans="1:15" x14ac:dyDescent="0.2">
      <c r="A12" s="756" t="s">
        <v>14</v>
      </c>
      <c r="B12" s="768">
        <v>36100</v>
      </c>
      <c r="C12" s="768"/>
      <c r="D12" s="299">
        <v>0</v>
      </c>
      <c r="E12" s="299"/>
      <c r="F12" s="299">
        <f t="shared" si="0"/>
        <v>36100</v>
      </c>
      <c r="G12" s="299"/>
      <c r="H12" s="299">
        <v>0</v>
      </c>
      <c r="I12" s="299"/>
      <c r="J12" s="299">
        <v>0</v>
      </c>
      <c r="K12" s="299"/>
      <c r="L12" s="299">
        <v>0</v>
      </c>
      <c r="M12" s="328"/>
      <c r="N12" s="332"/>
    </row>
    <row r="13" spans="1:15" x14ac:dyDescent="0.2">
      <c r="A13" s="756" t="s">
        <v>15</v>
      </c>
      <c r="B13" s="768">
        <f>2551800</f>
        <v>2551800</v>
      </c>
      <c r="C13" s="768"/>
      <c r="D13" s="299">
        <v>110281</v>
      </c>
      <c r="E13" s="299"/>
      <c r="F13" s="299">
        <f t="shared" si="0"/>
        <v>2662081</v>
      </c>
      <c r="G13" s="299"/>
      <c r="H13" s="299">
        <v>1185514</v>
      </c>
      <c r="I13" s="299"/>
      <c r="J13" s="299">
        <v>89692</v>
      </c>
      <c r="K13" s="299"/>
      <c r="L13" s="299">
        <v>0</v>
      </c>
      <c r="N13" s="332"/>
    </row>
    <row r="14" spans="1:15" x14ac:dyDescent="0.2">
      <c r="A14" s="756" t="s">
        <v>16</v>
      </c>
      <c r="B14" s="768">
        <v>0</v>
      </c>
      <c r="C14" s="768"/>
      <c r="D14" s="299">
        <v>2564</v>
      </c>
      <c r="E14" s="299"/>
      <c r="F14" s="299">
        <f t="shared" si="0"/>
        <v>2564</v>
      </c>
      <c r="G14" s="299"/>
      <c r="H14" s="299">
        <v>108855</v>
      </c>
      <c r="I14" s="299"/>
      <c r="J14" s="299">
        <v>3361</v>
      </c>
      <c r="K14" s="299"/>
      <c r="L14" s="299">
        <v>0</v>
      </c>
      <c r="N14" s="332"/>
    </row>
    <row r="15" spans="1:15" x14ac:dyDescent="0.2">
      <c r="A15" s="756" t="s">
        <v>17</v>
      </c>
      <c r="B15" s="459">
        <v>1642157</v>
      </c>
      <c r="C15" s="768"/>
      <c r="D15" s="299">
        <f>1063389+9918</f>
        <v>1073307</v>
      </c>
      <c r="E15" s="299"/>
      <c r="F15" s="299">
        <f t="shared" si="0"/>
        <v>2715464</v>
      </c>
      <c r="G15" s="299"/>
      <c r="H15" s="299">
        <v>0</v>
      </c>
      <c r="I15" s="299"/>
      <c r="J15" s="299">
        <v>0</v>
      </c>
      <c r="K15" s="299"/>
      <c r="L15" s="299">
        <v>0</v>
      </c>
      <c r="N15" s="332"/>
      <c r="O15" s="299"/>
    </row>
    <row r="16" spans="1:15" x14ac:dyDescent="0.2">
      <c r="A16" s="756" t="s">
        <v>1113</v>
      </c>
      <c r="B16" s="768">
        <v>1938038</v>
      </c>
      <c r="C16" s="768"/>
      <c r="D16" s="299">
        <v>0</v>
      </c>
      <c r="E16" s="299"/>
      <c r="F16" s="299">
        <f t="shared" si="0"/>
        <v>1938038</v>
      </c>
      <c r="G16" s="299"/>
      <c r="H16" s="299">
        <v>0</v>
      </c>
      <c r="I16" s="299"/>
      <c r="J16" s="299">
        <v>0</v>
      </c>
      <c r="K16" s="299"/>
      <c r="L16" s="299">
        <v>0</v>
      </c>
      <c r="N16" s="332"/>
      <c r="O16" s="299"/>
    </row>
    <row r="17" spans="1:17" x14ac:dyDescent="0.2">
      <c r="A17" s="756" t="s">
        <v>18</v>
      </c>
      <c r="B17" s="768">
        <v>8932</v>
      </c>
      <c r="C17" s="768"/>
      <c r="D17" s="299">
        <v>0</v>
      </c>
      <c r="E17" s="299"/>
      <c r="F17" s="299">
        <f t="shared" si="0"/>
        <v>8932</v>
      </c>
      <c r="G17" s="299"/>
      <c r="H17" s="299">
        <v>0</v>
      </c>
      <c r="I17" s="299"/>
      <c r="J17" s="299">
        <v>0</v>
      </c>
      <c r="K17" s="299"/>
      <c r="L17" s="299">
        <v>0</v>
      </c>
      <c r="N17" s="332"/>
      <c r="O17" s="302"/>
      <c r="Q17" s="302"/>
    </row>
    <row r="18" spans="1:17" x14ac:dyDescent="0.2">
      <c r="A18" s="756" t="s">
        <v>19</v>
      </c>
      <c r="B18" s="768">
        <f>0.95*(-2624121+864942+183819+3914355+35439-125239-904042)+98062+3685-1366+689+2888-1668+0.95*(-86282+890157+28534+62202+168360-2629764-825220+1046861)+3394-6174+2366-6578+2971+(3675+5979+202+4710-31861+3128)-6409+8-(1679)</f>
        <v>76022.949999999953</v>
      </c>
      <c r="C18" s="768"/>
      <c r="D18" s="299">
        <v>0</v>
      </c>
      <c r="E18" s="299"/>
      <c r="F18" s="299">
        <f t="shared" si="0"/>
        <v>76022.949999999953</v>
      </c>
      <c r="G18" s="299"/>
      <c r="H18" s="299">
        <f>-4324918+1433510+11269-86787+294961+6281091-1450653+(-138450+1383160-142395+5816+245546-3835401-1203548+1526802)-3</f>
        <v>0</v>
      </c>
      <c r="I18" s="299"/>
      <c r="J18" s="299">
        <f>-6027+8497-6247-844+459+9782-2259+(-216+8588-166-6384+390-6087-1911+2424)+1</f>
        <v>0</v>
      </c>
      <c r="K18" s="299"/>
      <c r="L18" s="299">
        <v>0</v>
      </c>
      <c r="N18" s="332"/>
      <c r="O18" s="302"/>
    </row>
    <row r="19" spans="1:17" x14ac:dyDescent="0.2">
      <c r="A19" s="745" t="s">
        <v>20</v>
      </c>
      <c r="B19" s="768"/>
      <c r="C19" s="768"/>
      <c r="D19" s="299"/>
      <c r="E19" s="299"/>
      <c r="F19" s="299"/>
      <c r="G19" s="299"/>
      <c r="H19" s="299"/>
      <c r="I19" s="299"/>
      <c r="J19" s="299"/>
      <c r="K19" s="299"/>
      <c r="L19" s="299"/>
      <c r="N19" s="332"/>
      <c r="O19" s="302"/>
    </row>
    <row r="20" spans="1:17" x14ac:dyDescent="0.2">
      <c r="A20" s="838" t="s">
        <v>212</v>
      </c>
      <c r="B20" s="459">
        <v>2126173</v>
      </c>
      <c r="C20" s="768"/>
      <c r="D20" s="299">
        <f>216500+110000+715549</f>
        <v>1042049</v>
      </c>
      <c r="E20" s="299"/>
      <c r="F20" s="299">
        <f>SUM(B20:D20)</f>
        <v>3168222</v>
      </c>
      <c r="G20" s="299"/>
      <c r="H20" s="299">
        <f>1305643+2057949</f>
        <v>3363592</v>
      </c>
      <c r="I20" s="299"/>
      <c r="J20" s="299">
        <v>0</v>
      </c>
      <c r="K20" s="299"/>
      <c r="L20" s="299">
        <v>0</v>
      </c>
      <c r="N20" s="332"/>
      <c r="O20" s="302"/>
    </row>
    <row r="21" spans="1:17" x14ac:dyDescent="0.2">
      <c r="A21" s="838" t="s">
        <v>21</v>
      </c>
      <c r="B21" s="462">
        <v>8113578</v>
      </c>
      <c r="C21" s="709"/>
      <c r="D21" s="300">
        <f>2261000+62177+70270-673515-20801-30126+7518229+135200+103200-2001019-53100-72600-4</f>
        <v>7298911</v>
      </c>
      <c r="E21" s="300"/>
      <c r="F21" s="300">
        <f>SUM(B21:D21)</f>
        <v>15412489</v>
      </c>
      <c r="G21" s="300"/>
      <c r="H21" s="300">
        <f>13426215+20598526-12848788-1181500+245450</f>
        <v>20239903</v>
      </c>
      <c r="I21" s="300"/>
      <c r="J21" s="300">
        <v>87375</v>
      </c>
      <c r="K21" s="300"/>
      <c r="L21" s="300">
        <v>0</v>
      </c>
      <c r="N21" s="332"/>
    </row>
    <row r="22" spans="1:17" x14ac:dyDescent="0.2">
      <c r="A22" s="756" t="s">
        <v>977</v>
      </c>
      <c r="B22" s="765">
        <v>307559</v>
      </c>
      <c r="C22" s="709"/>
      <c r="D22" s="325">
        <v>0</v>
      </c>
      <c r="E22" s="300"/>
      <c r="F22" s="325">
        <f>SUM(B22:D22)</f>
        <v>307559</v>
      </c>
      <c r="G22" s="300"/>
      <c r="H22" s="325">
        <v>0</v>
      </c>
      <c r="I22" s="300"/>
      <c r="J22" s="325">
        <v>0</v>
      </c>
      <c r="K22" s="300"/>
      <c r="L22" s="325">
        <v>0</v>
      </c>
      <c r="N22" s="332"/>
    </row>
    <row r="23" spans="1:17" x14ac:dyDescent="0.2">
      <c r="A23" s="330" t="s">
        <v>22</v>
      </c>
      <c r="B23" s="325">
        <f t="shared" ref="B23:L23" si="1">SUM(B20:B22)</f>
        <v>10547310</v>
      </c>
      <c r="C23" s="300"/>
      <c r="D23" s="325">
        <f t="shared" si="1"/>
        <v>8340960</v>
      </c>
      <c r="E23" s="300"/>
      <c r="F23" s="325">
        <f t="shared" si="1"/>
        <v>18888270</v>
      </c>
      <c r="G23" s="300"/>
      <c r="H23" s="325">
        <f t="shared" si="1"/>
        <v>23603495</v>
      </c>
      <c r="I23" s="300"/>
      <c r="J23" s="325">
        <f t="shared" si="1"/>
        <v>87375</v>
      </c>
      <c r="K23" s="300"/>
      <c r="L23" s="325">
        <f t="shared" si="1"/>
        <v>0</v>
      </c>
      <c r="N23" s="332"/>
      <c r="O23"/>
    </row>
    <row r="24" spans="1:17" x14ac:dyDescent="0.2">
      <c r="A24" s="331" t="s">
        <v>23</v>
      </c>
      <c r="B24" s="320">
        <f t="shared" ref="B24:L24" si="2">SUM(B9:B18)+B23</f>
        <v>36830334.950000003</v>
      </c>
      <c r="C24" s="300"/>
      <c r="D24" s="320">
        <f t="shared" si="2"/>
        <v>10453737</v>
      </c>
      <c r="E24" s="300"/>
      <c r="F24" s="320">
        <f t="shared" si="2"/>
        <v>47284071.950000003</v>
      </c>
      <c r="G24" s="300"/>
      <c r="H24" s="320">
        <f t="shared" si="2"/>
        <v>43887080</v>
      </c>
      <c r="I24" s="300"/>
      <c r="J24" s="320">
        <f t="shared" si="2"/>
        <v>492666</v>
      </c>
      <c r="K24" s="300"/>
      <c r="L24" s="320">
        <f t="shared" si="2"/>
        <v>726046</v>
      </c>
      <c r="N24" s="332"/>
      <c r="O24"/>
    </row>
    <row r="25" spans="1:17" x14ac:dyDescent="0.2">
      <c r="A25" s="331"/>
      <c r="B25" s="300"/>
      <c r="C25" s="300"/>
      <c r="D25" s="300"/>
      <c r="E25" s="300"/>
      <c r="F25" s="300"/>
      <c r="G25" s="300"/>
      <c r="H25" s="300"/>
      <c r="I25" s="300"/>
      <c r="J25" s="300"/>
      <c r="K25" s="300"/>
      <c r="L25" s="300"/>
      <c r="N25" s="332"/>
      <c r="O25"/>
    </row>
    <row r="26" spans="1:17" x14ac:dyDescent="0.2">
      <c r="A26" s="32" t="s">
        <v>24</v>
      </c>
      <c r="B26" s="325">
        <f>292500+0.95*(-35439+125239+7102-25098+864942-864942+875000)+4000+3685-3685+1366-427+1668-521+0.95*(15157-890157+74312-17996+2629764-525953+880000-74312-2103811)+(-4000+33+23-401-518+6174-1937+6578-1316+4500-57-422)+(3299+15300+200)+0.95*(28618-908618+23540-17996-531838+118419+3489126+431687-24366-697825-88824+910000+484658+1)+(-825-3675+29+320-425-518-1396-1937+31861-9454+3800+3-3654+2-2)+0.95*(139889+237081-1781684+95006+1001000-910000)-1+(1244-9299+6462-2037+3200-3800-4)+(-3299+8710+16500+300-15500)+0.95*(43000)-2-(3200)+(4000)+(5512-664-9534-387)+(1221075-950950+693169+1023603-122171-43764)+(17279+8148+4181)-(16272)-(9708)</f>
        <v>4988909.9000000004</v>
      </c>
      <c r="C26" s="300"/>
      <c r="D26" s="325">
        <f>0.05*(-35439+125239+7102-25098+864942-864942+875000)+0.05*(15157-890157+74312-17996+2629764-525953+880000-74312-2103811)+0.05*(28618-908618+23540-17996-531838+118419+3489126+431687-24366-697825-88824+910000+484658+1)+0.05*(139889+237081-1781684+95006+1001000-910000)+0.05*(43000)+(64267-50050+36483+53874-6430-2304)</f>
        <v>244574.1</v>
      </c>
      <c r="E26" s="300"/>
      <c r="F26" s="325">
        <f>SUM(B26:D26)</f>
        <v>5233484</v>
      </c>
      <c r="G26" s="300"/>
      <c r="H26" s="325">
        <f>1433510-1433510-11269+2258+86787-17392+1400000+(-16840-1383160+16626+354213-15134+142395+3835401-767080+1500000/4-16626-142395-3422533)</f>
        <v>420251</v>
      </c>
      <c r="I26" s="300"/>
      <c r="J26" s="325">
        <f>6247-1252+844-169+8500+(88-8588+19+413-1421+166+6384-1269+6087-1217+8600-19-433-5283)</f>
        <v>17697</v>
      </c>
      <c r="K26" s="300"/>
      <c r="L26" s="325">
        <v>23542</v>
      </c>
      <c r="N26" s="332"/>
      <c r="O26"/>
    </row>
    <row r="27" spans="1:17" x14ac:dyDescent="0.2">
      <c r="H27" s="299"/>
      <c r="I27" s="299"/>
      <c r="J27" s="299"/>
      <c r="K27" s="299"/>
      <c r="L27" s="299"/>
      <c r="M27" s="326"/>
      <c r="N27" s="332"/>
      <c r="O27"/>
    </row>
    <row r="28" spans="1:17" x14ac:dyDescent="0.2">
      <c r="A28" s="32" t="s">
        <v>25</v>
      </c>
      <c r="H28" s="299"/>
      <c r="I28" s="299"/>
      <c r="J28" s="299"/>
      <c r="K28" s="299"/>
      <c r="L28" s="299"/>
      <c r="M28" s="302"/>
      <c r="N28" s="332"/>
    </row>
    <row r="29" spans="1:17" x14ac:dyDescent="0.2">
      <c r="A29" s="756" t="s">
        <v>26</v>
      </c>
      <c r="B29" s="768">
        <f>3580150+226142+141297-62879+1300+7132</f>
        <v>3893142</v>
      </c>
      <c r="C29" s="768"/>
      <c r="D29" s="768">
        <f>27269</f>
        <v>27269</v>
      </c>
      <c r="E29" s="768"/>
      <c r="F29" s="768">
        <f>SUM(B29:D29)</f>
        <v>3920411</v>
      </c>
      <c r="G29" s="768"/>
      <c r="H29" s="768">
        <v>3437706</v>
      </c>
      <c r="I29" s="768"/>
      <c r="J29" s="768">
        <v>28571</v>
      </c>
      <c r="K29" s="768"/>
      <c r="L29" s="299">
        <v>9564</v>
      </c>
      <c r="N29" s="332"/>
    </row>
    <row r="30" spans="1:17" x14ac:dyDescent="0.2">
      <c r="A30" s="745" t="s">
        <v>27</v>
      </c>
      <c r="B30" s="768">
        <f>311528+1639+242+74</f>
        <v>313483</v>
      </c>
      <c r="C30" s="768"/>
      <c r="D30" s="768">
        <f>17012</f>
        <v>17012</v>
      </c>
      <c r="E30" s="768"/>
      <c r="F30" s="768">
        <f>+D30+B30</f>
        <v>330495</v>
      </c>
      <c r="G30" s="768"/>
      <c r="H30" s="768">
        <v>0</v>
      </c>
      <c r="I30" s="768"/>
      <c r="J30" s="768">
        <v>0</v>
      </c>
      <c r="K30" s="768"/>
      <c r="L30" s="299">
        <v>0</v>
      </c>
      <c r="N30" s="332"/>
    </row>
    <row r="31" spans="1:17" x14ac:dyDescent="0.2">
      <c r="A31" s="745" t="s">
        <v>28</v>
      </c>
      <c r="B31" s="768">
        <f>50551+2724+72179</f>
        <v>125454</v>
      </c>
      <c r="C31" s="768"/>
      <c r="D31" s="768"/>
      <c r="E31" s="768"/>
      <c r="F31" s="768">
        <f>+D31+B31</f>
        <v>125454</v>
      </c>
      <c r="G31" s="768"/>
      <c r="H31" s="768">
        <v>0</v>
      </c>
      <c r="I31" s="768"/>
      <c r="J31" s="768">
        <v>0</v>
      </c>
      <c r="K31" s="768"/>
      <c r="L31" s="299">
        <v>0</v>
      </c>
      <c r="M31" s="302"/>
      <c r="N31" s="332"/>
    </row>
    <row r="32" spans="1:17" x14ac:dyDescent="0.2">
      <c r="A32" s="745" t="s">
        <v>29</v>
      </c>
      <c r="B32" s="768">
        <v>0</v>
      </c>
      <c r="C32" s="768"/>
      <c r="D32" s="768">
        <v>0</v>
      </c>
      <c r="E32" s="768"/>
      <c r="F32" s="768">
        <f t="shared" ref="F32:F34" si="3">+D32+B32</f>
        <v>0</v>
      </c>
      <c r="G32" s="768"/>
      <c r="H32" s="768">
        <v>0</v>
      </c>
      <c r="I32" s="768"/>
      <c r="J32" s="768">
        <v>36100</v>
      </c>
      <c r="K32" s="768"/>
      <c r="L32" s="300">
        <v>0</v>
      </c>
      <c r="N32" s="332"/>
    </row>
    <row r="33" spans="1:15" x14ac:dyDescent="0.2">
      <c r="A33" s="900" t="s">
        <v>217</v>
      </c>
      <c r="B33" s="768">
        <v>0</v>
      </c>
      <c r="C33" s="768"/>
      <c r="D33" s="768">
        <v>675000</v>
      </c>
      <c r="E33" s="768"/>
      <c r="F33" s="768">
        <f t="shared" si="3"/>
        <v>675000</v>
      </c>
      <c r="G33" s="768"/>
      <c r="H33" s="768">
        <v>0</v>
      </c>
      <c r="I33" s="768"/>
      <c r="J33" s="768">
        <v>0</v>
      </c>
      <c r="K33" s="768"/>
      <c r="L33" s="300">
        <v>0</v>
      </c>
      <c r="N33" s="332"/>
    </row>
    <row r="34" spans="1:15" x14ac:dyDescent="0.2">
      <c r="A34" s="900" t="s">
        <v>918</v>
      </c>
      <c r="B34" s="768">
        <v>1345</v>
      </c>
      <c r="C34" s="768"/>
      <c r="D34" s="768"/>
      <c r="E34" s="768"/>
      <c r="F34" s="768">
        <f t="shared" si="3"/>
        <v>1345</v>
      </c>
      <c r="G34" s="768"/>
      <c r="H34" s="768"/>
      <c r="I34" s="768"/>
      <c r="J34" s="768"/>
      <c r="K34" s="768"/>
      <c r="L34" s="300"/>
      <c r="N34" s="332"/>
    </row>
    <row r="35" spans="1:15" x14ac:dyDescent="0.2">
      <c r="A35" s="756" t="s">
        <v>30</v>
      </c>
      <c r="B35" s="768">
        <f>62879</f>
        <v>62879</v>
      </c>
      <c r="C35" s="768"/>
      <c r="D35" s="768">
        <f>248814+9918</f>
        <v>258732</v>
      </c>
      <c r="E35" s="768"/>
      <c r="F35" s="768">
        <f>+D35+B35</f>
        <v>321611</v>
      </c>
      <c r="G35" s="768"/>
      <c r="H35" s="768">
        <v>0</v>
      </c>
      <c r="I35" s="768"/>
      <c r="J35" s="768">
        <v>0</v>
      </c>
      <c r="K35" s="768"/>
      <c r="L35" s="299">
        <v>0</v>
      </c>
      <c r="N35" s="332"/>
    </row>
    <row r="36" spans="1:15" x14ac:dyDescent="0.2">
      <c r="A36" s="745" t="s">
        <v>31</v>
      </c>
      <c r="B36" s="768"/>
      <c r="C36" s="768"/>
      <c r="D36" s="768"/>
      <c r="E36" s="768"/>
      <c r="F36" s="768"/>
      <c r="G36" s="768"/>
      <c r="H36" s="768"/>
      <c r="I36" s="768"/>
      <c r="J36" s="768"/>
      <c r="K36" s="768"/>
      <c r="L36" s="299"/>
      <c r="N36" s="332"/>
    </row>
    <row r="37" spans="1:15" x14ac:dyDescent="0.2">
      <c r="A37" s="837" t="s">
        <v>32</v>
      </c>
      <c r="B37" s="459">
        <v>895002</v>
      </c>
      <c r="C37" s="768"/>
      <c r="D37" s="459">
        <v>175542</v>
      </c>
      <c r="E37" s="768"/>
      <c r="F37" s="459">
        <f>SUM(B37:D37)</f>
        <v>1070544</v>
      </c>
      <c r="G37" s="768"/>
      <c r="H37" s="459">
        <v>75042</v>
      </c>
      <c r="I37" s="768"/>
      <c r="J37" s="459">
        <v>48721</v>
      </c>
      <c r="K37" s="768"/>
      <c r="L37" s="459">
        <v>2783</v>
      </c>
      <c r="M37" s="745"/>
      <c r="N37" s="762"/>
      <c r="O37" s="745"/>
    </row>
    <row r="38" spans="1:15" x14ac:dyDescent="0.2">
      <c r="A38" s="837" t="s">
        <v>33</v>
      </c>
      <c r="B38" s="461">
        <v>20090033</v>
      </c>
      <c r="C38" s="709"/>
      <c r="D38" s="461">
        <v>2907280</v>
      </c>
      <c r="E38" s="709"/>
      <c r="F38" s="461">
        <f>SUM(B38:D38)</f>
        <v>22997313</v>
      </c>
      <c r="G38" s="709"/>
      <c r="H38" s="923">
        <v>2973938</v>
      </c>
      <c r="I38" s="904"/>
      <c r="J38" s="614">
        <v>47480</v>
      </c>
      <c r="K38" s="902"/>
      <c r="L38" s="614">
        <v>51091</v>
      </c>
      <c r="N38" s="332"/>
      <c r="O38" s="302"/>
    </row>
    <row r="39" spans="1:15" x14ac:dyDescent="0.2">
      <c r="A39" s="837" t="s">
        <v>34</v>
      </c>
      <c r="B39" s="461">
        <f t="shared" ref="B39:L39" si="4">SUM(B37:B38)</f>
        <v>20985035</v>
      </c>
      <c r="C39" s="709"/>
      <c r="D39" s="461">
        <f t="shared" si="4"/>
        <v>3082822</v>
      </c>
      <c r="E39" s="709"/>
      <c r="F39" s="461">
        <f t="shared" si="4"/>
        <v>24067857</v>
      </c>
      <c r="G39" s="709"/>
      <c r="H39" s="461">
        <f t="shared" si="4"/>
        <v>3048980</v>
      </c>
      <c r="I39" s="709"/>
      <c r="J39" s="461">
        <f t="shared" si="4"/>
        <v>96201</v>
      </c>
      <c r="K39" s="709"/>
      <c r="L39" s="461">
        <f t="shared" si="4"/>
        <v>53874</v>
      </c>
      <c r="N39" s="332"/>
      <c r="O39" s="302"/>
    </row>
    <row r="40" spans="1:15" x14ac:dyDescent="0.2">
      <c r="A40" s="840" t="s">
        <v>35</v>
      </c>
      <c r="B40" s="610">
        <f t="shared" ref="B40:L40" si="5">SUM(B29:B38)</f>
        <v>25381338</v>
      </c>
      <c r="C40" s="709"/>
      <c r="D40" s="610">
        <f t="shared" si="5"/>
        <v>4060835</v>
      </c>
      <c r="E40" s="709"/>
      <c r="F40" s="461">
        <f t="shared" si="5"/>
        <v>29442173</v>
      </c>
      <c r="G40" s="709"/>
      <c r="H40" s="924">
        <f t="shared" si="5"/>
        <v>6486686</v>
      </c>
      <c r="I40" s="904"/>
      <c r="J40" s="924">
        <f t="shared" si="5"/>
        <v>160872</v>
      </c>
      <c r="K40" s="904"/>
      <c r="L40" s="924">
        <f t="shared" si="5"/>
        <v>63438</v>
      </c>
      <c r="N40" s="332"/>
      <c r="O40" s="311"/>
    </row>
    <row r="41" spans="1:15" x14ac:dyDescent="0.2">
      <c r="A41" s="745"/>
      <c r="B41" s="745"/>
      <c r="C41" s="745"/>
      <c r="D41" s="745"/>
      <c r="E41" s="745"/>
      <c r="F41" s="745"/>
      <c r="G41" s="745"/>
      <c r="H41" s="902"/>
      <c r="I41" s="902"/>
      <c r="J41" s="902"/>
      <c r="K41" s="902"/>
      <c r="L41" s="324"/>
      <c r="N41" s="332"/>
      <c r="O41" s="302"/>
    </row>
    <row r="42" spans="1:15" x14ac:dyDescent="0.2">
      <c r="A42" s="759" t="s">
        <v>36</v>
      </c>
      <c r="B42" s="765">
        <v>1382374</v>
      </c>
      <c r="C42" s="709"/>
      <c r="D42" s="765">
        <f>0.05*(183819+3914355-36837-782871)+0.05*(3332+70980-37672-800616+28534+62202-3408+168360-34929-74312-2103811)+0.05*(1260+26875+1493-6088-38094-809574-35320-3408-11714+61382-8967+2+484661-1)+0.05*(-60464-12375)+0.05*(137364+406032+548)+(3903-4131)</f>
        <v>34308.900000000016</v>
      </c>
      <c r="E42" s="709"/>
      <c r="F42" s="765">
        <f>SUM(B42:D42)</f>
        <v>1416682.9</v>
      </c>
      <c r="G42" s="709"/>
      <c r="H42" s="765">
        <f>294961+6281091-59110-1256218+(370838-54944-1167665+5816-48601+245546-50943-16626-142395-3422533)-1</f>
        <v>979216</v>
      </c>
      <c r="I42" s="709"/>
      <c r="J42" s="765">
        <f>459+9782-1956-92+(433-87-1853+390-81-19-433-5283)</f>
        <v>1260</v>
      </c>
      <c r="K42" s="709"/>
      <c r="L42" s="325">
        <v>4572</v>
      </c>
      <c r="M42" s="302"/>
      <c r="N42" s="332"/>
    </row>
    <row r="43" spans="1:15" x14ac:dyDescent="0.2">
      <c r="A43" s="759"/>
      <c r="B43" s="745"/>
      <c r="C43" s="745"/>
      <c r="D43" s="745"/>
      <c r="E43" s="745"/>
      <c r="F43" s="745"/>
      <c r="G43" s="745"/>
      <c r="H43" s="902"/>
      <c r="I43" s="902"/>
      <c r="J43" s="902"/>
      <c r="K43" s="902"/>
      <c r="L43" s="324"/>
      <c r="M43" s="302"/>
      <c r="N43" s="332"/>
    </row>
    <row r="44" spans="1:15" x14ac:dyDescent="0.2">
      <c r="A44" s="759" t="s">
        <v>37</v>
      </c>
      <c r="B44" s="745"/>
      <c r="C44" s="745"/>
      <c r="D44" s="745"/>
      <c r="E44" s="745"/>
      <c r="F44" s="745"/>
      <c r="G44" s="745"/>
      <c r="H44" s="902"/>
      <c r="I44" s="902"/>
      <c r="J44" s="902"/>
      <c r="K44" s="902"/>
      <c r="L44" s="324"/>
      <c r="N44" s="332"/>
    </row>
    <row r="45" spans="1:15" x14ac:dyDescent="0.2">
      <c r="A45" s="756" t="s">
        <v>38</v>
      </c>
      <c r="B45" s="459">
        <v>6420141</v>
      </c>
      <c r="C45" s="768"/>
      <c r="D45" s="768">
        <v>6814349</v>
      </c>
      <c r="E45" s="768"/>
      <c r="F45" s="768">
        <f>SUM(B45:D45)</f>
        <v>13234490</v>
      </c>
      <c r="G45" s="768"/>
      <c r="H45" s="903">
        <f>24539545-438000-1510724</f>
        <v>22590821</v>
      </c>
      <c r="I45" s="903"/>
      <c r="J45" s="902">
        <v>87375</v>
      </c>
      <c r="K45" s="902"/>
      <c r="L45" s="299">
        <v>0</v>
      </c>
      <c r="M45" s="333"/>
      <c r="N45" s="332"/>
    </row>
    <row r="46" spans="1:15" x14ac:dyDescent="0.2">
      <c r="A46" s="745" t="s">
        <v>39</v>
      </c>
      <c r="B46" s="768"/>
      <c r="C46" s="768"/>
      <c r="D46" s="768"/>
      <c r="E46" s="768"/>
      <c r="F46" s="768"/>
      <c r="G46" s="768"/>
      <c r="H46" s="903"/>
      <c r="I46" s="903"/>
      <c r="J46" s="902"/>
      <c r="K46" s="902"/>
      <c r="L46" s="324"/>
      <c r="N46" s="332"/>
    </row>
    <row r="47" spans="1:15" x14ac:dyDescent="0.2">
      <c r="A47" s="837" t="s">
        <v>40</v>
      </c>
      <c r="B47" s="768">
        <v>1783</v>
      </c>
      <c r="C47" s="768"/>
      <c r="D47" s="768">
        <v>0</v>
      </c>
      <c r="E47" s="768"/>
      <c r="F47" s="768">
        <f t="shared" ref="F47:F55" si="6">SUM(B47:D47)</f>
        <v>1783</v>
      </c>
      <c r="G47" s="768"/>
      <c r="H47" s="768">
        <v>0</v>
      </c>
      <c r="I47" s="768"/>
      <c r="J47" s="768">
        <v>20485</v>
      </c>
      <c r="K47" s="768"/>
      <c r="L47" s="299">
        <v>0</v>
      </c>
      <c r="N47" s="332"/>
    </row>
    <row r="48" spans="1:15" x14ac:dyDescent="0.2">
      <c r="A48" s="837" t="s">
        <v>41</v>
      </c>
      <c r="B48" s="768">
        <f>558550+2687</f>
        <v>561237</v>
      </c>
      <c r="C48" s="768"/>
      <c r="D48" s="768">
        <v>0</v>
      </c>
      <c r="E48" s="768"/>
      <c r="F48" s="768">
        <f t="shared" si="6"/>
        <v>561237</v>
      </c>
      <c r="G48" s="768"/>
      <c r="H48" s="768">
        <v>0</v>
      </c>
      <c r="I48" s="768"/>
      <c r="J48" s="768">
        <v>0</v>
      </c>
      <c r="K48" s="768"/>
      <c r="L48" s="299">
        <v>0</v>
      </c>
      <c r="M48" s="302"/>
      <c r="N48" s="332"/>
    </row>
    <row r="49" spans="1:14" x14ac:dyDescent="0.2">
      <c r="A49" s="837" t="s">
        <v>42</v>
      </c>
      <c r="B49" s="768">
        <v>46346</v>
      </c>
      <c r="C49" s="768"/>
      <c r="D49" s="768">
        <v>0</v>
      </c>
      <c r="E49" s="768"/>
      <c r="F49" s="768">
        <f t="shared" si="6"/>
        <v>46346</v>
      </c>
      <c r="G49" s="768"/>
      <c r="H49" s="768">
        <v>0</v>
      </c>
      <c r="I49" s="768"/>
      <c r="J49" s="768">
        <v>0</v>
      </c>
      <c r="K49" s="768"/>
      <c r="L49" s="299">
        <v>0</v>
      </c>
      <c r="M49" s="302"/>
      <c r="N49" s="332"/>
    </row>
    <row r="50" spans="1:14" x14ac:dyDescent="0.2">
      <c r="A50" s="837" t="s">
        <v>955</v>
      </c>
      <c r="B50" s="768">
        <f>330000+1938038</f>
        <v>2268038</v>
      </c>
      <c r="C50" s="768"/>
      <c r="D50" s="768"/>
      <c r="E50" s="768"/>
      <c r="F50" s="768">
        <f t="shared" si="6"/>
        <v>2268038</v>
      </c>
      <c r="G50" s="768"/>
      <c r="H50" s="768"/>
      <c r="I50" s="768"/>
      <c r="J50" s="768"/>
      <c r="K50" s="768"/>
      <c r="L50" s="299"/>
      <c r="M50" s="302"/>
      <c r="N50" s="332"/>
    </row>
    <row r="51" spans="1:14" x14ac:dyDescent="0.2">
      <c r="A51" s="837" t="s">
        <v>43</v>
      </c>
      <c r="B51" s="768">
        <v>17285</v>
      </c>
      <c r="C51" s="768"/>
      <c r="D51" s="768">
        <v>0</v>
      </c>
      <c r="E51" s="768"/>
      <c r="F51" s="768">
        <f t="shared" si="6"/>
        <v>17285</v>
      </c>
      <c r="G51" s="768"/>
      <c r="H51" s="768">
        <v>0</v>
      </c>
      <c r="I51" s="768"/>
      <c r="J51" s="768">
        <v>0</v>
      </c>
      <c r="K51" s="768"/>
      <c r="L51" s="299">
        <v>0</v>
      </c>
      <c r="N51" s="332"/>
    </row>
    <row r="52" spans="1:14" x14ac:dyDescent="0.2">
      <c r="A52" s="837" t="s">
        <v>44</v>
      </c>
      <c r="B52" s="768">
        <v>76023</v>
      </c>
      <c r="C52" s="768"/>
      <c r="D52" s="768">
        <v>0</v>
      </c>
      <c r="E52" s="768"/>
      <c r="F52" s="768">
        <f t="shared" si="6"/>
        <v>76023</v>
      </c>
      <c r="G52" s="768"/>
      <c r="H52" s="768">
        <v>0</v>
      </c>
      <c r="I52" s="768"/>
      <c r="J52" s="768">
        <v>0</v>
      </c>
      <c r="K52" s="768"/>
      <c r="L52" s="299">
        <v>0</v>
      </c>
      <c r="N52" s="332"/>
    </row>
    <row r="53" spans="1:14" x14ac:dyDescent="0.2">
      <c r="A53" s="837" t="s">
        <v>45</v>
      </c>
      <c r="B53" s="768">
        <f>'Balance Sheet Exh 3'!J35</f>
        <v>4159606</v>
      </c>
      <c r="C53" s="768"/>
      <c r="D53" s="768">
        <v>0</v>
      </c>
      <c r="E53" s="768"/>
      <c r="F53" s="768">
        <f t="shared" si="6"/>
        <v>4159606</v>
      </c>
      <c r="G53" s="768"/>
      <c r="H53" s="768">
        <v>0</v>
      </c>
      <c r="I53" s="768"/>
      <c r="J53" s="768">
        <v>0</v>
      </c>
      <c r="K53" s="768"/>
      <c r="L53" s="299">
        <v>19958</v>
      </c>
      <c r="M53" s="302"/>
      <c r="N53" s="332"/>
    </row>
    <row r="54" spans="1:14" x14ac:dyDescent="0.2">
      <c r="A54" s="837" t="s">
        <v>46</v>
      </c>
      <c r="B54" s="768">
        <v>0</v>
      </c>
      <c r="C54" s="768"/>
      <c r="D54" s="768">
        <v>0</v>
      </c>
      <c r="E54" s="768"/>
      <c r="F54" s="768">
        <f t="shared" si="6"/>
        <v>0</v>
      </c>
      <c r="G54" s="768"/>
      <c r="H54" s="768">
        <v>0</v>
      </c>
      <c r="I54" s="768"/>
      <c r="J54" s="768">
        <v>42879</v>
      </c>
      <c r="K54" s="768"/>
      <c r="L54" s="299">
        <v>0</v>
      </c>
      <c r="N54" s="332"/>
    </row>
    <row r="55" spans="1:14" x14ac:dyDescent="0.2">
      <c r="A55" s="745" t="s">
        <v>47</v>
      </c>
      <c r="B55" s="461">
        <v>810871</v>
      </c>
      <c r="C55" s="709"/>
      <c r="D55" s="461">
        <f>D24+D26-D40-D42-SUM(D45:D54)-1</f>
        <v>-211182.80000000075</v>
      </c>
      <c r="E55" s="709"/>
      <c r="F55" s="461">
        <f t="shared" si="6"/>
        <v>599688.19999999925</v>
      </c>
      <c r="G55" s="709"/>
      <c r="H55" s="923">
        <f>+H24-H40-H45+H26-H42</f>
        <v>14250608</v>
      </c>
      <c r="I55" s="904"/>
      <c r="J55" s="923">
        <f>+J24+J26-J40-J47-J45-J54-J42</f>
        <v>197492</v>
      </c>
      <c r="K55" s="904"/>
      <c r="L55" s="923">
        <v>661620</v>
      </c>
      <c r="M55" s="443"/>
      <c r="N55" s="332"/>
    </row>
    <row r="56" spans="1:14" ht="13.5" thickBot="1" x14ac:dyDescent="0.25">
      <c r="A56" s="310" t="s">
        <v>48</v>
      </c>
      <c r="B56" s="298">
        <f t="shared" ref="B56:L56" si="7">SUM(B45:B55)</f>
        <v>14361330</v>
      </c>
      <c r="C56" s="318"/>
      <c r="D56" s="298">
        <f t="shared" si="7"/>
        <v>6603166.1999999993</v>
      </c>
      <c r="E56" s="318"/>
      <c r="F56" s="298">
        <f t="shared" si="7"/>
        <v>20964496.199999999</v>
      </c>
      <c r="G56" s="318"/>
      <c r="H56" s="298">
        <f t="shared" si="7"/>
        <v>36841429</v>
      </c>
      <c r="I56" s="764"/>
      <c r="J56" s="298">
        <f t="shared" si="7"/>
        <v>348231</v>
      </c>
      <c r="K56" s="318"/>
      <c r="L56" s="298">
        <f t="shared" si="7"/>
        <v>681578</v>
      </c>
      <c r="M56" s="332"/>
      <c r="N56" s="332"/>
    </row>
    <row r="57" spans="1:14" ht="13.5" thickTop="1" x14ac:dyDescent="0.2">
      <c r="B57" s="318"/>
      <c r="C57" s="318"/>
      <c r="D57" s="318"/>
      <c r="E57" s="318"/>
      <c r="F57" s="318"/>
      <c r="G57" s="318"/>
      <c r="H57" s="318"/>
      <c r="I57" s="318"/>
      <c r="J57" s="318"/>
      <c r="K57" s="318"/>
      <c r="M57" s="332"/>
    </row>
    <row r="58" spans="1:14" x14ac:dyDescent="0.2">
      <c r="B58" s="597"/>
      <c r="C58" s="597"/>
      <c r="D58" s="597"/>
      <c r="E58" s="597"/>
      <c r="F58" s="318"/>
      <c r="G58" s="318"/>
      <c r="H58" s="318"/>
      <c r="I58" s="318"/>
      <c r="J58" s="318"/>
      <c r="K58" s="318"/>
      <c r="L58" s="318"/>
      <c r="M58" s="332"/>
    </row>
    <row r="59" spans="1:14" x14ac:dyDescent="0.2">
      <c r="A59" s="310" t="s">
        <v>50</v>
      </c>
      <c r="F59" s="332"/>
      <c r="L59" s="338"/>
      <c r="N59" s="332"/>
    </row>
    <row r="60" spans="1:14" x14ac:dyDescent="0.2">
      <c r="L60" s="303"/>
      <c r="M60" s="302"/>
    </row>
    <row r="61" spans="1:14" ht="13.5" thickBot="1" x14ac:dyDescent="0.25"/>
    <row r="62" spans="1:14" ht="26.25" customHeight="1" x14ac:dyDescent="0.2">
      <c r="A62" s="992" t="s">
        <v>49</v>
      </c>
      <c r="B62" s="993"/>
      <c r="C62" s="993"/>
      <c r="D62" s="993"/>
      <c r="E62" s="993"/>
      <c r="F62" s="993"/>
      <c r="G62" s="993"/>
      <c r="H62" s="993"/>
      <c r="I62" s="993"/>
      <c r="J62" s="994"/>
      <c r="K62" s="410"/>
    </row>
    <row r="63" spans="1:14" x14ac:dyDescent="0.2">
      <c r="A63" s="983" t="s">
        <v>1109</v>
      </c>
      <c r="B63" s="984"/>
      <c r="C63" s="984"/>
      <c r="D63" s="984"/>
      <c r="E63" s="984"/>
      <c r="F63" s="984"/>
      <c r="G63" s="984"/>
      <c r="H63" s="984"/>
      <c r="I63" s="984"/>
      <c r="J63" s="985"/>
      <c r="K63" s="755"/>
      <c r="M63" s="302"/>
    </row>
    <row r="64" spans="1:14" ht="13.5" thickBot="1" x14ac:dyDescent="0.25">
      <c r="A64" s="986"/>
      <c r="B64" s="987"/>
      <c r="C64" s="987"/>
      <c r="D64" s="987"/>
      <c r="E64" s="987"/>
      <c r="F64" s="987"/>
      <c r="G64" s="987"/>
      <c r="H64" s="987"/>
      <c r="I64" s="987"/>
      <c r="J64" s="988"/>
      <c r="K64" s="755"/>
      <c r="M64" s="302"/>
    </row>
    <row r="65" spans="1:13" x14ac:dyDescent="0.2">
      <c r="M65" s="302"/>
    </row>
    <row r="66" spans="1:13" hidden="1" x14ac:dyDescent="0.2">
      <c r="A66" s="322" t="s">
        <v>51</v>
      </c>
      <c r="B66" s="302">
        <f>'GWStmtAct 68 Exh 2'!J49</f>
        <v>14361330</v>
      </c>
      <c r="C66" s="302"/>
      <c r="D66" s="302">
        <f>'GWStmtAct 68 Exh 2'!L49</f>
        <v>6603166</v>
      </c>
      <c r="E66" s="302"/>
      <c r="F66" s="302">
        <f>'GWStmtAct 68 Exh 2'!N49</f>
        <v>20964496</v>
      </c>
      <c r="G66" s="302"/>
      <c r="H66" s="302">
        <f>'GWStmtAct 68 Exh 2'!P49</f>
        <v>36841429</v>
      </c>
      <c r="I66" s="302"/>
      <c r="J66" s="302">
        <f>'GWStmtAct 68 Exh 2'!R49</f>
        <v>348231</v>
      </c>
      <c r="K66" s="302"/>
      <c r="L66" s="299">
        <f>'GWStmtAct 68 Exh 2'!T49</f>
        <v>681578</v>
      </c>
    </row>
    <row r="67" spans="1:13" hidden="1" x14ac:dyDescent="0.2">
      <c r="A67" s="392" t="s">
        <v>52</v>
      </c>
      <c r="B67" s="326">
        <f>B56-'GWStmtAct 68 Exh 2'!J49</f>
        <v>0</v>
      </c>
      <c r="C67" s="326"/>
      <c r="D67" s="326">
        <f>D56-'GWStmtAct 68 Exh 2'!L49</f>
        <v>0.19999999925494194</v>
      </c>
      <c r="E67" s="326"/>
      <c r="F67" s="326">
        <f>F56-'GWStmtAct 68 Exh 2'!N49</f>
        <v>0.19999999925494194</v>
      </c>
      <c r="G67" s="326"/>
      <c r="H67" s="299">
        <f>H56-'GWStmtAct 68 Exh 2'!P49</f>
        <v>0</v>
      </c>
      <c r="I67" s="299"/>
      <c r="J67" s="299">
        <f>J56-'GWStmtAct 68 Exh 2'!R49</f>
        <v>0</v>
      </c>
      <c r="K67" s="299"/>
      <c r="L67" s="299">
        <f>L56-'GWStmtAct 68 Exh 2'!T49</f>
        <v>0</v>
      </c>
    </row>
    <row r="68" spans="1:13" ht="13.5" customHeight="1" x14ac:dyDescent="0.2">
      <c r="A68" s="303"/>
    </row>
    <row r="72" spans="1:13" x14ac:dyDescent="0.2">
      <c r="F72" s="303"/>
      <c r="G72" s="303"/>
    </row>
  </sheetData>
  <customSheetViews>
    <customSheetView guid="{E0C60316-4586-4AAF-92CB-FA82BB1EB755}" fitToPage="1">
      <selection activeCell="A4" sqref="A4:F4"/>
      <pageMargins left="0" right="0" top="0" bottom="0" header="0" footer="0"/>
      <printOptions horizontalCentered="1"/>
      <pageSetup scale="79" firstPageNumber="27" fitToHeight="0" orientation="portrait" useFirstPageNumber="1" r:id="rId1"/>
      <headerFooter alignWithMargins="0"/>
    </customSheetView>
    <customSheetView guid="{A8748736-0722-49EB-85B6-C9B52DDCFE0E}" showPageBreaks="1" fitToPage="1" printArea="1">
      <selection activeCell="I20" sqref="I20"/>
      <pageMargins left="0.75" right="0.75" top="1" bottom="1" header="0.5" footer="0.5"/>
      <printOptions horizontalCentered="1"/>
      <pageSetup scale="70" firstPageNumber="27" fitToHeight="0" orientation="portrait" useFirstPageNumber="1" r:id="rId2"/>
      <headerFooter alignWithMargins="0"/>
    </customSheetView>
  </customSheetViews>
  <mergeCells count="7">
    <mergeCell ref="A63:J64"/>
    <mergeCell ref="B6:F6"/>
    <mergeCell ref="A1:L1"/>
    <mergeCell ref="A2:L2"/>
    <mergeCell ref="A3:L3"/>
    <mergeCell ref="H6:L6"/>
    <mergeCell ref="A62:J62"/>
  </mergeCells>
  <printOptions horizontalCentered="1"/>
  <pageMargins left="0.75" right="0.75" top="1" bottom="1" header="0.5" footer="0.5"/>
  <pageSetup scale="69" firstPageNumber="27" fitToHeight="0" orientation="portrait" useFirstPageNumber="1" r:id="rId3"/>
  <headerFooter alignWithMargins="0"/>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O64"/>
  <sheetViews>
    <sheetView workbookViewId="0">
      <selection activeCell="A5" sqref="A5"/>
    </sheetView>
  </sheetViews>
  <sheetFormatPr defaultColWidth="9.140625" defaultRowHeight="12.75" x14ac:dyDescent="0.2"/>
  <cols>
    <col min="1" max="1" width="37.28515625" style="310" customWidth="1"/>
    <col min="2" max="2" width="14.85546875" style="310" customWidth="1"/>
    <col min="3" max="3" width="1.7109375" style="310" customWidth="1"/>
    <col min="4" max="4" width="13.7109375" style="310" customWidth="1"/>
    <col min="5" max="5" width="1.7109375" style="310" customWidth="1"/>
    <col min="6" max="6" width="12.7109375" style="310" customWidth="1"/>
    <col min="7" max="7" width="1.7109375" style="310" customWidth="1"/>
    <col min="8" max="8" width="15.140625" style="310" customWidth="1"/>
    <col min="9" max="9" width="4" style="310" customWidth="1"/>
    <col min="10" max="10" width="13.85546875" style="310" hidden="1" customWidth="1"/>
    <col min="11" max="11" width="12.85546875" style="310" hidden="1" customWidth="1"/>
    <col min="12" max="12" width="12.85546875" style="310" bestFit="1" customWidth="1"/>
    <col min="13" max="13" width="10.7109375" style="310" customWidth="1"/>
    <col min="14" max="14" width="16.28515625" style="310" customWidth="1"/>
    <col min="15" max="15" width="14.42578125" style="310" customWidth="1"/>
    <col min="16" max="16384" width="9.140625" style="310"/>
  </cols>
  <sheetData>
    <row r="1" spans="1:14" x14ac:dyDescent="0.2">
      <c r="A1" s="990" t="s">
        <v>0</v>
      </c>
      <c r="B1" s="990"/>
      <c r="C1" s="990"/>
      <c r="D1" s="990"/>
      <c r="E1" s="990"/>
      <c r="F1" s="990"/>
      <c r="G1" s="990"/>
      <c r="H1" s="990"/>
    </row>
    <row r="2" spans="1:14" x14ac:dyDescent="0.2">
      <c r="A2" s="990" t="s">
        <v>1</v>
      </c>
      <c r="B2" s="990"/>
      <c r="C2" s="990"/>
      <c r="D2" s="990"/>
      <c r="E2" s="990"/>
      <c r="F2" s="990"/>
      <c r="G2" s="990"/>
      <c r="H2" s="990"/>
    </row>
    <row r="3" spans="1:14" x14ac:dyDescent="0.2">
      <c r="A3" s="990" t="s">
        <v>204</v>
      </c>
      <c r="B3" s="990"/>
      <c r="C3" s="990"/>
      <c r="D3" s="990"/>
      <c r="E3" s="990"/>
      <c r="F3" s="990"/>
      <c r="G3" s="990"/>
      <c r="H3" s="990"/>
    </row>
    <row r="4" spans="1:14" x14ac:dyDescent="0.2">
      <c r="A4" s="991" t="str">
        <f>'GWNetPos 68 Exh 1'!A3:J3</f>
        <v>June 30, 2025</v>
      </c>
      <c r="B4" s="990"/>
      <c r="C4" s="990"/>
      <c r="D4" s="990"/>
      <c r="E4" s="990"/>
      <c r="F4" s="990"/>
      <c r="G4" s="990"/>
      <c r="H4" s="990"/>
    </row>
    <row r="5" spans="1:14" x14ac:dyDescent="0.2">
      <c r="A5" s="682"/>
      <c r="B5" s="34"/>
      <c r="C5" s="34"/>
      <c r="D5" s="34"/>
      <c r="E5" s="34"/>
      <c r="F5" s="34"/>
      <c r="G5" s="34"/>
      <c r="H5" s="937" t="s">
        <v>255</v>
      </c>
    </row>
    <row r="6" spans="1:14" ht="13.5" thickBot="1" x14ac:dyDescent="0.25">
      <c r="A6" s="677"/>
      <c r="B6" s="677"/>
      <c r="C6" s="677"/>
      <c r="D6" s="677"/>
      <c r="E6" s="677"/>
      <c r="F6" s="677"/>
      <c r="G6" s="677"/>
      <c r="H6" s="677"/>
    </row>
    <row r="7" spans="1:14" x14ac:dyDescent="0.2">
      <c r="B7" s="33" t="s">
        <v>103</v>
      </c>
      <c r="C7" s="778"/>
      <c r="D7" s="33"/>
      <c r="F7" s="33" t="s">
        <v>104</v>
      </c>
      <c r="G7" s="29"/>
    </row>
    <row r="8" spans="1:14" ht="38.25" x14ac:dyDescent="0.2">
      <c r="B8" s="473" t="s">
        <v>205</v>
      </c>
      <c r="C8" s="437"/>
      <c r="D8" s="473" t="s">
        <v>206</v>
      </c>
      <c r="E8" s="437"/>
      <c r="F8" s="473" t="s">
        <v>207</v>
      </c>
      <c r="G8" s="437"/>
      <c r="H8" s="473" t="s">
        <v>6</v>
      </c>
      <c r="L8" s="745"/>
    </row>
    <row r="9" spans="1:14" x14ac:dyDescent="0.2">
      <c r="A9" s="32" t="s">
        <v>10</v>
      </c>
    </row>
    <row r="10" spans="1:14" x14ac:dyDescent="0.2">
      <c r="A10" s="310" t="s">
        <v>208</v>
      </c>
    </row>
    <row r="11" spans="1:14" x14ac:dyDescent="0.2">
      <c r="A11" s="435" t="s">
        <v>11</v>
      </c>
      <c r="B11" s="317">
        <f>283180+22033-1001000*0.05*0.32-(43000)*0.05*0.32-(20565)</f>
        <v>267944</v>
      </c>
      <c r="C11" s="317"/>
      <c r="D11" s="317">
        <f>615826-2743+32162+11010-11010+5000-5000-4169-5749-1001000*0.05*0.67-(43000)*0.05*0.68-(43059)</f>
        <v>557272.5</v>
      </c>
      <c r="E11" s="318"/>
      <c r="F11" s="317">
        <f>23487-(17495-7500)-5000-5749-1001000*0.05*0.01-(643)</f>
        <v>1599.5</v>
      </c>
      <c r="G11" s="317"/>
      <c r="H11" s="317">
        <f>SUM(B11:F11)+1</f>
        <v>826817</v>
      </c>
      <c r="J11" s="299"/>
      <c r="L11" s="303"/>
      <c r="M11" s="332"/>
    </row>
    <row r="12" spans="1:14" x14ac:dyDescent="0.2">
      <c r="A12" s="435" t="s">
        <v>107</v>
      </c>
      <c r="B12" s="299">
        <v>23831</v>
      </c>
      <c r="C12" s="299"/>
      <c r="D12" s="299">
        <f>75977-F12</f>
        <v>75824</v>
      </c>
      <c r="E12" s="300"/>
      <c r="F12" s="299">
        <v>153</v>
      </c>
      <c r="G12" s="299"/>
      <c r="H12" s="299">
        <f>SUM(B12:F12)</f>
        <v>99808</v>
      </c>
    </row>
    <row r="13" spans="1:14" x14ac:dyDescent="0.2">
      <c r="A13" s="435" t="s">
        <v>15</v>
      </c>
      <c r="B13" s="299">
        <v>0</v>
      </c>
      <c r="C13" s="299"/>
      <c r="D13" s="299">
        <v>110281</v>
      </c>
      <c r="E13" s="300"/>
      <c r="F13" s="299">
        <v>0</v>
      </c>
      <c r="G13" s="299"/>
      <c r="H13" s="299">
        <f>SUM(B13:F13)</f>
        <v>110281</v>
      </c>
      <c r="N13" s="355"/>
    </row>
    <row r="14" spans="1:14" x14ac:dyDescent="0.2">
      <c r="A14" s="435" t="s">
        <v>209</v>
      </c>
      <c r="B14" s="300">
        <v>1444</v>
      </c>
      <c r="C14" s="300"/>
      <c r="D14" s="300">
        <v>1121</v>
      </c>
      <c r="E14" s="300"/>
      <c r="F14" s="300">
        <v>0</v>
      </c>
      <c r="G14" s="300"/>
      <c r="H14" s="300">
        <f>SUM(B14:F14)-1</f>
        <v>2564</v>
      </c>
      <c r="N14" s="355"/>
    </row>
    <row r="15" spans="1:14" x14ac:dyDescent="0.2">
      <c r="A15" s="330" t="s">
        <v>210</v>
      </c>
      <c r="B15" s="320">
        <f>SUM(B11:B14)</f>
        <v>293219</v>
      </c>
      <c r="C15" s="709"/>
      <c r="D15" s="320">
        <f>SUM(D11:D14)</f>
        <v>744498.5</v>
      </c>
      <c r="E15" s="709"/>
      <c r="F15" s="320">
        <f>SUM(F11:F14)</f>
        <v>1752.5</v>
      </c>
      <c r="G15" s="709"/>
      <c r="H15" s="320">
        <f>SUM(H11:H14)</f>
        <v>1039470</v>
      </c>
    </row>
    <row r="16" spans="1:14" x14ac:dyDescent="0.2">
      <c r="B16" s="299"/>
      <c r="C16" s="299"/>
      <c r="D16" s="299"/>
      <c r="E16" s="300"/>
      <c r="F16" s="299"/>
      <c r="G16" s="299"/>
      <c r="H16" s="299"/>
    </row>
    <row r="17" spans="1:13" x14ac:dyDescent="0.2">
      <c r="A17" s="310" t="s">
        <v>211</v>
      </c>
      <c r="B17" s="299"/>
      <c r="C17" s="299"/>
      <c r="D17" s="299"/>
      <c r="E17" s="300"/>
      <c r="F17" s="299"/>
      <c r="G17" s="299"/>
      <c r="H17" s="299"/>
    </row>
    <row r="18" spans="1:13" x14ac:dyDescent="0.2">
      <c r="A18" s="436" t="s">
        <v>17</v>
      </c>
      <c r="B18" s="299">
        <v>0</v>
      </c>
      <c r="C18" s="299"/>
      <c r="D18" s="299">
        <f>1063389-F18+4169+5749</f>
        <v>1057705</v>
      </c>
      <c r="E18" s="300"/>
      <c r="F18" s="299">
        <f>14853-5000+5749</f>
        <v>15602</v>
      </c>
      <c r="G18" s="299"/>
      <c r="H18" s="299">
        <f>SUM(B18:F18)</f>
        <v>1073307</v>
      </c>
      <c r="L18" s="332"/>
      <c r="M18" s="332"/>
    </row>
    <row r="19" spans="1:13" x14ac:dyDescent="0.2">
      <c r="A19" s="436" t="s">
        <v>20</v>
      </c>
      <c r="B19" s="299"/>
      <c r="C19" s="299"/>
      <c r="D19" s="299"/>
      <c r="E19" s="300"/>
      <c r="F19" s="299"/>
      <c r="G19" s="299"/>
      <c r="H19" s="299"/>
    </row>
    <row r="20" spans="1:13" x14ac:dyDescent="0.2">
      <c r="A20" s="341" t="s">
        <v>212</v>
      </c>
      <c r="B20" s="299">
        <v>216500</v>
      </c>
      <c r="C20" s="299"/>
      <c r="D20" s="299">
        <f>825549-F20</f>
        <v>529653</v>
      </c>
      <c r="E20" s="300"/>
      <c r="F20" s="299">
        <v>295896</v>
      </c>
      <c r="G20" s="299"/>
      <c r="H20" s="299">
        <f>SUM(B20:F20)</f>
        <v>1042049</v>
      </c>
      <c r="M20" s="332"/>
    </row>
    <row r="21" spans="1:13" ht="25.5" x14ac:dyDescent="0.2">
      <c r="A21" s="341" t="s">
        <v>21</v>
      </c>
      <c r="B21" s="325">
        <v>1669001</v>
      </c>
      <c r="C21" s="300"/>
      <c r="D21" s="325">
        <f>5629910-F21</f>
        <v>5629910</v>
      </c>
      <c r="E21" s="300"/>
      <c r="F21" s="325">
        <v>0</v>
      </c>
      <c r="G21" s="300"/>
      <c r="H21" s="325">
        <f>SUM(B21:F21)</f>
        <v>7298911</v>
      </c>
    </row>
    <row r="22" spans="1:13" x14ac:dyDescent="0.2">
      <c r="A22" s="342" t="s">
        <v>22</v>
      </c>
      <c r="B22" s="325">
        <f>SUM(B20:B21)</f>
        <v>1885501</v>
      </c>
      <c r="C22" s="300"/>
      <c r="D22" s="325">
        <f>SUM(D20:D21)</f>
        <v>6159563</v>
      </c>
      <c r="E22" s="300"/>
      <c r="F22" s="325">
        <f>SUM(F20:F21)</f>
        <v>295896</v>
      </c>
      <c r="G22" s="300"/>
      <c r="H22" s="325">
        <f>SUM(B22:F22)</f>
        <v>8340960</v>
      </c>
    </row>
    <row r="23" spans="1:13" x14ac:dyDescent="0.2">
      <c r="A23" s="346" t="s">
        <v>213</v>
      </c>
      <c r="B23" s="320">
        <f>B22+B18</f>
        <v>1885501</v>
      </c>
      <c r="C23" s="300"/>
      <c r="D23" s="320">
        <f>D22+D18</f>
        <v>7217268</v>
      </c>
      <c r="E23" s="300"/>
      <c r="F23" s="320">
        <f>F22+F18</f>
        <v>311498</v>
      </c>
      <c r="G23" s="300"/>
      <c r="H23" s="320">
        <f>H22+H18</f>
        <v>9414267</v>
      </c>
      <c r="L23" s="299"/>
    </row>
    <row r="24" spans="1:13" x14ac:dyDescent="0.2">
      <c r="A24" s="347" t="s">
        <v>23</v>
      </c>
      <c r="B24" s="320">
        <f>B23+B15</f>
        <v>2178720</v>
      </c>
      <c r="C24" s="300"/>
      <c r="D24" s="320">
        <f>D23+D15</f>
        <v>7961766.5</v>
      </c>
      <c r="E24" s="300"/>
      <c r="F24" s="320">
        <f>F23+F15</f>
        <v>313250.5</v>
      </c>
      <c r="G24" s="300"/>
      <c r="H24" s="320">
        <f>SUM(B24:F24)</f>
        <v>10453737</v>
      </c>
    </row>
    <row r="25" spans="1:13" x14ac:dyDescent="0.2">
      <c r="A25" s="347"/>
      <c r="B25" s="300"/>
      <c r="C25" s="300"/>
      <c r="D25" s="300"/>
      <c r="E25" s="300"/>
      <c r="F25" s="300"/>
      <c r="G25" s="300"/>
      <c r="H25" s="300"/>
    </row>
    <row r="26" spans="1:13" x14ac:dyDescent="0.2">
      <c r="A26" s="36" t="s">
        <v>24</v>
      </c>
      <c r="B26" s="300">
        <f>0.32*'GWNetPos 68 Exh 1'!D26</f>
        <v>78263.712</v>
      </c>
      <c r="C26" s="300"/>
      <c r="D26" s="300">
        <f>0.67*'GWNetPos 68 Exh 1'!D26</f>
        <v>163864.64700000003</v>
      </c>
      <c r="E26" s="300"/>
      <c r="F26" s="300">
        <f>0.01*'GWNetPos 68 Exh 1'!D26</f>
        <v>2445.741</v>
      </c>
      <c r="G26" s="300"/>
      <c r="H26" s="300">
        <f>SUM(B26:F26)</f>
        <v>244574.10000000003</v>
      </c>
      <c r="J26" s="348"/>
      <c r="M26" s="303"/>
    </row>
    <row r="27" spans="1:13" x14ac:dyDescent="0.2">
      <c r="A27" s="347"/>
      <c r="B27" s="300"/>
      <c r="C27" s="300"/>
      <c r="D27" s="300"/>
      <c r="E27" s="300"/>
      <c r="F27" s="300"/>
      <c r="G27" s="300"/>
      <c r="H27" s="300"/>
      <c r="J27" s="302"/>
    </row>
    <row r="28" spans="1:13" x14ac:dyDescent="0.2">
      <c r="A28" s="32" t="s">
        <v>25</v>
      </c>
      <c r="B28" s="299"/>
      <c r="C28" s="299"/>
      <c r="D28" s="299"/>
      <c r="E28" s="300"/>
      <c r="F28" s="299"/>
      <c r="G28" s="299"/>
      <c r="H28" s="299"/>
    </row>
    <row r="29" spans="1:13" x14ac:dyDescent="0.2">
      <c r="A29" s="310" t="s">
        <v>214</v>
      </c>
      <c r="B29" s="299"/>
      <c r="C29" s="299"/>
      <c r="D29" s="299"/>
      <c r="E29" s="300"/>
      <c r="F29" s="299"/>
      <c r="G29" s="299"/>
      <c r="H29" s="299"/>
      <c r="J29" s="326"/>
    </row>
    <row r="30" spans="1:13" x14ac:dyDescent="0.2">
      <c r="A30" s="435" t="s">
        <v>215</v>
      </c>
      <c r="B30" s="299">
        <v>2456</v>
      </c>
      <c r="C30" s="299"/>
      <c r="D30" s="299">
        <f>15575-2450-6+(11694-1145)</f>
        <v>23668</v>
      </c>
      <c r="E30" s="300"/>
      <c r="F30" s="299">
        <f>1145</f>
        <v>1145</v>
      </c>
      <c r="G30" s="299"/>
      <c r="H30" s="299">
        <f>SUM(B30:F30)</f>
        <v>27269</v>
      </c>
      <c r="J30" s="303"/>
    </row>
    <row r="31" spans="1:13" x14ac:dyDescent="0.2">
      <c r="A31" s="435" t="s">
        <v>27</v>
      </c>
      <c r="B31" s="299">
        <v>0</v>
      </c>
      <c r="C31" s="299"/>
      <c r="D31" s="299">
        <v>17012</v>
      </c>
      <c r="E31" s="300"/>
      <c r="F31" s="299">
        <v>0</v>
      </c>
      <c r="G31" s="299"/>
      <c r="H31" s="299">
        <f>SUM(B31:F31)</f>
        <v>17012</v>
      </c>
      <c r="J31" s="303"/>
    </row>
    <row r="32" spans="1:13" x14ac:dyDescent="0.2">
      <c r="A32" s="780" t="s">
        <v>217</v>
      </c>
      <c r="B32" s="768">
        <v>0</v>
      </c>
      <c r="C32" s="768"/>
      <c r="D32" s="768">
        <v>375000</v>
      </c>
      <c r="E32" s="709"/>
      <c r="F32" s="768">
        <v>300000</v>
      </c>
      <c r="G32" s="768"/>
      <c r="H32" s="768">
        <f>SUM(B32:F32)</f>
        <v>675000</v>
      </c>
      <c r="L32" s="302"/>
    </row>
    <row r="33" spans="1:15" x14ac:dyDescent="0.2">
      <c r="A33" s="435" t="s">
        <v>216</v>
      </c>
      <c r="B33" s="299">
        <v>0</v>
      </c>
      <c r="C33" s="299"/>
      <c r="D33" s="299">
        <v>151542</v>
      </c>
      <c r="E33" s="300"/>
      <c r="F33" s="299">
        <v>0</v>
      </c>
      <c r="G33" s="299"/>
      <c r="H33" s="299">
        <f>SUM(B33:F33)</f>
        <v>151542</v>
      </c>
      <c r="J33" s="303"/>
      <c r="L33" s="302"/>
    </row>
    <row r="34" spans="1:15" x14ac:dyDescent="0.2">
      <c r="A34" s="330" t="s">
        <v>218</v>
      </c>
      <c r="B34" s="320">
        <f>SUM(B30:B33)</f>
        <v>2456</v>
      </c>
      <c r="C34" s="300"/>
      <c r="D34" s="320">
        <f>SUM(D30:D33)</f>
        <v>567222</v>
      </c>
      <c r="E34" s="300"/>
      <c r="F34" s="320">
        <f>SUM(F30:F33)</f>
        <v>301145</v>
      </c>
      <c r="G34" s="300"/>
      <c r="H34" s="320">
        <f>SUM(B34:F34)</f>
        <v>870823</v>
      </c>
    </row>
    <row r="35" spans="1:15" x14ac:dyDescent="0.2">
      <c r="A35" s="330"/>
      <c r="B35" s="300"/>
      <c r="C35" s="300"/>
      <c r="D35" s="300"/>
      <c r="E35" s="300"/>
      <c r="F35" s="300"/>
      <c r="G35" s="300"/>
      <c r="H35" s="300"/>
      <c r="L35" s="302"/>
    </row>
    <row r="36" spans="1:15" x14ac:dyDescent="0.2">
      <c r="A36" s="310" t="s">
        <v>219</v>
      </c>
      <c r="B36" s="299"/>
      <c r="C36" s="299"/>
      <c r="D36" s="299"/>
      <c r="E36" s="300"/>
      <c r="F36" s="299"/>
      <c r="G36" s="299"/>
      <c r="H36" s="299"/>
    </row>
    <row r="37" spans="1:15" ht="25.5" x14ac:dyDescent="0.2">
      <c r="A37" s="436" t="s">
        <v>220</v>
      </c>
      <c r="B37" s="300"/>
      <c r="C37" s="300"/>
      <c r="D37" s="300"/>
      <c r="E37" s="300"/>
      <c r="F37" s="300"/>
      <c r="G37" s="300"/>
      <c r="H37" s="300"/>
    </row>
    <row r="38" spans="1:15" x14ac:dyDescent="0.2">
      <c r="A38" s="330" t="s">
        <v>215</v>
      </c>
      <c r="B38" s="300">
        <v>0</v>
      </c>
      <c r="C38" s="300"/>
      <c r="D38" s="300">
        <v>248814</v>
      </c>
      <c r="E38" s="300"/>
      <c r="F38" s="300">
        <v>0</v>
      </c>
      <c r="G38" s="300"/>
      <c r="H38" s="300">
        <f t="shared" ref="H38:H44" si="0">SUM(B38:F38)</f>
        <v>248814</v>
      </c>
    </row>
    <row r="39" spans="1:15" x14ac:dyDescent="0.2">
      <c r="A39" s="341" t="s">
        <v>1067</v>
      </c>
      <c r="B39" s="299">
        <v>0</v>
      </c>
      <c r="C39" s="299"/>
      <c r="D39" s="299">
        <f>9712+6-5549</f>
        <v>4169</v>
      </c>
      <c r="E39" s="300"/>
      <c r="F39" s="299">
        <f>200+5549</f>
        <v>5749</v>
      </c>
      <c r="G39" s="299"/>
      <c r="H39" s="299">
        <f>SUM(B39:F39)</f>
        <v>9918</v>
      </c>
      <c r="L39" s="302"/>
    </row>
    <row r="40" spans="1:15" ht="25.5" x14ac:dyDescent="0.2">
      <c r="A40" s="436" t="s">
        <v>221</v>
      </c>
      <c r="B40" s="299">
        <v>226058</v>
      </c>
      <c r="C40" s="299"/>
      <c r="D40" s="299">
        <v>0</v>
      </c>
      <c r="E40" s="300"/>
      <c r="F40" s="299">
        <v>0</v>
      </c>
      <c r="G40" s="299"/>
      <c r="H40" s="300">
        <f t="shared" si="0"/>
        <v>226058</v>
      </c>
      <c r="L40" s="302"/>
    </row>
    <row r="41" spans="1:15" x14ac:dyDescent="0.2">
      <c r="A41" s="435" t="s">
        <v>222</v>
      </c>
      <c r="B41" s="459">
        <v>114000</v>
      </c>
      <c r="C41" s="299"/>
      <c r="D41" s="459">
        <v>290208</v>
      </c>
      <c r="E41" s="300"/>
      <c r="F41" s="299">
        <v>0</v>
      </c>
      <c r="G41" s="299"/>
      <c r="H41" s="462">
        <f t="shared" si="0"/>
        <v>404208</v>
      </c>
      <c r="L41" s="302"/>
      <c r="N41" s="311"/>
      <c r="O41" s="311"/>
    </row>
    <row r="42" spans="1:15" x14ac:dyDescent="0.2">
      <c r="A42" s="435" t="s">
        <v>133</v>
      </c>
      <c r="B42" s="299">
        <f>(0.05*1046861+0.05*(-908618+11714-61382+118419+3489126+431687+878153-3)+0.05*(-945111))*0.32+(34961)-0.05</f>
        <v>99934.486000000019</v>
      </c>
      <c r="C42" s="299"/>
      <c r="D42" s="299">
        <f>(0.05*1046861+0.05*(-908618+11714-61382+118419+3489126+431687+878153-3)+0.05*(-945111))*0.68+(73200)</f>
        <v>211268.76400000005</v>
      </c>
      <c r="E42" s="300"/>
      <c r="F42" s="299">
        <f>(1093)</f>
        <v>1093</v>
      </c>
      <c r="G42" s="299"/>
      <c r="H42" s="300">
        <f t="shared" si="0"/>
        <v>312296.25000000006</v>
      </c>
      <c r="J42" s="302"/>
      <c r="L42" s="299"/>
      <c r="N42" s="311"/>
      <c r="O42" s="311"/>
    </row>
    <row r="43" spans="1:15" x14ac:dyDescent="0.2">
      <c r="A43" s="435" t="s">
        <v>134</v>
      </c>
      <c r="B43" s="299">
        <f>0.05*1474358*0.32</f>
        <v>23589.728000000003</v>
      </c>
      <c r="C43" s="299"/>
      <c r="D43" s="299">
        <f>0.05*1474358*0.68</f>
        <v>50128.172000000006</v>
      </c>
      <c r="E43" s="300"/>
      <c r="F43" s="299">
        <v>0</v>
      </c>
      <c r="G43" s="299"/>
      <c r="H43" s="300">
        <f t="shared" si="0"/>
        <v>73717.900000000009</v>
      </c>
      <c r="J43" s="303"/>
      <c r="L43" s="302"/>
      <c r="N43" s="311"/>
      <c r="O43" s="311"/>
    </row>
    <row r="44" spans="1:15" x14ac:dyDescent="0.2">
      <c r="A44" s="435" t="s">
        <v>216</v>
      </c>
      <c r="B44" s="325">
        <v>0</v>
      </c>
      <c r="C44" s="300"/>
      <c r="D44" s="325">
        <v>1915000</v>
      </c>
      <c r="E44" s="300"/>
      <c r="F44" s="325">
        <v>0</v>
      </c>
      <c r="G44" s="300"/>
      <c r="H44" s="325">
        <f t="shared" si="0"/>
        <v>1915000</v>
      </c>
      <c r="L44" s="302"/>
      <c r="M44" s="302"/>
      <c r="N44" s="311"/>
      <c r="O44" s="311"/>
    </row>
    <row r="45" spans="1:15" x14ac:dyDescent="0.2">
      <c r="A45" s="330" t="s">
        <v>223</v>
      </c>
      <c r="B45" s="320">
        <f>SUM(B37:B44)</f>
        <v>463582.21400000004</v>
      </c>
      <c r="C45" s="300"/>
      <c r="D45" s="320">
        <f>SUM(D37:D44)</f>
        <v>2719587.9360000002</v>
      </c>
      <c r="E45" s="300"/>
      <c r="F45" s="320">
        <f>SUM(F37:F44)</f>
        <v>6842</v>
      </c>
      <c r="G45" s="300"/>
      <c r="H45" s="320">
        <f>SUM(B45:F45)</f>
        <v>3190012.1500000004</v>
      </c>
      <c r="L45" s="302"/>
      <c r="N45" s="311"/>
      <c r="O45" s="311"/>
    </row>
    <row r="46" spans="1:15" x14ac:dyDescent="0.2">
      <c r="A46" s="331" t="s">
        <v>35</v>
      </c>
      <c r="B46" s="320">
        <f>B45+B34</f>
        <v>466038.21400000004</v>
      </c>
      <c r="C46" s="300"/>
      <c r="D46" s="320">
        <f>D45+D34</f>
        <v>3286809.9360000002</v>
      </c>
      <c r="E46" s="300"/>
      <c r="F46" s="320">
        <f>F45+F34</f>
        <v>307987</v>
      </c>
      <c r="G46" s="300"/>
      <c r="H46" s="320">
        <f>SUM(B46:F46)</f>
        <v>4060835.1500000004</v>
      </c>
      <c r="J46" s="326"/>
      <c r="L46" s="302"/>
      <c r="N46" s="302"/>
    </row>
    <row r="47" spans="1:15" x14ac:dyDescent="0.2">
      <c r="A47" s="331"/>
      <c r="B47" s="300"/>
      <c r="C47" s="300"/>
      <c r="D47" s="300"/>
      <c r="E47" s="300"/>
      <c r="F47" s="300"/>
      <c r="G47" s="300"/>
      <c r="H47" s="300"/>
      <c r="L47" s="302"/>
    </row>
    <row r="48" spans="1:15" x14ac:dyDescent="0.2">
      <c r="A48" s="36" t="s">
        <v>36</v>
      </c>
      <c r="B48" s="300">
        <f>'GWNetPos 68 Exh 1'!D42*0.32</f>
        <v>10978.848000000005</v>
      </c>
      <c r="C48" s="300"/>
      <c r="D48" s="300">
        <f>'GWNetPos 68 Exh 1'!D42*0.67</f>
        <v>22986.963000000011</v>
      </c>
      <c r="E48" s="300"/>
      <c r="F48" s="300">
        <f>'GWNetPos 68 Exh 1'!D42*0.01</f>
        <v>343.08900000000017</v>
      </c>
      <c r="G48" s="300"/>
      <c r="H48" s="300">
        <f>SUM(B48:F48)</f>
        <v>34308.900000000016</v>
      </c>
      <c r="J48" s="302"/>
      <c r="L48" s="302"/>
    </row>
    <row r="49" spans="1:15" x14ac:dyDescent="0.2">
      <c r="B49" s="299"/>
      <c r="C49" s="299"/>
      <c r="D49" s="299"/>
      <c r="E49" s="300"/>
      <c r="F49" s="299"/>
      <c r="G49" s="299"/>
      <c r="H49" s="299"/>
    </row>
    <row r="50" spans="1:15" x14ac:dyDescent="0.2">
      <c r="A50" s="32" t="s">
        <v>37</v>
      </c>
      <c r="B50" s="299"/>
      <c r="C50" s="299"/>
      <c r="D50" s="299"/>
      <c r="E50" s="300"/>
      <c r="F50" s="299"/>
      <c r="G50" s="299"/>
      <c r="H50" s="299"/>
    </row>
    <row r="51" spans="1:15" x14ac:dyDescent="0.2">
      <c r="A51" s="439" t="s">
        <v>38</v>
      </c>
      <c r="B51" s="299">
        <v>1885501</v>
      </c>
      <c r="C51" s="299"/>
      <c r="D51" s="299">
        <v>4923099</v>
      </c>
      <c r="E51" s="300"/>
      <c r="F51" s="299">
        <v>5749</v>
      </c>
      <c r="G51" s="299"/>
      <c r="H51" s="299">
        <f>SUM(B51:F51)</f>
        <v>6814349</v>
      </c>
    </row>
    <row r="52" spans="1:15" x14ac:dyDescent="0.2">
      <c r="A52" s="439" t="s">
        <v>47</v>
      </c>
      <c r="B52" s="461">
        <f>B53-B51-0.15</f>
        <v>-105534.66000000024</v>
      </c>
      <c r="C52" s="300"/>
      <c r="D52" s="461">
        <f>D53-D51</f>
        <v>-107264.75200000126</v>
      </c>
      <c r="E52" s="300"/>
      <c r="F52" s="325">
        <f>F53-F51</f>
        <v>1617.15199999998</v>
      </c>
      <c r="G52" s="300"/>
      <c r="H52" s="299">
        <f>SUM(B52:F52)-0.25</f>
        <v>-211182.51000000152</v>
      </c>
      <c r="J52" s="302"/>
    </row>
    <row r="53" spans="1:15" ht="13.5" thickBot="1" x14ac:dyDescent="0.25">
      <c r="A53" s="439" t="s">
        <v>48</v>
      </c>
      <c r="B53" s="878">
        <f>B24+B26-B46-B48-0.16</f>
        <v>1779966.4899999998</v>
      </c>
      <c r="C53" s="597"/>
      <c r="D53" s="878">
        <f>D24+D26-D46-D48</f>
        <v>4815834.2479999987</v>
      </c>
      <c r="E53" s="597"/>
      <c r="F53" s="298">
        <f>F24+F26-F46-F48</f>
        <v>7366.15199999998</v>
      </c>
      <c r="G53" s="597"/>
      <c r="H53" s="298">
        <f>SUM(B53:F53)-0.4</f>
        <v>6603166.4899999974</v>
      </c>
      <c r="J53" s="303"/>
      <c r="K53" s="332">
        <f>J53/0.05</f>
        <v>0</v>
      </c>
      <c r="M53" s="303"/>
      <c r="N53" s="302"/>
      <c r="O53" s="302"/>
    </row>
    <row r="54" spans="1:15" ht="13.5" thickTop="1" x14ac:dyDescent="0.2">
      <c r="A54" s="439"/>
      <c r="B54" s="597"/>
      <c r="C54" s="597"/>
      <c r="D54" s="597"/>
      <c r="E54" s="597"/>
      <c r="F54" s="597"/>
      <c r="G54" s="597"/>
      <c r="H54" s="597"/>
      <c r="J54" s="303"/>
      <c r="K54" s="332"/>
      <c r="M54" s="303"/>
      <c r="N54" s="302"/>
      <c r="O54" s="302"/>
    </row>
    <row r="55" spans="1:15" x14ac:dyDescent="0.2">
      <c r="A55" s="439"/>
      <c r="B55" s="338"/>
      <c r="D55" s="338"/>
    </row>
    <row r="56" spans="1:15" x14ac:dyDescent="0.2">
      <c r="A56" s="310" t="str">
        <f>'GWNetPos 68 Exh 1'!A59</f>
        <v>The notes to the financial statements are an integral part of this statement.</v>
      </c>
      <c r="B56" s="302"/>
      <c r="C56" s="302"/>
      <c r="D56" s="302"/>
      <c r="F56" s="302"/>
      <c r="G56" s="302"/>
      <c r="H56" s="302"/>
    </row>
    <row r="57" spans="1:15" ht="12.75" customHeight="1" thickBot="1" x14ac:dyDescent="0.25"/>
    <row r="58" spans="1:15" x14ac:dyDescent="0.2">
      <c r="A58" s="1038" t="s">
        <v>224</v>
      </c>
      <c r="B58" s="999"/>
      <c r="C58" s="999"/>
      <c r="D58" s="999"/>
      <c r="E58" s="999"/>
      <c r="F58" s="999"/>
      <c r="G58" s="999"/>
      <c r="H58" s="1000"/>
    </row>
    <row r="59" spans="1:15" ht="13.5" thickBot="1" x14ac:dyDescent="0.25">
      <c r="A59" s="1004"/>
      <c r="B59" s="1005"/>
      <c r="C59" s="1005"/>
      <c r="D59" s="1005"/>
      <c r="E59" s="1005"/>
      <c r="F59" s="1005"/>
      <c r="G59" s="1005"/>
      <c r="H59" s="1006"/>
    </row>
    <row r="60" spans="1:15" ht="13.5" thickBot="1" x14ac:dyDescent="0.25"/>
    <row r="61" spans="1:15" x14ac:dyDescent="0.2">
      <c r="A61" s="1029" t="s">
        <v>225</v>
      </c>
      <c r="B61" s="1030"/>
      <c r="C61" s="1030"/>
      <c r="D61" s="1030"/>
      <c r="E61" s="1030"/>
      <c r="F61" s="1030"/>
      <c r="G61" s="1030"/>
      <c r="H61" s="1031"/>
    </row>
    <row r="62" spans="1:15" x14ac:dyDescent="0.2">
      <c r="A62" s="1032"/>
      <c r="B62" s="1033"/>
      <c r="C62" s="1033"/>
      <c r="D62" s="1033"/>
      <c r="E62" s="1033"/>
      <c r="F62" s="1033"/>
      <c r="G62" s="1033"/>
      <c r="H62" s="1034"/>
    </row>
    <row r="63" spans="1:15" x14ac:dyDescent="0.2">
      <c r="A63" s="1032"/>
      <c r="B63" s="1033"/>
      <c r="C63" s="1033"/>
      <c r="D63" s="1033"/>
      <c r="E63" s="1033"/>
      <c r="F63" s="1033"/>
      <c r="G63" s="1033"/>
      <c r="H63" s="1034"/>
    </row>
    <row r="64" spans="1:15" ht="17.25" customHeight="1" thickBot="1" x14ac:dyDescent="0.25">
      <c r="A64" s="1035"/>
      <c r="B64" s="1036"/>
      <c r="C64" s="1036"/>
      <c r="D64" s="1036"/>
      <c r="E64" s="1036"/>
      <c r="F64" s="1036"/>
      <c r="G64" s="1036"/>
      <c r="H64" s="1037"/>
    </row>
  </sheetData>
  <customSheetViews>
    <customSheetView guid="{E0C60316-4586-4AAF-92CB-FA82BB1EB755}" topLeftCell="A35">
      <pageMargins left="0" right="0" top="0" bottom="0" header="0" footer="0"/>
      <printOptions horizontalCentered="1"/>
      <pageSetup scale="76" firstPageNumber="32" orientation="portrait" useFirstPageNumber="1" r:id="rId1"/>
      <headerFooter alignWithMargins="0"/>
    </customSheetView>
    <customSheetView guid="{A8748736-0722-49EB-85B6-C9B52DDCFE0E}" showPageBreaks="1" printArea="1" hiddenColumns="1" topLeftCell="A46">
      <selection activeCell="K16" sqref="K16"/>
      <pageMargins left="0.75" right="0.75" top="1" bottom="1" header="0.5" footer="0.5"/>
      <printOptions horizontalCentered="1"/>
      <pageSetup scale="74" firstPageNumber="32" orientation="portrait" useFirstPageNumber="1" r:id="rId2"/>
      <headerFooter alignWithMargins="0"/>
    </customSheetView>
  </customSheetViews>
  <mergeCells count="6">
    <mergeCell ref="A61:H64"/>
    <mergeCell ref="A1:H1"/>
    <mergeCell ref="A2:H2"/>
    <mergeCell ref="A3:H3"/>
    <mergeCell ref="A4:H4"/>
    <mergeCell ref="A58:H59"/>
  </mergeCells>
  <phoneticPr fontId="0" type="noConversion"/>
  <printOptions horizontalCentered="1"/>
  <pageMargins left="0.75" right="0.75" top="1" bottom="1" header="0.5" footer="0.5"/>
  <pageSetup scale="74" firstPageNumber="32" orientation="portrait" useFirstPageNumber="1" r:id="rId3"/>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sheetPr>
  <dimension ref="A1:L51"/>
  <sheetViews>
    <sheetView workbookViewId="0">
      <selection activeCell="A5" sqref="A5"/>
    </sheetView>
  </sheetViews>
  <sheetFormatPr defaultColWidth="9.140625" defaultRowHeight="12.75" x14ac:dyDescent="0.2"/>
  <cols>
    <col min="1" max="1" width="38.5703125" style="310" customWidth="1"/>
    <col min="2" max="2" width="16.140625" style="310" customWidth="1"/>
    <col min="3" max="3" width="1.7109375" style="310" customWidth="1"/>
    <col min="4" max="4" width="15.28515625" style="310" customWidth="1"/>
    <col min="5" max="5" width="1.7109375" style="310" customWidth="1"/>
    <col min="6" max="6" width="12.5703125" style="310" customWidth="1"/>
    <col min="7" max="7" width="1.7109375" style="310" customWidth="1"/>
    <col min="8" max="8" width="15.28515625" style="310" customWidth="1"/>
    <col min="9" max="9" width="12" style="310" bestFit="1" customWidth="1"/>
    <col min="10" max="10" width="12.140625" style="310" bestFit="1" customWidth="1"/>
    <col min="11" max="11" width="10.28515625" style="310" bestFit="1" customWidth="1"/>
    <col min="12" max="16384" width="9.140625" style="310"/>
  </cols>
  <sheetData>
    <row r="1" spans="1:10" x14ac:dyDescent="0.2">
      <c r="A1" s="990" t="s">
        <v>0</v>
      </c>
      <c r="B1" s="990"/>
      <c r="C1" s="990"/>
      <c r="D1" s="990"/>
      <c r="E1" s="990"/>
      <c r="F1" s="990"/>
      <c r="G1" s="990"/>
      <c r="H1" s="990"/>
    </row>
    <row r="2" spans="1:10" x14ac:dyDescent="0.2">
      <c r="A2" s="990" t="s">
        <v>227</v>
      </c>
      <c r="B2" s="990"/>
      <c r="C2" s="990"/>
      <c r="D2" s="990"/>
      <c r="E2" s="990"/>
      <c r="F2" s="990"/>
      <c r="G2" s="990"/>
      <c r="H2" s="990"/>
    </row>
    <row r="3" spans="1:10" x14ac:dyDescent="0.2">
      <c r="A3" s="990" t="s">
        <v>204</v>
      </c>
      <c r="B3" s="990"/>
      <c r="C3" s="990"/>
      <c r="D3" s="990"/>
      <c r="E3" s="990"/>
      <c r="F3" s="990"/>
      <c r="G3" s="990"/>
      <c r="H3" s="990"/>
    </row>
    <row r="4" spans="1:10" x14ac:dyDescent="0.2">
      <c r="A4" s="990" t="str">
        <f>'GWStmtAct 68 Exh 2'!A3</f>
        <v>For the Year Ended June 30, 2025</v>
      </c>
      <c r="B4" s="990"/>
      <c r="C4" s="990"/>
      <c r="D4" s="990"/>
      <c r="E4" s="990"/>
      <c r="F4" s="990"/>
      <c r="G4" s="990"/>
      <c r="H4" s="990"/>
    </row>
    <row r="5" spans="1:10" x14ac:dyDescent="0.2">
      <c r="A5" s="34"/>
      <c r="B5" s="34"/>
      <c r="C5" s="34"/>
      <c r="D5" s="34"/>
      <c r="E5" s="34"/>
      <c r="F5" s="34"/>
      <c r="G5" s="34"/>
      <c r="H5" s="937" t="s">
        <v>286</v>
      </c>
    </row>
    <row r="6" spans="1:10" ht="13.5" thickBot="1" x14ac:dyDescent="0.25">
      <c r="A6" s="677"/>
      <c r="B6" s="677"/>
      <c r="C6" s="677"/>
      <c r="D6" s="677"/>
      <c r="E6" s="677"/>
      <c r="F6" s="677"/>
      <c r="G6" s="677"/>
      <c r="H6" s="677"/>
    </row>
    <row r="7" spans="1:10" x14ac:dyDescent="0.2">
      <c r="B7" s="778" t="s">
        <v>103</v>
      </c>
      <c r="C7" s="778"/>
      <c r="D7" s="779"/>
      <c r="F7" s="33" t="s">
        <v>104</v>
      </c>
      <c r="G7" s="29"/>
    </row>
    <row r="8" spans="1:10" ht="38.25" x14ac:dyDescent="0.2">
      <c r="B8" s="473" t="s">
        <v>205</v>
      </c>
      <c r="C8" s="437"/>
      <c r="D8" s="473" t="s">
        <v>206</v>
      </c>
      <c r="E8" s="437"/>
      <c r="F8" s="473" t="s">
        <v>207</v>
      </c>
      <c r="G8" s="437"/>
      <c r="H8" s="473" t="s">
        <v>6</v>
      </c>
      <c r="J8" s="745"/>
    </row>
    <row r="9" spans="1:10" x14ac:dyDescent="0.2">
      <c r="A9" s="32" t="s">
        <v>228</v>
      </c>
    </row>
    <row r="10" spans="1:10" x14ac:dyDescent="0.2">
      <c r="A10" s="310" t="s">
        <v>229</v>
      </c>
      <c r="B10" s="318">
        <f>226095-100</f>
        <v>225995</v>
      </c>
      <c r="C10" s="318"/>
      <c r="D10" s="318">
        <f>790108-11957+7957+4000-5000-6000</f>
        <v>779108</v>
      </c>
      <c r="E10" s="318"/>
      <c r="F10" s="318">
        <f>1000+11957-7957-4000</f>
        <v>1000</v>
      </c>
      <c r="G10" s="318"/>
      <c r="H10" s="318">
        <f>SUM(B10:F10)</f>
        <v>1006103</v>
      </c>
    </row>
    <row r="11" spans="1:10" x14ac:dyDescent="0.2">
      <c r="A11" s="310" t="s">
        <v>230</v>
      </c>
      <c r="B11" s="300">
        <v>0</v>
      </c>
      <c r="C11" s="300"/>
      <c r="D11" s="300">
        <v>7100</v>
      </c>
      <c r="E11" s="300"/>
      <c r="F11" s="300">
        <v>5000</v>
      </c>
      <c r="G11" s="300"/>
      <c r="H11" s="593">
        <f>SUM(B11:F11)</f>
        <v>12100</v>
      </c>
    </row>
    <row r="12" spans="1:10" x14ac:dyDescent="0.2">
      <c r="A12" s="310" t="s">
        <v>149</v>
      </c>
      <c r="B12" s="325">
        <v>100</v>
      </c>
      <c r="C12" s="300"/>
      <c r="D12" s="325">
        <v>430</v>
      </c>
      <c r="E12" s="300"/>
      <c r="F12" s="325">
        <v>100</v>
      </c>
      <c r="G12" s="300"/>
      <c r="H12" s="594">
        <f>SUM(B12:F12)</f>
        <v>630</v>
      </c>
    </row>
    <row r="13" spans="1:10" x14ac:dyDescent="0.2">
      <c r="A13" s="435" t="s">
        <v>231</v>
      </c>
      <c r="B13" s="320">
        <f>SUM(B10:B12)</f>
        <v>226095</v>
      </c>
      <c r="C13" s="300"/>
      <c r="D13" s="320">
        <f>SUM(D10:D12)</f>
        <v>786638</v>
      </c>
      <c r="E13" s="300"/>
      <c r="F13" s="320">
        <f>SUM(F10:F12)</f>
        <v>6100</v>
      </c>
      <c r="G13" s="709"/>
      <c r="H13" s="595">
        <f>SUM(H10:I12)</f>
        <v>1018833</v>
      </c>
    </row>
    <row r="14" spans="1:10" x14ac:dyDescent="0.2">
      <c r="B14" s="299"/>
      <c r="C14" s="299"/>
      <c r="D14" s="299"/>
      <c r="E14" s="300"/>
      <c r="F14" s="299"/>
      <c r="G14" s="299"/>
      <c r="H14" s="596"/>
    </row>
    <row r="15" spans="1:10" x14ac:dyDescent="0.2">
      <c r="A15" s="32" t="s">
        <v>232</v>
      </c>
      <c r="B15" s="299"/>
      <c r="C15" s="299"/>
      <c r="D15" s="299"/>
      <c r="E15" s="300"/>
      <c r="F15" s="299"/>
      <c r="G15" s="299"/>
      <c r="H15" s="596"/>
    </row>
    <row r="16" spans="1:10" x14ac:dyDescent="0.2">
      <c r="A16" s="310" t="s">
        <v>233</v>
      </c>
      <c r="B16" s="299">
        <f>24033+500+(20565+24785-20565)-1</f>
        <v>49317</v>
      </c>
      <c r="C16" s="299"/>
      <c r="D16" s="459">
        <f>64052+0.05*0.68*(1201758)+0.63+0.05*0.68*(66767)+(43059+51893-43059)+643+42750-24250</f>
        <v>178218.47999999998</v>
      </c>
      <c r="E16" s="300"/>
      <c r="F16" s="299">
        <f>2110+(643+775-643)-643+2</f>
        <v>2244</v>
      </c>
      <c r="G16" s="299"/>
      <c r="H16" s="593">
        <f>SUM(B16:F16)</f>
        <v>229779.47999999998</v>
      </c>
    </row>
    <row r="17" spans="1:10" x14ac:dyDescent="0.2">
      <c r="A17" s="310" t="s">
        <v>234</v>
      </c>
      <c r="B17" s="299">
        <v>0</v>
      </c>
      <c r="C17" s="299"/>
      <c r="D17" s="299">
        <f>31215+100</f>
        <v>31315</v>
      </c>
      <c r="E17" s="300"/>
      <c r="F17" s="299">
        <v>500</v>
      </c>
      <c r="G17" s="299"/>
      <c r="H17" s="593">
        <f t="shared" ref="H17:H26" si="0">SUM(B17:F17)</f>
        <v>31815</v>
      </c>
    </row>
    <row r="18" spans="1:10" x14ac:dyDescent="0.2">
      <c r="A18" s="310" t="s">
        <v>235</v>
      </c>
      <c r="B18" s="299">
        <v>0</v>
      </c>
      <c r="C18" s="299"/>
      <c r="D18" s="299">
        <f>68870+106</f>
        <v>68976</v>
      </c>
      <c r="E18" s="300"/>
      <c r="F18" s="299">
        <v>0</v>
      </c>
      <c r="G18" s="299"/>
      <c r="H18" s="593">
        <f t="shared" si="0"/>
        <v>68976</v>
      </c>
    </row>
    <row r="19" spans="1:10" x14ac:dyDescent="0.2">
      <c r="A19" s="310" t="s">
        <v>236</v>
      </c>
      <c r="B19" s="299">
        <v>0</v>
      </c>
      <c r="C19" s="299"/>
      <c r="D19" s="299">
        <v>22949</v>
      </c>
      <c r="E19" s="300"/>
      <c r="F19" s="299">
        <v>0</v>
      </c>
      <c r="G19" s="299"/>
      <c r="H19" s="593">
        <f t="shared" si="0"/>
        <v>22949</v>
      </c>
    </row>
    <row r="20" spans="1:10" x14ac:dyDescent="0.2">
      <c r="A20" s="310" t="s">
        <v>237</v>
      </c>
      <c r="B20" s="299">
        <v>0</v>
      </c>
      <c r="C20" s="299"/>
      <c r="D20" s="299">
        <v>31172</v>
      </c>
      <c r="E20" s="300"/>
      <c r="F20" s="299">
        <v>0</v>
      </c>
      <c r="G20" s="299"/>
      <c r="H20" s="593">
        <f t="shared" si="0"/>
        <v>31172</v>
      </c>
    </row>
    <row r="21" spans="1:10" x14ac:dyDescent="0.2">
      <c r="A21" s="310" t="s">
        <v>238</v>
      </c>
      <c r="B21" s="299">
        <v>0</v>
      </c>
      <c r="C21" s="299"/>
      <c r="D21" s="299">
        <v>25026</v>
      </c>
      <c r="E21" s="300"/>
      <c r="F21" s="299">
        <v>0</v>
      </c>
      <c r="G21" s="299"/>
      <c r="H21" s="593">
        <f t="shared" si="0"/>
        <v>25026</v>
      </c>
    </row>
    <row r="22" spans="1:10" x14ac:dyDescent="0.2">
      <c r="A22" s="310" t="s">
        <v>239</v>
      </c>
      <c r="B22" s="299">
        <v>0</v>
      </c>
      <c r="C22" s="299"/>
      <c r="D22" s="299">
        <v>23640</v>
      </c>
      <c r="E22" s="300"/>
      <c r="F22" s="299">
        <v>0</v>
      </c>
      <c r="G22" s="299"/>
      <c r="H22" s="593">
        <f t="shared" si="0"/>
        <v>23640</v>
      </c>
    </row>
    <row r="23" spans="1:10" x14ac:dyDescent="0.2">
      <c r="A23" s="310" t="s">
        <v>240</v>
      </c>
      <c r="B23" s="299">
        <v>0</v>
      </c>
      <c r="C23" s="299"/>
      <c r="D23" s="299">
        <v>5369</v>
      </c>
      <c r="E23" s="300"/>
      <c r="F23" s="299">
        <v>0</v>
      </c>
      <c r="G23" s="299"/>
      <c r="H23" s="593">
        <f t="shared" si="0"/>
        <v>5369</v>
      </c>
    </row>
    <row r="24" spans="1:10" x14ac:dyDescent="0.2">
      <c r="A24" s="310" t="s">
        <v>241</v>
      </c>
      <c r="B24" s="299">
        <v>0</v>
      </c>
      <c r="C24" s="299"/>
      <c r="D24" s="299">
        <v>6892</v>
      </c>
      <c r="E24" s="300"/>
      <c r="F24" s="299">
        <v>0</v>
      </c>
      <c r="G24" s="299"/>
      <c r="H24" s="593">
        <f t="shared" si="0"/>
        <v>6892</v>
      </c>
    </row>
    <row r="25" spans="1:10" x14ac:dyDescent="0.2">
      <c r="A25" s="310" t="s">
        <v>242</v>
      </c>
      <c r="B25" s="459">
        <f>165199-19+0.05*0.32*(1201758)+0.12+0.05*0.32*(66767)+9250</f>
        <v>194726.52</v>
      </c>
      <c r="C25" s="299"/>
      <c r="D25" s="299">
        <v>0</v>
      </c>
      <c r="E25" s="300"/>
      <c r="F25" s="299">
        <v>0</v>
      </c>
      <c r="G25" s="299"/>
      <c r="H25" s="593">
        <f t="shared" si="0"/>
        <v>194726.52</v>
      </c>
    </row>
    <row r="26" spans="1:10" x14ac:dyDescent="0.2">
      <c r="A26" s="439" t="s">
        <v>243</v>
      </c>
      <c r="B26" s="299">
        <v>46274</v>
      </c>
      <c r="C26" s="299"/>
      <c r="D26" s="299">
        <v>0</v>
      </c>
      <c r="E26" s="300"/>
      <c r="F26" s="299">
        <v>0</v>
      </c>
      <c r="G26" s="299"/>
      <c r="H26" s="593">
        <f t="shared" si="0"/>
        <v>46274</v>
      </c>
    </row>
    <row r="27" spans="1:10" x14ac:dyDescent="0.2">
      <c r="A27" s="310" t="s">
        <v>244</v>
      </c>
      <c r="B27" s="325">
        <v>50241</v>
      </c>
      <c r="C27" s="300"/>
      <c r="D27" s="325">
        <v>200963</v>
      </c>
      <c r="E27" s="300"/>
      <c r="F27" s="325">
        <v>0</v>
      </c>
      <c r="G27" s="300"/>
      <c r="H27" s="594">
        <f>SUM(B27:F27)</f>
        <v>251204</v>
      </c>
    </row>
    <row r="28" spans="1:10" x14ac:dyDescent="0.2">
      <c r="A28" s="435" t="s">
        <v>245</v>
      </c>
      <c r="B28" s="320">
        <f>SUM(B16:B27)</f>
        <v>340558.52</v>
      </c>
      <c r="C28" s="300"/>
      <c r="D28" s="320">
        <f>SUM(D16:D27)</f>
        <v>594520.48</v>
      </c>
      <c r="E28" s="300"/>
      <c r="F28" s="320">
        <f>SUM(F16:F27)</f>
        <v>2744</v>
      </c>
      <c r="G28" s="709"/>
      <c r="H28" s="595">
        <f>SUM(B28:F28)</f>
        <v>937823</v>
      </c>
    </row>
    <row r="29" spans="1:10" x14ac:dyDescent="0.2">
      <c r="A29" s="330" t="s">
        <v>246</v>
      </c>
      <c r="B29" s="320">
        <f>B13-B28</f>
        <v>-114463.52000000002</v>
      </c>
      <c r="C29" s="300"/>
      <c r="D29" s="320">
        <f>D13-D28</f>
        <v>192117.52000000002</v>
      </c>
      <c r="E29" s="300"/>
      <c r="F29" s="320">
        <f>F13-F28</f>
        <v>3356</v>
      </c>
      <c r="G29" s="709"/>
      <c r="H29" s="595">
        <f>SUM(B29:F29)</f>
        <v>81010</v>
      </c>
      <c r="J29" s="326"/>
    </row>
    <row r="30" spans="1:10" x14ac:dyDescent="0.2">
      <c r="B30" s="299"/>
      <c r="C30" s="299"/>
      <c r="D30" s="299"/>
      <c r="E30" s="300"/>
      <c r="F30" s="299"/>
      <c r="G30" s="299"/>
      <c r="H30" s="596"/>
    </row>
    <row r="31" spans="1:10" x14ac:dyDescent="0.2">
      <c r="A31" s="32" t="s">
        <v>247</v>
      </c>
      <c r="B31" s="299"/>
      <c r="C31" s="299"/>
      <c r="D31" s="299"/>
      <c r="E31" s="300"/>
      <c r="F31" s="299"/>
      <c r="G31" s="299"/>
      <c r="H31" s="596"/>
    </row>
    <row r="32" spans="1:10" x14ac:dyDescent="0.2">
      <c r="A32" s="310" t="s">
        <v>248</v>
      </c>
      <c r="B32" s="299">
        <v>1000</v>
      </c>
      <c r="C32" s="299"/>
      <c r="D32" s="299">
        <v>0</v>
      </c>
      <c r="E32" s="300"/>
      <c r="F32" s="299">
        <v>0</v>
      </c>
      <c r="G32" s="299"/>
      <c r="H32" s="593">
        <f t="shared" ref="H32:H39" si="1">SUM(B32:F32)</f>
        <v>1000</v>
      </c>
    </row>
    <row r="33" spans="1:12" x14ac:dyDescent="0.2">
      <c r="A33" s="310" t="s">
        <v>249</v>
      </c>
      <c r="B33" s="299">
        <f>74811-32811</f>
        <v>42000</v>
      </c>
      <c r="C33" s="299"/>
      <c r="D33" s="299">
        <v>0</v>
      </c>
      <c r="E33" s="300"/>
      <c r="F33" s="299">
        <v>0</v>
      </c>
      <c r="G33" s="299"/>
      <c r="H33" s="593">
        <f t="shared" si="1"/>
        <v>42000</v>
      </c>
    </row>
    <row r="34" spans="1:12" x14ac:dyDescent="0.2">
      <c r="A34" s="310" t="s">
        <v>250</v>
      </c>
      <c r="B34" s="299">
        <v>58000</v>
      </c>
      <c r="C34" s="299"/>
      <c r="D34" s="299">
        <v>0</v>
      </c>
      <c r="E34" s="300"/>
      <c r="F34" s="299">
        <v>0</v>
      </c>
      <c r="G34" s="299"/>
      <c r="H34" s="593">
        <f t="shared" si="1"/>
        <v>58000</v>
      </c>
    </row>
    <row r="35" spans="1:12" x14ac:dyDescent="0.2">
      <c r="A35" s="439" t="s">
        <v>251</v>
      </c>
      <c r="B35" s="299">
        <v>917</v>
      </c>
      <c r="C35" s="299"/>
      <c r="D35" s="299">
        <f>5043-10+32162+1</f>
        <v>37196</v>
      </c>
      <c r="E35" s="300"/>
      <c r="F35" s="299">
        <v>10</v>
      </c>
      <c r="G35" s="709"/>
      <c r="H35" s="594">
        <f>SUM(B35:F35)</f>
        <v>38123</v>
      </c>
    </row>
    <row r="36" spans="1:12" x14ac:dyDescent="0.2">
      <c r="A36" s="436" t="s">
        <v>252</v>
      </c>
      <c r="B36" s="320">
        <f>SUM(B32:B35)</f>
        <v>101917</v>
      </c>
      <c r="C36" s="300"/>
      <c r="D36" s="320">
        <f>SUM(D32:D35)</f>
        <v>37196</v>
      </c>
      <c r="E36" s="300"/>
      <c r="F36" s="320">
        <f>SUM(F32:F35)</f>
        <v>10</v>
      </c>
      <c r="G36" s="709"/>
      <c r="H36" s="595">
        <f>SUM(H32:H35)</f>
        <v>139123</v>
      </c>
    </row>
    <row r="37" spans="1:12" ht="25.5" x14ac:dyDescent="0.2">
      <c r="A37" s="341" t="s">
        <v>253</v>
      </c>
      <c r="B37" s="299">
        <f>B29+B36</f>
        <v>-12546.520000000019</v>
      </c>
      <c r="C37" s="299"/>
      <c r="D37" s="299">
        <f>D29+D36</f>
        <v>229313.52000000002</v>
      </c>
      <c r="E37" s="300"/>
      <c r="F37" s="299">
        <f>F29+F36</f>
        <v>3366</v>
      </c>
      <c r="G37" s="299"/>
      <c r="H37" s="593">
        <f>SUM(B37:F37)</f>
        <v>220133</v>
      </c>
    </row>
    <row r="38" spans="1:12" x14ac:dyDescent="0.2">
      <c r="A38" s="439" t="s">
        <v>254</v>
      </c>
      <c r="B38" s="300">
        <v>0</v>
      </c>
      <c r="C38" s="300"/>
      <c r="D38" s="300">
        <f>121348+4000-4000</f>
        <v>121348</v>
      </c>
      <c r="E38" s="300"/>
      <c r="F38" s="300">
        <v>4000</v>
      </c>
      <c r="G38" s="300"/>
      <c r="H38" s="593">
        <f>SUM(B38:F38)</f>
        <v>125348</v>
      </c>
    </row>
    <row r="39" spans="1:12" x14ac:dyDescent="0.2">
      <c r="A39" s="439" t="s">
        <v>165</v>
      </c>
      <c r="B39" s="325">
        <v>0</v>
      </c>
      <c r="C39" s="300"/>
      <c r="D39" s="325">
        <v>100000</v>
      </c>
      <c r="E39" s="300"/>
      <c r="F39" s="325">
        <v>0</v>
      </c>
      <c r="G39" s="300"/>
      <c r="H39" s="594">
        <f t="shared" si="1"/>
        <v>100000</v>
      </c>
    </row>
    <row r="40" spans="1:12" x14ac:dyDescent="0.2">
      <c r="A40" s="341" t="s">
        <v>94</v>
      </c>
      <c r="B40" s="299">
        <f>SUM(B37:B39)</f>
        <v>-12546.520000000019</v>
      </c>
      <c r="C40" s="299"/>
      <c r="D40" s="299">
        <f>SUM(D37:D39)</f>
        <v>450661.52</v>
      </c>
      <c r="E40" s="300"/>
      <c r="F40" s="299">
        <f>SUM(F37:F39)</f>
        <v>7366</v>
      </c>
      <c r="G40" s="300"/>
      <c r="H40" s="596">
        <f>SUM(H37:H39)</f>
        <v>445481</v>
      </c>
    </row>
    <row r="41" spans="1:12" ht="25.5" x14ac:dyDescent="0.2">
      <c r="A41" s="460" t="s">
        <v>1102</v>
      </c>
      <c r="B41" s="462">
        <v>1857263</v>
      </c>
      <c r="C41" s="462"/>
      <c r="D41" s="462">
        <v>4633422</v>
      </c>
      <c r="E41" s="300"/>
      <c r="F41" s="300">
        <v>0</v>
      </c>
      <c r="G41" s="300"/>
      <c r="H41" s="894">
        <f>SUM(B41:F41)</f>
        <v>6490685</v>
      </c>
      <c r="I41" s="302"/>
      <c r="J41" s="332"/>
    </row>
    <row r="42" spans="1:12" ht="12.75" customHeight="1" x14ac:dyDescent="0.2">
      <c r="A42" s="732" t="s">
        <v>1103</v>
      </c>
      <c r="B42" s="461">
        <v>-64750</v>
      </c>
      <c r="C42" s="462"/>
      <c r="D42" s="461">
        <v>-268250</v>
      </c>
      <c r="E42" s="300"/>
      <c r="F42" s="325">
        <v>0</v>
      </c>
      <c r="G42" s="300"/>
      <c r="H42" s="934">
        <f>SUM(B42:F42)</f>
        <v>-333000</v>
      </c>
      <c r="I42" s="302"/>
      <c r="J42" s="332"/>
    </row>
    <row r="43" spans="1:12" x14ac:dyDescent="0.2">
      <c r="A43" s="460" t="s">
        <v>1104</v>
      </c>
      <c r="B43" s="462">
        <f>+B41+B42</f>
        <v>1792513</v>
      </c>
      <c r="C43" s="462"/>
      <c r="D43" s="462">
        <f>+D41+D42</f>
        <v>4365172</v>
      </c>
      <c r="E43" s="300"/>
      <c r="F43" s="300">
        <f>+F41+F42</f>
        <v>0</v>
      </c>
      <c r="G43" s="300"/>
      <c r="H43" s="894">
        <f>SUM(B43:F43)</f>
        <v>6157685</v>
      </c>
      <c r="I43" s="302"/>
      <c r="J43" s="302"/>
      <c r="K43" s="302"/>
    </row>
    <row r="44" spans="1:12" ht="13.5" thickBot="1" x14ac:dyDescent="0.25">
      <c r="A44" s="310" t="s">
        <v>317</v>
      </c>
      <c r="B44" s="298">
        <f>SUM(B40+B43)-0.34</f>
        <v>1779966.14</v>
      </c>
      <c r="C44" s="318"/>
      <c r="D44" s="298">
        <f>SUM(D40+D43)</f>
        <v>4815833.5199999996</v>
      </c>
      <c r="E44" s="318"/>
      <c r="F44" s="298">
        <f>F40+F43</f>
        <v>7366</v>
      </c>
      <c r="G44" s="318"/>
      <c r="H44" s="298">
        <f>SUM(H40+H43)</f>
        <v>6603166</v>
      </c>
      <c r="I44" s="302"/>
      <c r="J44" s="338"/>
      <c r="L44" s="332"/>
    </row>
    <row r="45" spans="1:12" ht="13.5" thickTop="1" x14ac:dyDescent="0.2">
      <c r="B45" s="318"/>
      <c r="C45" s="318"/>
      <c r="D45" s="318"/>
      <c r="E45" s="318"/>
      <c r="F45" s="318"/>
      <c r="G45" s="318"/>
      <c r="H45" s="318"/>
      <c r="I45" s="302"/>
      <c r="J45" s="338"/>
      <c r="L45" s="332"/>
    </row>
    <row r="46" spans="1:12" x14ac:dyDescent="0.2">
      <c r="H46" s="332"/>
      <c r="J46" s="338"/>
    </row>
    <row r="47" spans="1:12" x14ac:dyDescent="0.2">
      <c r="A47" s="310" t="str">
        <f>'GWNetPos 68 Exh 1'!A59</f>
        <v>The notes to the financial statements are an integral part of this statement.</v>
      </c>
      <c r="I47" s="299"/>
      <c r="J47" s="299"/>
    </row>
    <row r="48" spans="1:12" x14ac:dyDescent="0.2">
      <c r="B48" s="332"/>
      <c r="C48" s="332"/>
      <c r="D48" s="332"/>
      <c r="E48" s="332"/>
      <c r="F48" s="332"/>
      <c r="G48" s="332"/>
    </row>
    <row r="49" spans="2:10" hidden="1" x14ac:dyDescent="0.2">
      <c r="B49" s="332">
        <f>B44-'Net Pos-Prop Exh 9'!B53</f>
        <v>-0.34999999986030161</v>
      </c>
      <c r="C49" s="332"/>
      <c r="D49" s="332">
        <f>D44-'Net Pos-Prop Exh 9'!D53</f>
        <v>-0.72799999918788671</v>
      </c>
      <c r="E49" s="332"/>
      <c r="F49" s="332">
        <f>F44-'Net Pos-Prop Exh 9'!F53</f>
        <v>-0.15199999998003477</v>
      </c>
      <c r="G49" s="332"/>
      <c r="H49" s="332">
        <f>H44-'Net Pos-Prop Exh 9'!H53</f>
        <v>-0.48999999742954969</v>
      </c>
      <c r="I49" s="302"/>
      <c r="J49" s="302"/>
    </row>
    <row r="51" spans="2:10" x14ac:dyDescent="0.2">
      <c r="B51" s="302"/>
      <c r="C51" s="302"/>
      <c r="D51" s="302"/>
      <c r="E51" s="302"/>
      <c r="F51" s="302"/>
      <c r="G51" s="302"/>
      <c r="H51" s="303"/>
    </row>
  </sheetData>
  <customSheetViews>
    <customSheetView guid="{E0C60316-4586-4AAF-92CB-FA82BB1EB755}">
      <pageMargins left="0" right="0" top="0" bottom="0" header="0" footer="0"/>
      <printOptions horizontalCentered="1"/>
      <pageSetup scale="86" firstPageNumber="32" fitToHeight="0" orientation="portrait" useFirstPageNumber="1" r:id="rId1"/>
      <headerFooter alignWithMargins="0"/>
    </customSheetView>
    <customSheetView guid="{A8748736-0722-49EB-85B6-C9B52DDCFE0E}" showPageBreaks="1" printArea="1" hiddenRows="1" topLeftCell="A28">
      <selection activeCell="C9" sqref="C9"/>
      <pageMargins left="0.75" right="0.75" top="1" bottom="1" header="0.5" footer="0.5"/>
      <printOptions horizontalCentered="1"/>
      <pageSetup scale="86" firstPageNumber="32" fitToHeight="0" orientation="portrait" useFirstPageNumber="1" r:id="rId2"/>
      <headerFooter alignWithMargins="0"/>
    </customSheetView>
  </customSheetViews>
  <mergeCells count="4">
    <mergeCell ref="A1:H1"/>
    <mergeCell ref="A2:H2"/>
    <mergeCell ref="A3:H3"/>
    <mergeCell ref="A4:H4"/>
  </mergeCells>
  <phoneticPr fontId="0" type="noConversion"/>
  <printOptions horizontalCentered="1"/>
  <pageMargins left="0.75" right="0.75" top="1" bottom="1" header="0.5" footer="0.5"/>
  <pageSetup scale="86" firstPageNumber="32" fitToHeight="0" orientation="portrait" useFirstPageNumber="1" r:id="rId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39997558519241921"/>
    <pageSetUpPr fitToPage="1"/>
  </sheetPr>
  <dimension ref="A1:T67"/>
  <sheetViews>
    <sheetView workbookViewId="0">
      <selection activeCell="D5" sqref="D5"/>
    </sheetView>
  </sheetViews>
  <sheetFormatPr defaultColWidth="9.140625" defaultRowHeight="12.75" x14ac:dyDescent="0.2"/>
  <cols>
    <col min="1" max="2" width="3" style="310" customWidth="1"/>
    <col min="3" max="3" width="9.140625" style="310"/>
    <col min="4" max="4" width="39.7109375" style="310" customWidth="1"/>
    <col min="5" max="5" width="12.5703125" style="310" customWidth="1"/>
    <col min="6" max="6" width="1.7109375" style="310" customWidth="1"/>
    <col min="7" max="7" width="12.5703125" style="310" customWidth="1"/>
    <col min="8" max="8" width="1.7109375" style="310" customWidth="1"/>
    <col min="9" max="9" width="12.5703125" style="310" customWidth="1"/>
    <col min="10" max="10" width="1.7109375" style="310" customWidth="1"/>
    <col min="11" max="11" width="12.5703125" style="310" customWidth="1"/>
    <col min="12" max="12" width="14.85546875" style="310" hidden="1" customWidth="1"/>
    <col min="13" max="13" width="12.140625" style="310" bestFit="1" customWidth="1"/>
    <col min="14" max="14" width="14.85546875" style="310" bestFit="1" customWidth="1"/>
    <col min="15" max="15" width="12.140625" style="310" bestFit="1" customWidth="1"/>
    <col min="16" max="16" width="10.85546875" style="310" bestFit="1" customWidth="1"/>
    <col min="17" max="17" width="13.85546875" style="310" bestFit="1" customWidth="1"/>
    <col min="18" max="19" width="11.140625" style="310" bestFit="1" customWidth="1"/>
    <col min="20" max="20" width="13.85546875" style="310" bestFit="1" customWidth="1"/>
    <col min="21" max="16384" width="9.140625" style="310"/>
  </cols>
  <sheetData>
    <row r="1" spans="1:13" x14ac:dyDescent="0.2">
      <c r="A1" s="29" t="s">
        <v>0</v>
      </c>
      <c r="B1" s="29"/>
      <c r="C1" s="29"/>
      <c r="D1" s="29"/>
      <c r="E1" s="29"/>
      <c r="F1" s="29"/>
      <c r="G1" s="29"/>
      <c r="H1" s="29"/>
      <c r="I1" s="29"/>
      <c r="J1" s="29"/>
      <c r="K1" s="29"/>
    </row>
    <row r="2" spans="1:13" x14ac:dyDescent="0.2">
      <c r="A2" s="29" t="s">
        <v>256</v>
      </c>
      <c r="B2" s="344"/>
      <c r="C2" s="344"/>
      <c r="D2" s="344"/>
      <c r="E2" s="344"/>
      <c r="F2" s="344"/>
      <c r="G2" s="344"/>
      <c r="H2" s="344"/>
      <c r="I2" s="344"/>
      <c r="J2" s="344"/>
      <c r="K2" s="344"/>
    </row>
    <row r="3" spans="1:13" x14ac:dyDescent="0.2">
      <c r="A3" s="29" t="s">
        <v>204</v>
      </c>
      <c r="B3" s="344"/>
      <c r="C3" s="344"/>
      <c r="D3" s="781"/>
      <c r="E3" s="781"/>
      <c r="F3" s="781"/>
      <c r="G3" s="781"/>
      <c r="H3" s="344"/>
      <c r="I3" s="344"/>
      <c r="J3" s="344"/>
      <c r="K3" s="344"/>
    </row>
    <row r="4" spans="1:13" x14ac:dyDescent="0.2">
      <c r="A4" s="1041" t="str">
        <f>+'GWStmtAct 68 Exh 2'!A3</f>
        <v>For the Year Ended June 30, 2025</v>
      </c>
      <c r="B4" s="1041"/>
      <c r="C4" s="1041"/>
      <c r="D4" s="1041"/>
      <c r="E4" s="1041"/>
      <c r="F4" s="1041"/>
      <c r="G4" s="1041"/>
      <c r="H4" s="1041"/>
      <c r="I4" s="1041"/>
      <c r="J4" s="1041"/>
      <c r="K4" s="1041"/>
    </row>
    <row r="5" spans="1:13" x14ac:dyDescent="0.2">
      <c r="A5" s="655"/>
      <c r="B5" s="344"/>
      <c r="C5" s="344"/>
      <c r="D5" s="344"/>
      <c r="E5" s="781"/>
      <c r="F5" s="781"/>
      <c r="G5" s="781"/>
      <c r="H5" s="344"/>
      <c r="I5" s="344"/>
      <c r="J5" s="344"/>
      <c r="K5" s="937" t="s">
        <v>297</v>
      </c>
    </row>
    <row r="6" spans="1:13" ht="13.5" thickBot="1" x14ac:dyDescent="0.25">
      <c r="A6" s="681"/>
      <c r="B6" s="681"/>
      <c r="C6" s="681"/>
      <c r="D6" s="681"/>
      <c r="E6" s="681"/>
      <c r="F6" s="681"/>
      <c r="G6" s="681"/>
      <c r="H6" s="681"/>
      <c r="I6" s="681"/>
      <c r="J6" s="681"/>
      <c r="K6" s="681"/>
    </row>
    <row r="7" spans="1:13" x14ac:dyDescent="0.2">
      <c r="E7" s="33" t="s">
        <v>103</v>
      </c>
      <c r="F7" s="33"/>
      <c r="G7" s="33"/>
      <c r="I7" s="33" t="s">
        <v>104</v>
      </c>
      <c r="J7" s="29"/>
      <c r="K7" s="32"/>
    </row>
    <row r="8" spans="1:13" x14ac:dyDescent="0.2">
      <c r="E8" s="32"/>
      <c r="F8" s="32"/>
      <c r="G8" s="34" t="s">
        <v>257</v>
      </c>
      <c r="H8" s="34"/>
      <c r="I8" s="34" t="s">
        <v>257</v>
      </c>
      <c r="J8" s="34"/>
      <c r="K8" s="34"/>
    </row>
    <row r="9" spans="1:13" x14ac:dyDescent="0.2">
      <c r="E9" s="34" t="s">
        <v>73</v>
      </c>
      <c r="F9" s="34"/>
      <c r="G9" s="34" t="s">
        <v>258</v>
      </c>
      <c r="H9" s="34"/>
      <c r="I9" s="34" t="s">
        <v>258</v>
      </c>
      <c r="J9" s="34"/>
      <c r="K9" s="34"/>
    </row>
    <row r="10" spans="1:13" x14ac:dyDescent="0.2">
      <c r="E10" s="35" t="s">
        <v>259</v>
      </c>
      <c r="F10" s="34"/>
      <c r="G10" s="35" t="s">
        <v>260</v>
      </c>
      <c r="H10" s="34"/>
      <c r="I10" s="283" t="s">
        <v>261</v>
      </c>
      <c r="J10" s="34"/>
      <c r="K10" s="283" t="s">
        <v>6</v>
      </c>
    </row>
    <row r="11" spans="1:13" x14ac:dyDescent="0.2">
      <c r="A11" s="36" t="s">
        <v>262</v>
      </c>
    </row>
    <row r="12" spans="1:13" x14ac:dyDescent="0.2">
      <c r="B12" s="352" t="s">
        <v>263</v>
      </c>
      <c r="E12" s="319">
        <v>234689</v>
      </c>
      <c r="F12" s="319"/>
      <c r="G12" s="319">
        <f>786203-I12</f>
        <v>780356</v>
      </c>
      <c r="H12" s="319"/>
      <c r="I12" s="319">
        <v>5847</v>
      </c>
      <c r="J12" s="319"/>
      <c r="K12" s="319">
        <f t="shared" ref="K12:K17" si="0">SUM(E12:I12)</f>
        <v>1020892</v>
      </c>
    </row>
    <row r="13" spans="1:13" x14ac:dyDescent="0.2">
      <c r="B13" s="352" t="s">
        <v>264</v>
      </c>
      <c r="E13" s="299">
        <f>-31613</f>
        <v>-31613</v>
      </c>
      <c r="F13" s="299"/>
      <c r="G13" s="299">
        <f>-146553-I13</f>
        <v>-147698</v>
      </c>
      <c r="H13" s="299"/>
      <c r="I13" s="299">
        <v>1145</v>
      </c>
      <c r="J13" s="299"/>
      <c r="K13" s="299">
        <f t="shared" si="0"/>
        <v>-178166</v>
      </c>
    </row>
    <row r="14" spans="1:13" x14ac:dyDescent="0.2">
      <c r="B14" s="352" t="s">
        <v>265</v>
      </c>
      <c r="E14" s="299">
        <f>-72652-1001000*0.05*0.32-(43000)*0.05*0.32-0.028-20565</f>
        <v>-109921.02800000001</v>
      </c>
      <c r="F14" s="299"/>
      <c r="G14" s="299">
        <f>-123241+2610-1001000*0.05*0.67-(43000)*0.05*0.68-0.072-43059</f>
        <v>-198685.57199999999</v>
      </c>
      <c r="H14" s="299"/>
      <c r="I14" s="299">
        <f>-2610-1001000*0.05*0.01-643</f>
        <v>-3753.5</v>
      </c>
      <c r="J14" s="299"/>
      <c r="K14" s="299">
        <f t="shared" si="0"/>
        <v>-312360.09999999998</v>
      </c>
      <c r="M14" s="302"/>
    </row>
    <row r="15" spans="1:13" x14ac:dyDescent="0.2">
      <c r="B15" s="352" t="s">
        <v>266</v>
      </c>
      <c r="E15" s="301">
        <v>0</v>
      </c>
      <c r="F15" s="301"/>
      <c r="G15" s="299">
        <v>1800</v>
      </c>
      <c r="H15" s="299"/>
      <c r="I15" s="299">
        <v>6549</v>
      </c>
      <c r="J15" s="299"/>
      <c r="K15" s="299">
        <f t="shared" si="0"/>
        <v>8349</v>
      </c>
    </row>
    <row r="16" spans="1:13" x14ac:dyDescent="0.2">
      <c r="B16" s="352" t="s">
        <v>267</v>
      </c>
      <c r="E16" s="301">
        <v>0</v>
      </c>
      <c r="F16" s="301"/>
      <c r="G16" s="299">
        <f>-8932-1800</f>
        <v>-10732</v>
      </c>
      <c r="H16" s="299"/>
      <c r="I16" s="299">
        <v>-800</v>
      </c>
      <c r="J16" s="299"/>
      <c r="K16" s="299">
        <f t="shared" si="0"/>
        <v>-11532</v>
      </c>
    </row>
    <row r="17" spans="1:14" x14ac:dyDescent="0.2">
      <c r="B17" s="352" t="s">
        <v>268</v>
      </c>
      <c r="E17" s="325">
        <v>100</v>
      </c>
      <c r="F17" s="300"/>
      <c r="G17" s="325">
        <f>530-I17</f>
        <v>430</v>
      </c>
      <c r="H17" s="300"/>
      <c r="I17" s="325">
        <v>100</v>
      </c>
      <c r="J17" s="300"/>
      <c r="K17" s="325">
        <f t="shared" si="0"/>
        <v>630</v>
      </c>
    </row>
    <row r="18" spans="1:14" ht="12.75" customHeight="1" x14ac:dyDescent="0.2">
      <c r="C18" s="1039" t="s">
        <v>269</v>
      </c>
      <c r="D18" s="1040"/>
      <c r="E18" s="325">
        <f>SUM(E12:E17)</f>
        <v>93254.971999999994</v>
      </c>
      <c r="F18" s="300"/>
      <c r="G18" s="325">
        <f>SUM(G12:G17)</f>
        <v>425470.42800000001</v>
      </c>
      <c r="H18" s="300"/>
      <c r="I18" s="325">
        <f>SUM(I12:I17)</f>
        <v>9087.5</v>
      </c>
      <c r="J18" s="300"/>
      <c r="K18" s="325">
        <f>SUM(E18:I18)</f>
        <v>527812.9</v>
      </c>
      <c r="N18" s="302"/>
    </row>
    <row r="19" spans="1:14" x14ac:dyDescent="0.2">
      <c r="E19" s="299"/>
      <c r="F19" s="299"/>
      <c r="G19" s="299"/>
      <c r="H19" s="299"/>
      <c r="I19" s="299"/>
      <c r="J19" s="299"/>
      <c r="K19" s="299"/>
    </row>
    <row r="20" spans="1:14" ht="12.75" customHeight="1" x14ac:dyDescent="0.2">
      <c r="A20" s="32" t="s">
        <v>1056</v>
      </c>
      <c r="B20" s="32"/>
      <c r="C20" s="32"/>
      <c r="D20" s="32"/>
      <c r="E20" s="299"/>
      <c r="F20" s="299"/>
      <c r="G20" s="299"/>
      <c r="H20" s="299"/>
      <c r="I20" s="299"/>
      <c r="J20" s="299"/>
      <c r="K20" s="299"/>
    </row>
    <row r="21" spans="1:14" x14ac:dyDescent="0.2">
      <c r="B21" s="310" t="s">
        <v>270</v>
      </c>
      <c r="E21" s="325">
        <v>0</v>
      </c>
      <c r="F21" s="300"/>
      <c r="G21" s="325">
        <v>100000</v>
      </c>
      <c r="H21" s="300"/>
      <c r="I21" s="325">
        <v>0</v>
      </c>
      <c r="J21" s="300"/>
      <c r="K21" s="325">
        <f>SUM(E21:I21)</f>
        <v>100000</v>
      </c>
    </row>
    <row r="22" spans="1:14" x14ac:dyDescent="0.2">
      <c r="E22" s="299"/>
      <c r="F22" s="299"/>
      <c r="G22" s="299"/>
      <c r="H22" s="299"/>
      <c r="I22" s="299"/>
      <c r="J22" s="299"/>
      <c r="K22" s="299"/>
    </row>
    <row r="23" spans="1:14" x14ac:dyDescent="0.2">
      <c r="A23" s="36" t="s">
        <v>1058</v>
      </c>
      <c r="E23" s="299"/>
      <c r="F23" s="299"/>
      <c r="G23" s="299"/>
      <c r="H23" s="299"/>
      <c r="I23" s="299"/>
      <c r="J23" s="299"/>
      <c r="K23" s="299"/>
    </row>
    <row r="24" spans="1:14" x14ac:dyDescent="0.2">
      <c r="B24" s="352" t="s">
        <v>271</v>
      </c>
      <c r="E24" s="301">
        <v>0</v>
      </c>
      <c r="F24" s="301"/>
      <c r="G24" s="299">
        <v>375000</v>
      </c>
      <c r="H24" s="299"/>
      <c r="I24" s="299">
        <v>300000</v>
      </c>
      <c r="J24" s="299"/>
      <c r="K24" s="299">
        <f>SUM(E24:I24)</f>
        <v>675000</v>
      </c>
    </row>
    <row r="25" spans="1:14" x14ac:dyDescent="0.2">
      <c r="B25" s="352" t="s">
        <v>1055</v>
      </c>
      <c r="E25" s="299">
        <v>-46559</v>
      </c>
      <c r="F25" s="299"/>
      <c r="G25" s="299">
        <f>-1272977-I25</f>
        <v>-977081</v>
      </c>
      <c r="H25" s="299"/>
      <c r="I25" s="299">
        <f>-303590+11694-4000</f>
        <v>-295896</v>
      </c>
      <c r="J25" s="299"/>
      <c r="K25" s="299">
        <f>SUM(E25:I25)</f>
        <v>-1319536</v>
      </c>
    </row>
    <row r="26" spans="1:14" x14ac:dyDescent="0.2">
      <c r="B26" s="352" t="s">
        <v>1060</v>
      </c>
      <c r="E26" s="301">
        <v>0</v>
      </c>
      <c r="F26" s="301"/>
      <c r="G26" s="299">
        <v>-250000</v>
      </c>
      <c r="H26" s="299"/>
      <c r="I26" s="299">
        <v>0</v>
      </c>
      <c r="J26" s="299"/>
      <c r="K26" s="299">
        <f>SUM(E26:I26)</f>
        <v>-250000</v>
      </c>
    </row>
    <row r="27" spans="1:14" x14ac:dyDescent="0.2">
      <c r="B27" s="352" t="s">
        <v>1059</v>
      </c>
      <c r="E27" s="301">
        <v>0</v>
      </c>
      <c r="F27" s="301"/>
      <c r="G27" s="299">
        <v>-99144</v>
      </c>
      <c r="H27" s="299"/>
      <c r="I27" s="299">
        <v>0</v>
      </c>
      <c r="J27" s="299"/>
      <c r="K27" s="299">
        <f>SUM(E27:I27)</f>
        <v>-99144</v>
      </c>
    </row>
    <row r="28" spans="1:14" x14ac:dyDescent="0.2">
      <c r="B28" s="352" t="s">
        <v>272</v>
      </c>
      <c r="E28" s="349">
        <v>0</v>
      </c>
      <c r="F28" s="782"/>
      <c r="G28" s="325">
        <f>125348-I28</f>
        <v>121348</v>
      </c>
      <c r="H28" s="300"/>
      <c r="I28" s="325">
        <v>4000</v>
      </c>
      <c r="J28" s="300"/>
      <c r="K28" s="325">
        <f>SUM(E28:I28)</f>
        <v>125348</v>
      </c>
    </row>
    <row r="29" spans="1:14" x14ac:dyDescent="0.2">
      <c r="C29" s="352" t="s">
        <v>1057</v>
      </c>
      <c r="E29" s="350">
        <f>SUM(E24:E28)</f>
        <v>-46559</v>
      </c>
      <c r="F29" s="300"/>
      <c r="G29" s="350">
        <f>SUM(G24:G28)</f>
        <v>-829877</v>
      </c>
      <c r="H29" s="300"/>
      <c r="I29" s="350">
        <f>SUM(I24:I28)</f>
        <v>8104</v>
      </c>
      <c r="J29" s="300"/>
      <c r="K29" s="350">
        <f>SUM(K24:K28)</f>
        <v>-868332</v>
      </c>
    </row>
    <row r="30" spans="1:14" x14ac:dyDescent="0.2">
      <c r="E30" s="299"/>
      <c r="F30" s="299"/>
      <c r="G30" s="299"/>
      <c r="H30" s="299"/>
      <c r="I30" s="299"/>
      <c r="J30" s="299"/>
      <c r="K30" s="299"/>
    </row>
    <row r="31" spans="1:14" x14ac:dyDescent="0.2">
      <c r="A31" s="36" t="s">
        <v>273</v>
      </c>
      <c r="E31" s="299"/>
      <c r="F31" s="299"/>
      <c r="G31" s="299"/>
      <c r="H31" s="299"/>
      <c r="I31" s="299"/>
      <c r="J31" s="299"/>
      <c r="K31" s="299"/>
    </row>
    <row r="32" spans="1:14" x14ac:dyDescent="0.2">
      <c r="B32" s="352" t="s">
        <v>274</v>
      </c>
      <c r="E32" s="350">
        <v>917</v>
      </c>
      <c r="F32" s="300"/>
      <c r="G32" s="350">
        <f>37205-I32</f>
        <v>37195</v>
      </c>
      <c r="H32" s="300"/>
      <c r="I32" s="325">
        <v>10</v>
      </c>
      <c r="J32" s="300"/>
      <c r="K32" s="350">
        <f>SUM(E32:I32)</f>
        <v>38122</v>
      </c>
    </row>
    <row r="33" spans="1:20" x14ac:dyDescent="0.2">
      <c r="E33" s="299"/>
      <c r="F33" s="299"/>
      <c r="G33" s="299"/>
      <c r="H33" s="299"/>
      <c r="I33" s="299"/>
      <c r="J33" s="299"/>
      <c r="K33" s="299"/>
    </row>
    <row r="34" spans="1:20" x14ac:dyDescent="0.2">
      <c r="A34" s="36" t="s">
        <v>1061</v>
      </c>
      <c r="B34" s="36"/>
      <c r="E34" s="299">
        <f>E32+E29+E21+E18</f>
        <v>47612.971999999994</v>
      </c>
      <c r="F34" s="299"/>
      <c r="G34" s="299">
        <f>G32+G29+G21+G18</f>
        <v>-267211.57199999999</v>
      </c>
      <c r="H34" s="299"/>
      <c r="I34" s="299">
        <f>I32+I29+I21+I18</f>
        <v>17201.5</v>
      </c>
      <c r="J34" s="299"/>
      <c r="K34" s="299">
        <f>K32+K29+K21+K18</f>
        <v>-202397.09999999998</v>
      </c>
    </row>
    <row r="35" spans="1:20" x14ac:dyDescent="0.2">
      <c r="E35" s="299"/>
      <c r="F35" s="299"/>
      <c r="G35" s="299"/>
      <c r="H35" s="299"/>
      <c r="I35" s="299"/>
      <c r="J35" s="299"/>
      <c r="K35" s="299"/>
    </row>
    <row r="36" spans="1:20" x14ac:dyDescent="0.2">
      <c r="A36" s="352" t="s">
        <v>275</v>
      </c>
      <c r="E36" s="350">
        <f>195298+3000+22033</f>
        <v>220331</v>
      </c>
      <c r="F36" s="300"/>
      <c r="G36" s="350">
        <f>1750027+100000+32162+1</f>
        <v>1882190</v>
      </c>
      <c r="H36" s="300"/>
      <c r="I36" s="325">
        <v>0</v>
      </c>
      <c r="J36" s="300"/>
      <c r="K36" s="350">
        <f>SUM(E36:I36)</f>
        <v>2102521</v>
      </c>
    </row>
    <row r="37" spans="1:20" ht="13.5" thickBot="1" x14ac:dyDescent="0.25">
      <c r="A37" s="352" t="s">
        <v>276</v>
      </c>
      <c r="E37" s="449">
        <f>SUM(E34:E36)</f>
        <v>267943.97200000001</v>
      </c>
      <c r="F37" s="351"/>
      <c r="G37" s="449">
        <f>SUM(G34:G36)</f>
        <v>1614978.4280000001</v>
      </c>
      <c r="H37" s="351"/>
      <c r="I37" s="449">
        <f>SUM(I34:I36)</f>
        <v>17201.5</v>
      </c>
      <c r="J37" s="351"/>
      <c r="K37" s="449">
        <f>SUM(K34:K36)</f>
        <v>1900123.9</v>
      </c>
      <c r="L37" s="332">
        <f>K37-'Net Pos-Prop Exh 9'!H11-'Net Pos-Prop Exh 9'!H18</f>
        <v>-0.10000000009313226</v>
      </c>
      <c r="M37" s="332"/>
      <c r="N37" s="332"/>
      <c r="O37" s="338"/>
      <c r="P37" s="332"/>
      <c r="Q37" s="332"/>
    </row>
    <row r="38" spans="1:20" ht="13.5" thickTop="1" x14ac:dyDescent="0.2">
      <c r="A38" s="352"/>
      <c r="E38" s="351"/>
      <c r="F38" s="351"/>
      <c r="G38" s="351"/>
      <c r="H38" s="351"/>
      <c r="I38" s="351"/>
      <c r="J38" s="351"/>
      <c r="K38" s="351"/>
    </row>
    <row r="39" spans="1:20" x14ac:dyDescent="0.2">
      <c r="A39" s="36" t="s">
        <v>1062</v>
      </c>
    </row>
    <row r="40" spans="1:20" x14ac:dyDescent="0.2">
      <c r="A40" s="36" t="s">
        <v>1063</v>
      </c>
    </row>
    <row r="41" spans="1:20" x14ac:dyDescent="0.2">
      <c r="A41" s="352" t="s">
        <v>246</v>
      </c>
      <c r="E41" s="448">
        <f>'Rev, exp-Prop Exh 10'!B29</f>
        <v>-114463.52000000002</v>
      </c>
      <c r="F41" s="351"/>
      <c r="G41" s="448">
        <f>'Rev, exp-Prop Exh 10'!D29</f>
        <v>192117.52000000002</v>
      </c>
      <c r="H41" s="300"/>
      <c r="I41" s="448">
        <f>'Rev, exp-Prop Exh 10'!F29</f>
        <v>3356</v>
      </c>
      <c r="J41" s="351"/>
      <c r="K41" s="448">
        <f>SUM(E41:I41)</f>
        <v>81010</v>
      </c>
    </row>
    <row r="42" spans="1:20" x14ac:dyDescent="0.2">
      <c r="A42" s="352" t="s">
        <v>1066</v>
      </c>
      <c r="E42" s="299"/>
      <c r="F42" s="299"/>
      <c r="G42" s="299"/>
      <c r="H42" s="299"/>
      <c r="I42" s="299"/>
      <c r="J42" s="299"/>
      <c r="K42" s="299"/>
    </row>
    <row r="43" spans="1:20" x14ac:dyDescent="0.2">
      <c r="A43" s="352" t="s">
        <v>1063</v>
      </c>
      <c r="E43" s="299"/>
      <c r="F43" s="299"/>
      <c r="G43" s="299"/>
      <c r="H43" s="299"/>
      <c r="I43" s="299"/>
      <c r="J43" s="299"/>
      <c r="K43" s="299"/>
    </row>
    <row r="44" spans="1:20" x14ac:dyDescent="0.2">
      <c r="B44" s="352" t="s">
        <v>244</v>
      </c>
      <c r="E44" s="299">
        <v>50241</v>
      </c>
      <c r="F44" s="299"/>
      <c r="G44" s="299">
        <f>200963-1</f>
        <v>200962</v>
      </c>
      <c r="H44" s="299"/>
      <c r="I44" s="299">
        <v>0</v>
      </c>
      <c r="J44" s="299"/>
      <c r="K44" s="299">
        <v>251202</v>
      </c>
    </row>
    <row r="45" spans="1:20" x14ac:dyDescent="0.2">
      <c r="B45" s="352" t="s">
        <v>278</v>
      </c>
      <c r="E45" s="301">
        <v>0</v>
      </c>
      <c r="F45" s="301"/>
      <c r="G45" s="299">
        <v>650</v>
      </c>
      <c r="H45" s="299"/>
      <c r="I45" s="299">
        <v>0</v>
      </c>
      <c r="J45" s="299"/>
      <c r="K45" s="299">
        <f>SUM(E45:I45)</f>
        <v>650</v>
      </c>
    </row>
    <row r="46" spans="1:20" x14ac:dyDescent="0.2">
      <c r="B46" s="352" t="s">
        <v>243</v>
      </c>
      <c r="E46" s="299">
        <v>46274</v>
      </c>
      <c r="F46" s="299"/>
      <c r="G46" s="301">
        <v>0</v>
      </c>
      <c r="H46" s="301"/>
      <c r="I46" s="301">
        <v>0</v>
      </c>
      <c r="J46" s="301"/>
      <c r="K46" s="299">
        <f>SUM(E46:I46)</f>
        <v>46274</v>
      </c>
    </row>
    <row r="47" spans="1:20" x14ac:dyDescent="0.2">
      <c r="B47" s="352" t="s">
        <v>1064</v>
      </c>
      <c r="E47" s="299">
        <f>7694+35872</f>
        <v>43566</v>
      </c>
      <c r="F47" s="299"/>
      <c r="G47" s="299">
        <f>5445+153</f>
        <v>5598</v>
      </c>
      <c r="H47" s="299"/>
      <c r="I47" s="299">
        <v>-153</v>
      </c>
      <c r="J47" s="299"/>
      <c r="K47" s="299">
        <f t="shared" ref="K47:K55" si="1">SUM(E47:I47)</f>
        <v>49011</v>
      </c>
      <c r="O47" s="303"/>
    </row>
    <row r="48" spans="1:20" x14ac:dyDescent="0.2">
      <c r="B48" s="352" t="s">
        <v>279</v>
      </c>
      <c r="E48" s="301">
        <v>0</v>
      </c>
      <c r="F48" s="301"/>
      <c r="G48" s="299">
        <v>1840</v>
      </c>
      <c r="H48" s="299"/>
      <c r="I48" s="299">
        <v>0</v>
      </c>
      <c r="J48" s="299"/>
      <c r="K48" s="299">
        <f t="shared" si="1"/>
        <v>1840</v>
      </c>
      <c r="T48" s="302"/>
    </row>
    <row r="49" spans="1:20" x14ac:dyDescent="0.2">
      <c r="B49" s="352" t="s">
        <v>1068</v>
      </c>
      <c r="E49" s="301">
        <f>25000+481</f>
        <v>25481</v>
      </c>
      <c r="F49" s="301"/>
      <c r="G49" s="299">
        <f>-260+306</f>
        <v>46</v>
      </c>
      <c r="H49" s="299"/>
      <c r="I49" s="299">
        <v>0</v>
      </c>
      <c r="J49" s="299"/>
      <c r="K49" s="299">
        <f t="shared" si="1"/>
        <v>25527</v>
      </c>
    </row>
    <row r="50" spans="1:20" ht="12.75" customHeight="1" x14ac:dyDescent="0.2">
      <c r="B50" s="310" t="s">
        <v>280</v>
      </c>
      <c r="D50" s="439"/>
      <c r="E50" s="301">
        <f>-(1916803*0.05*0.32)</f>
        <v>-30668.848000000002</v>
      </c>
      <c r="F50" s="301"/>
      <c r="G50" s="301">
        <f>-(1916803*0.05*0.67)+988</f>
        <v>-63224.900500000011</v>
      </c>
      <c r="H50" s="301"/>
      <c r="I50" s="301">
        <f>-(1916803*0.05*0.01)-988</f>
        <v>-1946.4014999999999</v>
      </c>
      <c r="J50" s="301"/>
      <c r="K50" s="299">
        <f t="shared" si="1"/>
        <v>-95840.150000000023</v>
      </c>
      <c r="L50" s="303"/>
      <c r="N50" s="303"/>
      <c r="O50" s="302"/>
      <c r="P50" s="302"/>
      <c r="T50" s="303"/>
    </row>
    <row r="51" spans="1:20" ht="12.75" customHeight="1" x14ac:dyDescent="0.2">
      <c r="B51" s="310" t="s">
        <v>281</v>
      </c>
      <c r="D51" s="439"/>
      <c r="E51" s="301">
        <f>-0.05*0.32*(43000-35651)</f>
        <v>-117.584</v>
      </c>
      <c r="F51" s="301"/>
      <c r="G51" s="301">
        <f>-0.05*0.68*(43000-35651)</f>
        <v>-249.86600000000001</v>
      </c>
      <c r="H51" s="301"/>
      <c r="I51" s="301"/>
      <c r="J51" s="301"/>
      <c r="K51" s="299">
        <f t="shared" si="1"/>
        <v>-367.45000000000005</v>
      </c>
      <c r="L51" s="303"/>
      <c r="N51" s="303"/>
      <c r="O51" s="302"/>
      <c r="P51" s="302"/>
      <c r="Q51" s="303"/>
      <c r="T51" s="303"/>
    </row>
    <row r="52" spans="1:20" x14ac:dyDescent="0.2">
      <c r="B52" s="352" t="s">
        <v>282</v>
      </c>
      <c r="E52" s="301">
        <f>0.05*0.32*(2185061)</f>
        <v>34960.976000000002</v>
      </c>
      <c r="F52" s="301"/>
      <c r="G52" s="301">
        <f>0.05*0.67*(2185061)</f>
        <v>73199.5435</v>
      </c>
      <c r="H52" s="301"/>
      <c r="I52" s="301">
        <f>0.05*0.01*(2185061)</f>
        <v>1092.5305000000001</v>
      </c>
      <c r="J52" s="301"/>
      <c r="K52" s="299">
        <f t="shared" si="1"/>
        <v>109253.04999999999</v>
      </c>
      <c r="L52" s="303"/>
      <c r="Q52" s="303"/>
    </row>
    <row r="53" spans="1:20" x14ac:dyDescent="0.2">
      <c r="B53" s="352" t="s">
        <v>283</v>
      </c>
      <c r="E53" s="301">
        <f>1474358*0.32*0.05-0.05*0.32*(1987185)</f>
        <v>-8205.2319999999963</v>
      </c>
      <c r="F53" s="301"/>
      <c r="G53" s="301">
        <f>0.05*0.68*(1474358-1987185)</f>
        <v>-17436.118000000002</v>
      </c>
      <c r="H53" s="301"/>
      <c r="I53" s="301">
        <v>0</v>
      </c>
      <c r="J53" s="301"/>
      <c r="K53" s="299">
        <f t="shared" si="1"/>
        <v>-25641.35</v>
      </c>
      <c r="L53" s="303"/>
      <c r="M53" s="303"/>
      <c r="N53" s="326"/>
      <c r="O53" s="302"/>
      <c r="P53" s="302"/>
      <c r="Q53" s="303"/>
      <c r="R53" s="303"/>
    </row>
    <row r="54" spans="1:20" ht="12.75" customHeight="1" x14ac:dyDescent="0.2">
      <c r="B54" s="310" t="s">
        <v>1069</v>
      </c>
      <c r="D54" s="439"/>
      <c r="E54" s="301">
        <f>-4556*0.05*0.32</f>
        <v>-72.896000000000001</v>
      </c>
      <c r="F54" s="301"/>
      <c r="G54" s="301">
        <f>-4556*0.05*0.67-345</f>
        <v>-497.62599999999998</v>
      </c>
      <c r="H54" s="301"/>
      <c r="I54" s="301">
        <f>-4556*0.05*0.01+345</f>
        <v>342.72199999999998</v>
      </c>
      <c r="J54" s="301"/>
      <c r="K54" s="299">
        <f t="shared" si="1"/>
        <v>-227.79999999999995</v>
      </c>
      <c r="L54" s="303"/>
      <c r="N54" s="303"/>
      <c r="O54" s="302"/>
      <c r="P54" s="299"/>
      <c r="Q54" s="303"/>
      <c r="S54" s="303"/>
    </row>
    <row r="55" spans="1:20" ht="12.75" customHeight="1" x14ac:dyDescent="0.2">
      <c r="B55" s="310" t="s">
        <v>284</v>
      </c>
      <c r="D55" s="439"/>
      <c r="E55" s="301">
        <f>0.05*0.32*(137364+406032+548)</f>
        <v>8703.1039999999994</v>
      </c>
      <c r="F55" s="301"/>
      <c r="G55" s="301">
        <f>0.05*0.68*(137364+406032+548)</f>
        <v>18494.096000000001</v>
      </c>
      <c r="H55" s="301"/>
      <c r="I55" s="301">
        <v>0</v>
      </c>
      <c r="J55" s="301"/>
      <c r="K55" s="299">
        <f t="shared" si="1"/>
        <v>27197.200000000001</v>
      </c>
      <c r="L55" s="303"/>
      <c r="N55" s="303"/>
      <c r="O55" s="302"/>
    </row>
    <row r="56" spans="1:20" x14ac:dyDescent="0.2">
      <c r="B56" s="352" t="s">
        <v>1070</v>
      </c>
      <c r="E56" s="299">
        <f>2000+18095+3213</f>
        <v>23308</v>
      </c>
      <c r="F56" s="299"/>
      <c r="G56" s="299">
        <f>-11779-1145+7970-988+345</f>
        <v>-5597</v>
      </c>
      <c r="H56" s="299"/>
      <c r="I56" s="299">
        <f>1145-1486+988</f>
        <v>647</v>
      </c>
      <c r="J56" s="299"/>
      <c r="K56" s="299">
        <f>SUM(E56:I56)</f>
        <v>18358</v>
      </c>
    </row>
    <row r="57" spans="1:20" x14ac:dyDescent="0.2">
      <c r="B57" s="352" t="s">
        <v>1065</v>
      </c>
      <c r="E57" s="301">
        <v>0</v>
      </c>
      <c r="F57" s="301"/>
      <c r="G57" s="299">
        <f>-3183-5749</f>
        <v>-8932</v>
      </c>
      <c r="H57" s="299"/>
      <c r="I57" s="299">
        <v>5749</v>
      </c>
      <c r="J57" s="299"/>
      <c r="K57" s="299">
        <f>SUM(E57:I57)+1</f>
        <v>-3182</v>
      </c>
    </row>
    <row r="58" spans="1:20" x14ac:dyDescent="0.2">
      <c r="B58" s="895" t="s">
        <v>1105</v>
      </c>
      <c r="C58" s="576"/>
      <c r="D58" s="576"/>
      <c r="E58" s="461">
        <v>14250</v>
      </c>
      <c r="F58" s="300"/>
      <c r="G58" s="461">
        <v>28500</v>
      </c>
      <c r="H58" s="300"/>
      <c r="I58" s="325">
        <v>0</v>
      </c>
      <c r="J58" s="300"/>
      <c r="K58" s="461">
        <f>SUM(E58:I58)</f>
        <v>42750</v>
      </c>
      <c r="N58" s="745"/>
    </row>
    <row r="59" spans="1:20" x14ac:dyDescent="0.2">
      <c r="D59" s="352" t="s">
        <v>285</v>
      </c>
      <c r="E59" s="350">
        <f>SUM(E44:E58)</f>
        <v>207719.52</v>
      </c>
      <c r="F59" s="300"/>
      <c r="G59" s="350">
        <f>SUM(G44:G58)</f>
        <v>233352.12899999999</v>
      </c>
      <c r="H59" s="300"/>
      <c r="I59" s="350">
        <f>SUM(I44:I58)</f>
        <v>5731.8510000000006</v>
      </c>
      <c r="J59" s="300"/>
      <c r="K59" s="350">
        <f>SUM(K44:K58)</f>
        <v>446803.5</v>
      </c>
      <c r="P59" s="303"/>
      <c r="Q59" s="303"/>
    </row>
    <row r="60" spans="1:20" ht="13.5" thickBot="1" x14ac:dyDescent="0.25">
      <c r="A60" s="36" t="s">
        <v>269</v>
      </c>
      <c r="E60" s="449">
        <f>E59+E41-1</f>
        <v>93254.999999999971</v>
      </c>
      <c r="F60" s="351"/>
      <c r="G60" s="449">
        <f>G59+G41</f>
        <v>425469.64899999998</v>
      </c>
      <c r="H60" s="351"/>
      <c r="I60" s="449">
        <f>I59+I41</f>
        <v>9087.8510000000006</v>
      </c>
      <c r="J60" s="351"/>
      <c r="K60" s="449">
        <f>K59+K41</f>
        <v>527813.5</v>
      </c>
    </row>
    <row r="61" spans="1:20" ht="13.5" thickTop="1" x14ac:dyDescent="0.2">
      <c r="A61" s="352"/>
      <c r="E61" s="351"/>
      <c r="F61" s="351"/>
      <c r="G61" s="351"/>
      <c r="H61" s="351"/>
      <c r="I61" s="351"/>
      <c r="J61" s="351"/>
      <c r="K61" s="351"/>
    </row>
    <row r="62" spans="1:20" x14ac:dyDescent="0.2">
      <c r="Q62" s="303"/>
      <c r="S62" s="303"/>
    </row>
    <row r="63" spans="1:20" x14ac:dyDescent="0.2">
      <c r="A63" s="310" t="str">
        <f>'GWNetPos 68 Exh 1'!A59</f>
        <v>The notes to the financial statements are an integral part of this statement.</v>
      </c>
      <c r="Q63" s="303"/>
    </row>
    <row r="64" spans="1:20" x14ac:dyDescent="0.2">
      <c r="Q64" s="303"/>
    </row>
    <row r="65" spans="4:12" hidden="1" x14ac:dyDescent="0.2">
      <c r="D65" s="303"/>
      <c r="E65" s="299">
        <f>E60-E18</f>
        <v>2.799999997660052E-2</v>
      </c>
      <c r="F65" s="299"/>
      <c r="G65" s="299">
        <f>G60-G18</f>
        <v>-0.77900000003864989</v>
      </c>
      <c r="H65" s="299"/>
      <c r="I65" s="299">
        <f>I60-I18</f>
        <v>0.35100000000056752</v>
      </c>
      <c r="J65" s="299"/>
      <c r="K65" s="299">
        <f>K60-K18</f>
        <v>0.59999999997671694</v>
      </c>
      <c r="L65" s="303"/>
    </row>
    <row r="66" spans="4:12" x14ac:dyDescent="0.2">
      <c r="E66" s="299"/>
      <c r="F66" s="299"/>
      <c r="G66" s="299"/>
      <c r="H66" s="303"/>
      <c r="I66" s="303"/>
      <c r="J66" s="303"/>
      <c r="K66" s="302"/>
    </row>
    <row r="67" spans="4:12" x14ac:dyDescent="0.2">
      <c r="E67" s="303"/>
      <c r="F67" s="303"/>
      <c r="G67" s="303"/>
      <c r="H67" s="303"/>
      <c r="I67" s="303"/>
      <c r="J67" s="303"/>
      <c r="K67" s="303"/>
    </row>
  </sheetData>
  <customSheetViews>
    <customSheetView guid="{E0C60316-4586-4AAF-92CB-FA82BB1EB755}">
      <rowBreaks count="1" manualBreakCount="1">
        <brk id="46" max="16383" man="1"/>
      </rowBreaks>
      <pageMargins left="0" right="0" top="0" bottom="0" header="0" footer="0"/>
      <printOptions horizontalCentered="1"/>
      <pageSetup scale="86" firstPageNumber="37" fitToHeight="0" orientation="portrait" useFirstPageNumber="1" r:id="rId1"/>
      <headerFooter alignWithMargins="0"/>
    </customSheetView>
    <customSheetView guid="{A8748736-0722-49EB-85B6-C9B52DDCFE0E}" showPageBreaks="1" printArea="1" hiddenColumns="1" topLeftCell="A67">
      <selection activeCell="H29" sqref="H29"/>
      <rowBreaks count="1" manualBreakCount="1">
        <brk id="46" max="16383" man="1"/>
      </rowBreaks>
      <pageMargins left="0.75" right="0.75" top="1" bottom="1" header="0.5" footer="0.5"/>
      <printOptions horizontalCentered="1"/>
      <pageSetup scale="86" firstPageNumber="37" fitToHeight="0" orientation="portrait" useFirstPageNumber="1" r:id="rId2"/>
      <headerFooter alignWithMargins="0"/>
    </customSheetView>
  </customSheetViews>
  <mergeCells count="2">
    <mergeCell ref="C18:D18"/>
    <mergeCell ref="A4:K4"/>
  </mergeCells>
  <printOptions horizontalCentered="1"/>
  <pageMargins left="0.5" right="0.5" top="1" bottom="1" header="0.5" footer="0.5"/>
  <pageSetup scale="74" firstPageNumber="37" orientation="portrait" useFirstPageNumber="1" r:id="rId3"/>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39997558519241921"/>
  </sheetPr>
  <dimension ref="A1:J34"/>
  <sheetViews>
    <sheetView workbookViewId="0">
      <selection activeCell="D6" sqref="D6"/>
    </sheetView>
  </sheetViews>
  <sheetFormatPr defaultColWidth="9.140625" defaultRowHeight="12.75" x14ac:dyDescent="0.2"/>
  <cols>
    <col min="1" max="3" width="2.7109375" customWidth="1"/>
    <col min="4" max="4" width="41.28515625" customWidth="1"/>
    <col min="5" max="5" width="12.7109375" customWidth="1"/>
    <col min="6" max="6" width="1.7109375" customWidth="1"/>
    <col min="7" max="7" width="12.7109375" customWidth="1"/>
  </cols>
  <sheetData>
    <row r="1" spans="1:10" x14ac:dyDescent="0.2">
      <c r="A1" s="29" t="s">
        <v>0</v>
      </c>
      <c r="B1" s="29"/>
      <c r="C1" s="29"/>
      <c r="D1" s="29"/>
      <c r="E1" s="31"/>
      <c r="F1" s="31"/>
      <c r="G1" s="31"/>
    </row>
    <row r="2" spans="1:10" x14ac:dyDescent="0.2">
      <c r="A2" s="29" t="s">
        <v>287</v>
      </c>
      <c r="B2" s="29"/>
      <c r="C2" s="29"/>
      <c r="D2" s="29"/>
      <c r="E2" s="31"/>
      <c r="F2" s="31"/>
      <c r="G2" s="31"/>
    </row>
    <row r="3" spans="1:10" x14ac:dyDescent="0.2">
      <c r="A3" s="29" t="s">
        <v>288</v>
      </c>
      <c r="B3" s="29"/>
      <c r="C3" s="29"/>
      <c r="D3" s="29"/>
      <c r="E3" s="31"/>
      <c r="F3" s="31"/>
      <c r="G3" s="31"/>
    </row>
    <row r="4" spans="1:10" x14ac:dyDescent="0.2">
      <c r="A4" s="655" t="str">
        <f>+'GWNetPos 68 Exh 1'!A3</f>
        <v>June 30, 2025</v>
      </c>
      <c r="B4" s="29"/>
      <c r="C4" s="29"/>
      <c r="D4" s="29"/>
      <c r="E4" s="31"/>
      <c r="F4" s="31"/>
      <c r="G4" s="31"/>
    </row>
    <row r="5" spans="1:10" x14ac:dyDescent="0.2">
      <c r="A5" s="29"/>
      <c r="B5" s="29"/>
      <c r="C5" s="29"/>
      <c r="D5" s="29"/>
      <c r="E5" s="31"/>
      <c r="F5" s="31"/>
      <c r="G5" s="937" t="s">
        <v>1074</v>
      </c>
    </row>
    <row r="6" spans="1:10" x14ac:dyDescent="0.2">
      <c r="A6" s="29"/>
      <c r="B6" s="29"/>
      <c r="C6" s="29"/>
      <c r="D6" s="29"/>
      <c r="E6" s="31"/>
      <c r="F6" s="31"/>
      <c r="G6" s="31"/>
    </row>
    <row r="7" spans="1:10" ht="13.5" thickBot="1" x14ac:dyDescent="0.25">
      <c r="A7" s="66"/>
      <c r="B7" s="66"/>
      <c r="C7" s="66"/>
      <c r="D7" s="66"/>
      <c r="E7" s="66"/>
      <c r="F7" s="66"/>
      <c r="G7" s="66"/>
    </row>
    <row r="8" spans="1:10" ht="68.25" customHeight="1" x14ac:dyDescent="0.2">
      <c r="E8" s="473" t="s">
        <v>1182</v>
      </c>
      <c r="F8" s="34"/>
      <c r="G8" s="473" t="s">
        <v>289</v>
      </c>
    </row>
    <row r="9" spans="1:10" x14ac:dyDescent="0.2">
      <c r="A9" s="32" t="s">
        <v>10</v>
      </c>
      <c r="D9" s="32"/>
    </row>
    <row r="10" spans="1:10" x14ac:dyDescent="0.2">
      <c r="A10" s="310" t="s">
        <v>11</v>
      </c>
      <c r="E10" s="771">
        <f>0</f>
        <v>0</v>
      </c>
      <c r="F10" s="13"/>
      <c r="G10" s="13">
        <f>+'Comb Custodial SNP'!F10</f>
        <v>68519</v>
      </c>
    </row>
    <row r="11" spans="1:10" x14ac:dyDescent="0.2">
      <c r="A11" s="310" t="s">
        <v>17</v>
      </c>
      <c r="E11" s="772">
        <f>714238+3655</f>
        <v>717893</v>
      </c>
      <c r="F11" s="13"/>
      <c r="G11" s="14">
        <v>0</v>
      </c>
    </row>
    <row r="12" spans="1:10" x14ac:dyDescent="0.2">
      <c r="A12" s="310" t="s">
        <v>290</v>
      </c>
      <c r="E12" s="773">
        <v>0</v>
      </c>
      <c r="F12" s="14"/>
      <c r="G12" s="14">
        <f>+'Comb Custodial SNP'!F11</f>
        <v>4254001</v>
      </c>
      <c r="H12" s="14"/>
      <c r="I12" s="14"/>
      <c r="J12" s="14"/>
    </row>
    <row r="13" spans="1:10" x14ac:dyDescent="0.2">
      <c r="A13" s="310" t="s">
        <v>291</v>
      </c>
      <c r="E13" s="771"/>
      <c r="F13" s="13"/>
      <c r="G13" s="13"/>
    </row>
    <row r="14" spans="1:10" x14ac:dyDescent="0.2">
      <c r="B14" s="310" t="s">
        <v>292</v>
      </c>
      <c r="E14" s="773">
        <f>ROUND(200000*0.65,0)</f>
        <v>130000</v>
      </c>
      <c r="F14" s="14"/>
      <c r="G14" s="14">
        <v>0</v>
      </c>
    </row>
    <row r="15" spans="1:10" x14ac:dyDescent="0.2">
      <c r="B15" s="310" t="s">
        <v>293</v>
      </c>
      <c r="E15" s="773">
        <f>200000*0.35</f>
        <v>70000</v>
      </c>
      <c r="F15" s="14"/>
      <c r="G15" s="14">
        <v>0</v>
      </c>
    </row>
    <row r="16" spans="1:10" x14ac:dyDescent="0.2">
      <c r="C16" s="310" t="s">
        <v>23</v>
      </c>
      <c r="E16" s="774">
        <f>SUM(E10:E15)</f>
        <v>917893</v>
      </c>
      <c r="G16" s="297">
        <f>SUM(G10:G15)</f>
        <v>4322520</v>
      </c>
    </row>
    <row r="17" spans="1:7" x14ac:dyDescent="0.2">
      <c r="E17" s="770"/>
    </row>
    <row r="18" spans="1:7" x14ac:dyDescent="0.2">
      <c r="A18" s="32" t="s">
        <v>25</v>
      </c>
      <c r="E18" s="770"/>
    </row>
    <row r="19" spans="1:7" x14ac:dyDescent="0.2">
      <c r="A19" t="s">
        <v>109</v>
      </c>
      <c r="E19" s="773">
        <v>3655</v>
      </c>
      <c r="F19" s="14"/>
      <c r="G19" s="14">
        <f>+'Comb Custodial SNP'!F15</f>
        <v>6298</v>
      </c>
    </row>
    <row r="20" spans="1:7" x14ac:dyDescent="0.2">
      <c r="A20" s="310" t="s">
        <v>28</v>
      </c>
      <c r="E20" s="775">
        <v>0</v>
      </c>
      <c r="F20" s="14"/>
      <c r="G20" s="15">
        <f>+'Comb Custodial SNP'!F16</f>
        <v>19156</v>
      </c>
    </row>
    <row r="21" spans="1:7" x14ac:dyDescent="0.2">
      <c r="C21" t="s">
        <v>35</v>
      </c>
      <c r="E21" s="775">
        <f>SUM(E19:E20)</f>
        <v>3655</v>
      </c>
      <c r="F21" s="14"/>
      <c r="G21" s="15">
        <f>SUM(G19:G20)</f>
        <v>25454</v>
      </c>
    </row>
    <row r="22" spans="1:7" x14ac:dyDescent="0.2">
      <c r="E22" s="773"/>
      <c r="F22" s="14"/>
      <c r="G22" s="14"/>
    </row>
    <row r="23" spans="1:7" x14ac:dyDescent="0.2">
      <c r="A23" s="32" t="s">
        <v>37</v>
      </c>
      <c r="E23" s="773"/>
      <c r="F23" s="14"/>
      <c r="G23" s="14"/>
    </row>
    <row r="24" spans="1:7" x14ac:dyDescent="0.2">
      <c r="A24" s="310" t="s">
        <v>39</v>
      </c>
      <c r="E24" s="773"/>
      <c r="F24" s="14"/>
      <c r="G24" s="14"/>
    </row>
    <row r="25" spans="1:7" x14ac:dyDescent="0.2">
      <c r="A25" s="310"/>
      <c r="B25" s="1040" t="s">
        <v>294</v>
      </c>
      <c r="C25" s="1042"/>
      <c r="D25" s="1042"/>
      <c r="E25" s="773">
        <f>E16-E21</f>
        <v>914238</v>
      </c>
      <c r="F25" s="14"/>
      <c r="G25" s="14">
        <v>0</v>
      </c>
    </row>
    <row r="26" spans="1:7" x14ac:dyDescent="0.2">
      <c r="A26" s="310"/>
      <c r="B26" s="1040" t="s">
        <v>295</v>
      </c>
      <c r="C26" s="1042"/>
      <c r="D26" s="1042"/>
      <c r="E26" s="775">
        <v>0</v>
      </c>
      <c r="F26" s="14"/>
      <c r="G26" s="15">
        <f>+'Comb Custodial SNP'!F21</f>
        <v>4297066</v>
      </c>
    </row>
    <row r="27" spans="1:7" ht="13.15" customHeight="1" thickBot="1" x14ac:dyDescent="0.25">
      <c r="C27" s="310" t="s">
        <v>296</v>
      </c>
      <c r="E27" s="776">
        <f>SUM(E25:E26)</f>
        <v>914238</v>
      </c>
      <c r="F27" s="14"/>
      <c r="G27" s="12">
        <f>SUM(G25:G26)</f>
        <v>4297066</v>
      </c>
    </row>
    <row r="28" spans="1:7" ht="13.5" thickTop="1" x14ac:dyDescent="0.2">
      <c r="E28" s="770"/>
      <c r="F28" s="14"/>
    </row>
    <row r="29" spans="1:7" x14ac:dyDescent="0.2">
      <c r="E29" s="770"/>
      <c r="F29" s="14"/>
    </row>
    <row r="30" spans="1:7" x14ac:dyDescent="0.2">
      <c r="A30" t="str">
        <f>'GWNetPos 68 Exh 1'!A59</f>
        <v>The notes to the financial statements are an integral part of this statement.</v>
      </c>
      <c r="E30" s="770"/>
    </row>
    <row r="31" spans="1:7" x14ac:dyDescent="0.2">
      <c r="E31" s="770"/>
    </row>
    <row r="32" spans="1:7" x14ac:dyDescent="0.2">
      <c r="B32" s="384"/>
      <c r="C32" s="105"/>
      <c r="D32" s="105"/>
      <c r="E32" s="777"/>
      <c r="F32" s="105"/>
      <c r="G32" s="105"/>
    </row>
    <row r="33" spans="2:7" x14ac:dyDescent="0.2">
      <c r="B33" s="105"/>
      <c r="C33" s="105"/>
      <c r="D33" s="105"/>
      <c r="E33" s="721"/>
      <c r="F33" s="105"/>
      <c r="G33" s="105"/>
    </row>
    <row r="34" spans="2:7" x14ac:dyDescent="0.2">
      <c r="B34" s="105"/>
      <c r="C34" s="105"/>
      <c r="D34" s="105"/>
      <c r="E34" s="105"/>
      <c r="F34" s="105"/>
      <c r="G34" s="105"/>
    </row>
  </sheetData>
  <customSheetViews>
    <customSheetView guid="{E0C60316-4586-4AAF-92CB-FA82BB1EB755}" topLeftCell="A6">
      <selection activeCell="F28" sqref="F28"/>
      <pageMargins left="0" right="0" top="0" bottom="0" header="0" footer="0"/>
      <printOptions horizontalCentered="1"/>
      <pageSetup scale="86" firstPageNumber="32" fitToHeight="0" orientation="portrait" useFirstPageNumber="1" r:id="rId1"/>
      <headerFooter alignWithMargins="0"/>
    </customSheetView>
    <customSheetView guid="{A8748736-0722-49EB-85B6-C9B52DDCFE0E}" showPageBreaks="1" printArea="1">
      <selection activeCell="K16" sqref="K16"/>
      <pageMargins left="0.75" right="0.75" top="1" bottom="1" header="0.5" footer="0.5"/>
      <printOptions horizontalCentered="1"/>
      <pageSetup scale="86" firstPageNumber="32" fitToHeight="0" orientation="portrait" useFirstPageNumber="1" r:id="rId2"/>
      <headerFooter alignWithMargins="0"/>
    </customSheetView>
  </customSheetViews>
  <mergeCells count="2">
    <mergeCell ref="B25:D25"/>
    <mergeCell ref="B26:D26"/>
  </mergeCells>
  <phoneticPr fontId="0" type="noConversion"/>
  <printOptions horizontalCentered="1"/>
  <pageMargins left="0.75" right="0.75" top="1" bottom="1" header="0.5" footer="0.5"/>
  <pageSetup scale="86" firstPageNumber="32" fitToHeight="0" orientation="portrait" useFirstPageNumber="1" r:id="rId3"/>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39997558519241921"/>
  </sheetPr>
  <dimension ref="A1:L74"/>
  <sheetViews>
    <sheetView workbookViewId="0">
      <selection activeCell="E6" sqref="E6"/>
    </sheetView>
  </sheetViews>
  <sheetFormatPr defaultColWidth="9.140625" defaultRowHeight="12.75" x14ac:dyDescent="0.2"/>
  <cols>
    <col min="1" max="1" width="2.7109375" customWidth="1"/>
    <col min="2" max="3" width="1.7109375" customWidth="1"/>
    <col min="4" max="4" width="3" customWidth="1"/>
    <col min="5" max="5" width="38" customWidth="1"/>
    <col min="6" max="6" width="1.7109375" customWidth="1"/>
    <col min="7" max="7" width="2.140625" customWidth="1"/>
    <col min="8" max="8" width="11.28515625" customWidth="1"/>
    <col min="9" max="9" width="1.7109375" customWidth="1"/>
    <col min="10" max="10" width="12.28515625" customWidth="1"/>
  </cols>
  <sheetData>
    <row r="1" spans="1:10" x14ac:dyDescent="0.2">
      <c r="A1" s="990" t="s">
        <v>0</v>
      </c>
      <c r="B1" s="990"/>
      <c r="C1" s="990"/>
      <c r="D1" s="990"/>
      <c r="E1" s="990"/>
      <c r="F1" s="990"/>
      <c r="G1" s="990"/>
      <c r="H1" s="990"/>
      <c r="I1" s="990"/>
      <c r="J1" s="990"/>
    </row>
    <row r="2" spans="1:10" x14ac:dyDescent="0.2">
      <c r="A2" s="990" t="s">
        <v>298</v>
      </c>
      <c r="B2" s="990"/>
      <c r="C2" s="990"/>
      <c r="D2" s="990"/>
      <c r="E2" s="990"/>
      <c r="F2" s="990"/>
      <c r="G2" s="990"/>
      <c r="H2" s="990"/>
      <c r="I2" s="990"/>
      <c r="J2" s="990"/>
    </row>
    <row r="3" spans="1:10" x14ac:dyDescent="0.2">
      <c r="A3" s="990" t="s">
        <v>288</v>
      </c>
      <c r="B3" s="990"/>
      <c r="C3" s="990"/>
      <c r="D3" s="990"/>
      <c r="E3" s="990"/>
      <c r="F3" s="990"/>
      <c r="G3" s="990"/>
      <c r="H3" s="990"/>
      <c r="I3" s="990"/>
      <c r="J3" s="990"/>
    </row>
    <row r="4" spans="1:10" x14ac:dyDescent="0.2">
      <c r="A4" s="990" t="str">
        <f>'GWStmtAct 68 Exh 2'!A3</f>
        <v>For the Year Ended June 30, 2025</v>
      </c>
      <c r="B4" s="990"/>
      <c r="C4" s="990"/>
      <c r="D4" s="990"/>
      <c r="E4" s="990"/>
      <c r="F4" s="990"/>
      <c r="G4" s="990"/>
      <c r="H4" s="990"/>
      <c r="I4" s="990"/>
      <c r="J4" s="990"/>
    </row>
    <row r="5" spans="1:10" x14ac:dyDescent="0.2">
      <c r="A5" s="34"/>
      <c r="B5" s="34"/>
      <c r="C5" s="34"/>
      <c r="D5" s="34"/>
      <c r="E5" s="34"/>
      <c r="F5" s="34"/>
      <c r="G5" s="34"/>
      <c r="H5" s="34"/>
      <c r="I5" s="34"/>
      <c r="J5" s="937" t="s">
        <v>1186</v>
      </c>
    </row>
    <row r="6" spans="1:10" x14ac:dyDescent="0.2">
      <c r="A6" s="34"/>
      <c r="B6" s="34"/>
      <c r="C6" s="34"/>
      <c r="D6" s="34"/>
      <c r="E6" s="34"/>
      <c r="F6" s="34"/>
      <c r="G6" s="34"/>
      <c r="H6" s="34"/>
      <c r="I6" s="34"/>
      <c r="J6" s="34"/>
    </row>
    <row r="7" spans="1:10" ht="13.5" thickBot="1" x14ac:dyDescent="0.25">
      <c r="A7" s="677"/>
      <c r="B7" s="677"/>
      <c r="C7" s="677"/>
      <c r="D7" s="677"/>
      <c r="E7" s="677"/>
      <c r="F7" s="677"/>
      <c r="G7" s="677"/>
      <c r="H7" s="677"/>
      <c r="I7" s="66"/>
      <c r="J7" s="66"/>
    </row>
    <row r="8" spans="1:10" ht="76.5" x14ac:dyDescent="0.2">
      <c r="B8" s="310"/>
      <c r="C8" s="310"/>
      <c r="D8" s="310"/>
      <c r="E8" s="310"/>
      <c r="F8" s="310"/>
      <c r="G8" s="310"/>
      <c r="H8" s="473" t="s">
        <v>1182</v>
      </c>
      <c r="I8" s="34"/>
      <c r="J8" s="473" t="s">
        <v>289</v>
      </c>
    </row>
    <row r="9" spans="1:10" x14ac:dyDescent="0.2">
      <c r="A9" s="32" t="s">
        <v>299</v>
      </c>
      <c r="B9" s="310"/>
      <c r="C9" s="310"/>
      <c r="D9" s="310"/>
      <c r="E9" s="310"/>
      <c r="F9" s="310"/>
      <c r="G9" s="310"/>
      <c r="H9" s="437"/>
      <c r="I9" s="34"/>
      <c r="J9" s="437"/>
    </row>
    <row r="10" spans="1:10" x14ac:dyDescent="0.2">
      <c r="A10" s="310" t="s">
        <v>300</v>
      </c>
      <c r="B10" s="352"/>
      <c r="C10" s="352"/>
      <c r="D10" s="310"/>
      <c r="E10" s="310"/>
      <c r="F10" s="310"/>
      <c r="G10" s="352"/>
      <c r="H10" s="764">
        <v>43000</v>
      </c>
      <c r="I10" s="34"/>
      <c r="J10" s="300"/>
    </row>
    <row r="11" spans="1:10" x14ac:dyDescent="0.2">
      <c r="A11" s="352" t="s">
        <v>301</v>
      </c>
      <c r="B11" s="352"/>
      <c r="C11" s="310"/>
      <c r="E11" s="310"/>
      <c r="F11" s="310"/>
      <c r="G11" s="310"/>
      <c r="H11" s="745"/>
      <c r="J11" s="49"/>
    </row>
    <row r="12" spans="1:10" x14ac:dyDescent="0.2">
      <c r="A12" s="352"/>
      <c r="B12" s="310" t="s">
        <v>302</v>
      </c>
      <c r="E12" s="310"/>
      <c r="F12" s="310"/>
      <c r="G12" s="310"/>
      <c r="H12" s="709">
        <v>2500</v>
      </c>
      <c r="J12" s="300"/>
    </row>
    <row r="13" spans="1:10" x14ac:dyDescent="0.2">
      <c r="A13" s="352"/>
      <c r="B13" s="310" t="s">
        <v>303</v>
      </c>
      <c r="E13" s="310"/>
      <c r="F13" s="310"/>
      <c r="G13" s="310"/>
      <c r="H13" s="709">
        <v>2318</v>
      </c>
      <c r="J13" s="300"/>
    </row>
    <row r="14" spans="1:10" x14ac:dyDescent="0.2">
      <c r="A14" s="352"/>
      <c r="B14" s="310" t="s">
        <v>304</v>
      </c>
      <c r="E14" s="310"/>
      <c r="F14" s="310"/>
      <c r="G14" s="310"/>
      <c r="H14" s="765">
        <v>-1771</v>
      </c>
      <c r="J14" s="325"/>
    </row>
    <row r="15" spans="1:10" x14ac:dyDescent="0.2">
      <c r="A15" s="352"/>
      <c r="B15" s="310"/>
      <c r="C15" s="310" t="s">
        <v>305</v>
      </c>
      <c r="F15" s="310"/>
      <c r="G15" s="310"/>
      <c r="H15" s="766">
        <f>SUM(H12:H14)</f>
        <v>3047</v>
      </c>
      <c r="J15" s="320"/>
    </row>
    <row r="16" spans="1:10" x14ac:dyDescent="0.2">
      <c r="A16" s="310"/>
      <c r="B16" s="352"/>
      <c r="C16" s="352"/>
      <c r="D16" s="310"/>
      <c r="E16" s="310"/>
      <c r="F16" s="310"/>
      <c r="G16" s="310"/>
      <c r="H16" s="709"/>
    </row>
    <row r="17" spans="1:11" x14ac:dyDescent="0.2">
      <c r="A17" s="26" t="s">
        <v>306</v>
      </c>
      <c r="C17" s="26"/>
      <c r="D17" s="310"/>
      <c r="E17" s="310"/>
      <c r="F17" s="310"/>
      <c r="G17" s="310"/>
      <c r="H17" s="709">
        <v>0</v>
      </c>
      <c r="J17" s="318">
        <f>+'Comb Custodial ChgNetPos'!F10</f>
        <v>27794100</v>
      </c>
    </row>
    <row r="18" spans="1:11" x14ac:dyDescent="0.2">
      <c r="A18" s="310" t="s">
        <v>307</v>
      </c>
      <c r="C18" s="310"/>
      <c r="D18" s="310"/>
      <c r="E18" s="310"/>
      <c r="F18" s="310"/>
      <c r="G18" s="310"/>
      <c r="H18" s="765">
        <v>0</v>
      </c>
      <c r="J18" s="325">
        <f>+'Comb Custodial ChgNetPos'!F11</f>
        <v>624369</v>
      </c>
    </row>
    <row r="19" spans="1:11" x14ac:dyDescent="0.2">
      <c r="A19" s="310"/>
      <c r="B19" s="310"/>
      <c r="C19" s="310"/>
      <c r="D19" s="330" t="s">
        <v>308</v>
      </c>
      <c r="E19" s="310"/>
      <c r="F19" s="310"/>
      <c r="G19" s="310"/>
      <c r="H19" s="767">
        <f>H10+H15+H17+H18</f>
        <v>46047</v>
      </c>
      <c r="J19" s="50">
        <f>J10+J15+J17+J18</f>
        <v>28418469</v>
      </c>
    </row>
    <row r="20" spans="1:11" x14ac:dyDescent="0.2">
      <c r="A20" s="413"/>
      <c r="B20" s="413"/>
      <c r="C20" s="413"/>
      <c r="D20" s="413"/>
      <c r="E20" s="310"/>
      <c r="F20" s="310"/>
      <c r="G20" s="310"/>
      <c r="H20" s="768"/>
    </row>
    <row r="21" spans="1:11" x14ac:dyDescent="0.2">
      <c r="A21" s="32" t="s">
        <v>309</v>
      </c>
      <c r="B21" s="413"/>
      <c r="C21" s="413"/>
      <c r="D21" s="413"/>
      <c r="E21" s="310"/>
      <c r="F21" s="310"/>
      <c r="G21" s="310"/>
      <c r="H21" s="768"/>
    </row>
    <row r="22" spans="1:11" x14ac:dyDescent="0.2">
      <c r="A22" s="413"/>
      <c r="B22" s="413" t="s">
        <v>310</v>
      </c>
      <c r="C22" s="413"/>
      <c r="D22" s="413"/>
      <c r="E22" s="310"/>
      <c r="F22" s="310"/>
      <c r="G22" s="310"/>
      <c r="H22" s="709">
        <v>50349</v>
      </c>
      <c r="J22" s="300">
        <v>0</v>
      </c>
      <c r="K22" s="37"/>
    </row>
    <row r="23" spans="1:11" x14ac:dyDescent="0.2">
      <c r="A23" s="413"/>
      <c r="B23" s="413" t="s">
        <v>311</v>
      </c>
      <c r="C23" s="413"/>
      <c r="D23" s="413"/>
      <c r="E23" s="310"/>
      <c r="F23" s="310"/>
      <c r="G23" s="310"/>
      <c r="H23" s="709">
        <v>0</v>
      </c>
      <c r="J23" s="300">
        <v>0</v>
      </c>
      <c r="K23" s="37"/>
    </row>
    <row r="24" spans="1:11" x14ac:dyDescent="0.2">
      <c r="A24" s="413"/>
      <c r="B24" s="413" t="s">
        <v>312</v>
      </c>
      <c r="C24" s="413"/>
      <c r="D24" s="413"/>
      <c r="E24" s="310"/>
      <c r="F24" s="310"/>
      <c r="G24" s="310"/>
      <c r="H24" s="709">
        <v>0</v>
      </c>
      <c r="J24" s="5">
        <f>+'Comb Custodial ChgNetPos'!F15</f>
        <v>27785433</v>
      </c>
      <c r="K24" s="37"/>
    </row>
    <row r="25" spans="1:11" x14ac:dyDescent="0.2">
      <c r="A25" s="413"/>
      <c r="B25" s="413" t="s">
        <v>313</v>
      </c>
      <c r="C25" s="413"/>
      <c r="D25" s="413"/>
      <c r="E25" s="310"/>
      <c r="F25" s="310"/>
      <c r="G25" s="310"/>
      <c r="H25" s="709">
        <v>0</v>
      </c>
      <c r="J25" s="418">
        <f>+'Comb Custodial ChgNetPos'!F16</f>
        <v>617557</v>
      </c>
      <c r="K25" s="37"/>
    </row>
    <row r="26" spans="1:11" x14ac:dyDescent="0.2">
      <c r="A26" s="413"/>
      <c r="B26" s="413"/>
      <c r="C26" s="413"/>
      <c r="D26" s="330" t="s">
        <v>314</v>
      </c>
      <c r="E26" s="310"/>
      <c r="F26" s="310"/>
      <c r="G26" s="310"/>
      <c r="H26" s="766">
        <f>SUM(H22:H25)</f>
        <v>50349</v>
      </c>
      <c r="J26" s="320">
        <f>SUM(J22:J25)</f>
        <v>28402990</v>
      </c>
    </row>
    <row r="27" spans="1:11" x14ac:dyDescent="0.2">
      <c r="A27" s="413"/>
      <c r="B27" s="413"/>
      <c r="C27" s="413"/>
      <c r="D27" s="413"/>
      <c r="E27" s="310"/>
      <c r="F27" s="310"/>
      <c r="G27" s="310"/>
      <c r="H27" s="768"/>
    </row>
    <row r="28" spans="1:11" x14ac:dyDescent="0.2">
      <c r="A28" s="413"/>
      <c r="B28" s="413"/>
      <c r="C28" s="413"/>
      <c r="D28" s="413" t="s">
        <v>315</v>
      </c>
      <c r="F28" s="310"/>
      <c r="G28" s="310"/>
      <c r="H28" s="768">
        <f>+H19-H26</f>
        <v>-4302</v>
      </c>
      <c r="J28" s="299">
        <f>+J19-J26</f>
        <v>15479</v>
      </c>
    </row>
    <row r="29" spans="1:11" x14ac:dyDescent="0.2">
      <c r="A29" s="413"/>
      <c r="B29" s="413"/>
      <c r="C29" s="413"/>
      <c r="D29" s="413"/>
      <c r="E29" s="310"/>
      <c r="F29" s="310"/>
      <c r="G29" s="310"/>
      <c r="H29" s="768"/>
    </row>
    <row r="30" spans="1:11" hidden="1" x14ac:dyDescent="0.2">
      <c r="A30" s="310" t="s">
        <v>316</v>
      </c>
      <c r="B30" s="413"/>
      <c r="C30" s="413"/>
      <c r="D30" s="413"/>
      <c r="E30" s="310"/>
      <c r="F30" s="310"/>
      <c r="G30" s="310"/>
      <c r="H30" s="768">
        <v>918540</v>
      </c>
      <c r="J30" s="300">
        <v>0</v>
      </c>
    </row>
    <row r="31" spans="1:11" hidden="1" x14ac:dyDescent="0.2">
      <c r="B31" s="310" t="s">
        <v>98</v>
      </c>
      <c r="C31" s="310"/>
      <c r="D31" s="352"/>
      <c r="E31" s="310"/>
      <c r="F31" s="310"/>
      <c r="G31" s="310"/>
      <c r="H31" s="709">
        <v>0</v>
      </c>
      <c r="J31" s="300">
        <v>36253</v>
      </c>
    </row>
    <row r="32" spans="1:11" x14ac:dyDescent="0.2">
      <c r="A32" s="310" t="s">
        <v>976</v>
      </c>
      <c r="B32" s="310"/>
      <c r="C32" s="310"/>
      <c r="D32" s="352"/>
      <c r="E32" s="310"/>
      <c r="F32" s="310"/>
      <c r="G32" s="310"/>
      <c r="H32" s="765">
        <f>SUM(H30:H31)</f>
        <v>918540</v>
      </c>
      <c r="J32" s="325">
        <f>+'Comb Custodial ChgNetPos'!F22</f>
        <v>4281587</v>
      </c>
    </row>
    <row r="33" spans="1:12" ht="12.75" customHeight="1" thickBot="1" x14ac:dyDescent="0.25">
      <c r="A33" s="310" t="s">
        <v>317</v>
      </c>
      <c r="B33" s="310"/>
      <c r="C33" s="310"/>
      <c r="D33" s="352"/>
      <c r="E33" s="310"/>
      <c r="F33" s="310"/>
      <c r="G33" s="352"/>
      <c r="H33" s="769">
        <f>+H28+H32</f>
        <v>914238</v>
      </c>
      <c r="I33" s="49"/>
      <c r="J33" s="487">
        <f>+J28+J32</f>
        <v>4297066</v>
      </c>
    </row>
    <row r="34" spans="1:12" ht="13.5" thickTop="1" x14ac:dyDescent="0.2">
      <c r="H34" s="770"/>
    </row>
    <row r="35" spans="1:12" x14ac:dyDescent="0.2">
      <c r="H35" s="770"/>
    </row>
    <row r="36" spans="1:12" x14ac:dyDescent="0.2">
      <c r="A36" t="str">
        <f>'GWNetPos 68 Exh 1'!A59</f>
        <v>The notes to the financial statements are an integral part of this statement.</v>
      </c>
      <c r="H36" s="770"/>
    </row>
    <row r="37" spans="1:12" x14ac:dyDescent="0.2">
      <c r="H37" s="770"/>
      <c r="K37" s="310"/>
      <c r="L37" s="310"/>
    </row>
    <row r="38" spans="1:12" x14ac:dyDescent="0.2">
      <c r="H38" s="770"/>
    </row>
    <row r="39" spans="1:12" x14ac:dyDescent="0.2">
      <c r="H39" s="310"/>
    </row>
    <row r="74" spans="5:5" x14ac:dyDescent="0.2">
      <c r="E74" s="434" t="s">
        <v>318</v>
      </c>
    </row>
  </sheetData>
  <customSheetViews>
    <customSheetView guid="{A8748736-0722-49EB-85B6-C9B52DDCFE0E}" showPageBreaks="1" printArea="1" topLeftCell="A13">
      <selection activeCell="Q42" sqref="Q42"/>
      <pageMargins left="0.75" right="0.75" top="1" bottom="1" header="0.5" footer="0.5"/>
      <printOptions horizontalCentered="1"/>
      <pageSetup scale="86" firstPageNumber="32" fitToHeight="0" orientation="portrait" useFirstPageNumber="1" r:id="rId1"/>
      <headerFooter alignWithMargins="0"/>
    </customSheetView>
  </customSheetViews>
  <mergeCells count="4">
    <mergeCell ref="A1:J1"/>
    <mergeCell ref="A2:J2"/>
    <mergeCell ref="A3:J3"/>
    <mergeCell ref="A4:J4"/>
  </mergeCells>
  <printOptions horizontalCentered="1"/>
  <pageMargins left="0.75" right="0.75" top="1" bottom="1" header="0.5" footer="0.5"/>
  <pageSetup scale="86" firstPageNumber="32" fitToHeight="0" orientation="portrait" useFirstPageNumber="1"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39997558519241921"/>
    <pageSetUpPr fitToPage="1"/>
  </sheetPr>
  <dimension ref="A1:V30"/>
  <sheetViews>
    <sheetView workbookViewId="0">
      <selection activeCell="A24" sqref="A24:P24"/>
    </sheetView>
  </sheetViews>
  <sheetFormatPr defaultColWidth="8.85546875" defaultRowHeight="12.75" x14ac:dyDescent="0.2"/>
  <cols>
    <col min="1" max="1" width="39.85546875" style="30" customWidth="1"/>
    <col min="2" max="2" width="12.140625" style="30" customWidth="1"/>
    <col min="3" max="3" width="1.28515625" style="30" customWidth="1"/>
    <col min="4" max="4" width="12.140625" style="30" customWidth="1"/>
    <col min="5" max="5" width="1.28515625" style="30" customWidth="1"/>
    <col min="6" max="6" width="12.140625" style="30" customWidth="1"/>
    <col min="7" max="7" width="1.28515625" style="30" customWidth="1"/>
    <col min="8" max="8" width="12.140625" style="30" customWidth="1"/>
    <col min="9" max="9" width="1.28515625" style="30" customWidth="1"/>
    <col min="10" max="10" width="12.140625" style="30" customWidth="1"/>
    <col min="11" max="11" width="1.28515625" style="30" customWidth="1"/>
    <col min="12" max="12" width="12.140625" style="30" customWidth="1"/>
    <col min="13" max="13" width="1.28515625" style="30" customWidth="1"/>
    <col min="14" max="14" width="12.140625" style="30" customWidth="1"/>
    <col min="15" max="15" width="1.28515625" style="30" customWidth="1"/>
    <col min="16" max="16" width="12.140625" style="30" customWidth="1"/>
    <col min="17" max="17" width="1.28515625" style="30" customWidth="1"/>
    <col min="18" max="18" width="12.140625" style="30" customWidth="1"/>
    <col min="19" max="19" width="1.28515625" style="30" customWidth="1"/>
    <col min="20" max="20" width="12.140625" style="30" customWidth="1"/>
    <col min="21" max="16384" width="8.85546875" style="30"/>
  </cols>
  <sheetData>
    <row r="1" spans="1:22" x14ac:dyDescent="0.2">
      <c r="A1" s="1050" t="s">
        <v>0</v>
      </c>
      <c r="B1" s="1050"/>
      <c r="C1" s="1050"/>
      <c r="D1" s="1050"/>
      <c r="E1" s="1050"/>
      <c r="F1" s="1050"/>
      <c r="G1" s="1050"/>
      <c r="H1" s="1050"/>
      <c r="I1" s="1050"/>
      <c r="J1" s="1050"/>
      <c r="K1" s="1050"/>
      <c r="L1" s="1050"/>
      <c r="M1" s="1050"/>
      <c r="N1" s="1050"/>
      <c r="O1" s="1050"/>
      <c r="P1" s="1050"/>
      <c r="Q1" s="1050"/>
      <c r="R1" s="1050"/>
      <c r="S1" s="1050"/>
      <c r="T1" s="1050"/>
    </row>
    <row r="2" spans="1:22" ht="12.75" customHeight="1" x14ac:dyDescent="0.2">
      <c r="A2" s="1050" t="s">
        <v>319</v>
      </c>
      <c r="B2" s="1050"/>
      <c r="C2" s="1050"/>
      <c r="D2" s="1050"/>
      <c r="E2" s="1050"/>
      <c r="F2" s="1050"/>
      <c r="G2" s="1050"/>
      <c r="H2" s="1050"/>
      <c r="I2" s="1050"/>
      <c r="J2" s="1050"/>
      <c r="K2" s="1050"/>
      <c r="L2" s="1050"/>
      <c r="M2" s="1050"/>
      <c r="N2" s="1050"/>
      <c r="O2" s="1050"/>
      <c r="P2" s="1050"/>
      <c r="Q2" s="1050"/>
      <c r="R2" s="1050"/>
      <c r="S2" s="1050"/>
      <c r="T2" s="1050"/>
    </row>
    <row r="3" spans="1:22" ht="12.75" customHeight="1" x14ac:dyDescent="0.2">
      <c r="A3" s="1050" t="s">
        <v>320</v>
      </c>
      <c r="B3" s="1050"/>
      <c r="C3" s="1050"/>
      <c r="D3" s="1050"/>
      <c r="E3" s="1050"/>
      <c r="F3" s="1050"/>
      <c r="G3" s="1050"/>
      <c r="H3" s="1050"/>
      <c r="I3" s="1050"/>
      <c r="J3" s="1050"/>
      <c r="K3" s="1050"/>
      <c r="L3" s="1050"/>
      <c r="M3" s="1050"/>
      <c r="N3" s="1050"/>
      <c r="O3" s="1050"/>
      <c r="P3" s="1050"/>
      <c r="Q3" s="1050"/>
      <c r="R3" s="1050"/>
      <c r="S3" s="1050"/>
      <c r="T3" s="1050"/>
    </row>
    <row r="4" spans="1:22" x14ac:dyDescent="0.2">
      <c r="A4" s="1046"/>
      <c r="B4" s="1046"/>
      <c r="C4" s="1046"/>
      <c r="D4" s="1046"/>
      <c r="E4" s="1046"/>
      <c r="F4" s="1046"/>
      <c r="G4" s="1046"/>
      <c r="H4" s="1046"/>
      <c r="I4" s="1046"/>
      <c r="J4" s="1046"/>
      <c r="K4" s="1046"/>
      <c r="L4" s="1046"/>
      <c r="M4" s="1046"/>
      <c r="N4" s="1046"/>
      <c r="O4" s="1046"/>
      <c r="P4" s="310"/>
    </row>
    <row r="6" spans="1:22" x14ac:dyDescent="0.2">
      <c r="A6" s="310"/>
      <c r="B6" s="310"/>
      <c r="C6" s="310"/>
      <c r="D6" s="310"/>
      <c r="E6" s="310"/>
      <c r="F6" s="310"/>
      <c r="G6" s="310"/>
      <c r="H6" s="310"/>
      <c r="I6" s="310"/>
      <c r="J6" s="310"/>
      <c r="K6" s="310"/>
      <c r="L6" s="310"/>
      <c r="M6" s="310"/>
      <c r="N6" s="310"/>
      <c r="O6" s="310"/>
      <c r="P6" s="310"/>
    </row>
    <row r="7" spans="1:22" x14ac:dyDescent="0.2">
      <c r="A7" s="310"/>
      <c r="B7" s="891">
        <v>2025</v>
      </c>
      <c r="C7" s="310"/>
      <c r="D7" s="891">
        <v>2024</v>
      </c>
      <c r="E7" s="310"/>
      <c r="F7" s="891">
        <v>2023</v>
      </c>
      <c r="G7" s="310"/>
      <c r="H7" s="891">
        <v>2022</v>
      </c>
      <c r="I7" s="386"/>
      <c r="J7" s="891">
        <v>2021</v>
      </c>
      <c r="K7" s="310"/>
      <c r="L7" s="891">
        <v>2020</v>
      </c>
      <c r="M7" s="310"/>
      <c r="N7" s="891">
        <v>2019</v>
      </c>
      <c r="O7" s="277"/>
      <c r="P7" s="891">
        <v>2018</v>
      </c>
      <c r="R7" s="891">
        <v>2017</v>
      </c>
      <c r="T7" s="276">
        <v>2016</v>
      </c>
    </row>
    <row r="8" spans="1:22" ht="25.5" x14ac:dyDescent="0.2">
      <c r="A8" s="268" t="s">
        <v>321</v>
      </c>
      <c r="B8" s="605">
        <v>2.6327999999999998E-3</v>
      </c>
      <c r="C8" s="268"/>
      <c r="D8" s="269">
        <v>2.66E-3</v>
      </c>
      <c r="E8" s="269"/>
      <c r="F8" s="269">
        <v>2.3600000000000001E-3</v>
      </c>
      <c r="G8" s="268"/>
      <c r="H8" s="269">
        <v>2.33E-3</v>
      </c>
      <c r="I8" s="268"/>
      <c r="J8" s="488">
        <f>L8-0.004%</f>
        <v>2.2399999999999998E-3</v>
      </c>
      <c r="K8" s="310"/>
      <c r="L8" s="269">
        <v>2.2799999999999999E-3</v>
      </c>
      <c r="M8" s="489"/>
      <c r="N8" s="269">
        <v>2.1800000000000001E-3</v>
      </c>
      <c r="O8" s="310"/>
      <c r="P8" s="269">
        <v>2.1900000000000001E-3</v>
      </c>
      <c r="R8" s="599">
        <v>2.2100000000000002E-3</v>
      </c>
      <c r="T8" s="873">
        <v>2.2000000000000001E-3</v>
      </c>
    </row>
    <row r="9" spans="1:22" ht="25.5" x14ac:dyDescent="0.2">
      <c r="A9" s="268" t="s">
        <v>322</v>
      </c>
      <c r="B9" s="270">
        <v>6245902</v>
      </c>
      <c r="C9" s="268"/>
      <c r="D9" s="270">
        <v>4060841</v>
      </c>
      <c r="E9" s="270"/>
      <c r="F9" s="270">
        <v>5005952</v>
      </c>
      <c r="G9" s="268"/>
      <c r="H9" s="270">
        <v>1046857</v>
      </c>
      <c r="I9" s="268"/>
      <c r="J9" s="332">
        <f>L9+2200000</f>
        <v>854848</v>
      </c>
      <c r="K9" s="310"/>
      <c r="L9" s="270">
        <v>-1345152</v>
      </c>
      <c r="M9" s="313"/>
      <c r="N9" s="270">
        <v>2624121</v>
      </c>
      <c r="O9" s="310"/>
      <c r="P9" s="270">
        <v>2745211</v>
      </c>
      <c r="R9" s="600">
        <v>2486371</v>
      </c>
      <c r="T9" s="871">
        <v>2375260</v>
      </c>
    </row>
    <row r="10" spans="1:22" x14ac:dyDescent="0.2">
      <c r="A10" s="268" t="s">
        <v>323</v>
      </c>
      <c r="B10" s="445">
        <f>+'RSI - LGERS 2'!D12</f>
        <v>12184890</v>
      </c>
      <c r="C10" s="268"/>
      <c r="D10" s="445">
        <f>+'RSI - LGERS 2'!F12</f>
        <v>12136400</v>
      </c>
      <c r="E10" s="445"/>
      <c r="F10" s="446">
        <f>+'RSI - LGERS 2'!H12</f>
        <v>12087912</v>
      </c>
      <c r="G10" s="268"/>
      <c r="H10" s="446">
        <f>+'RSI - LGERS 2'!J12</f>
        <v>12200000</v>
      </c>
      <c r="I10" s="268"/>
      <c r="J10" s="332">
        <f>+'RSI - LGERS 2'!L12</f>
        <v>12193883.149999999</v>
      </c>
      <c r="K10" s="310"/>
      <c r="L10" s="446">
        <f>+'RSI - LGERS 2'!N12</f>
        <v>12165383.149999999</v>
      </c>
      <c r="M10" s="317"/>
      <c r="N10" s="446">
        <f>+'RSI - LGERS 2'!P12</f>
        <v>11522166.57</v>
      </c>
      <c r="O10" s="310"/>
      <c r="P10" s="446">
        <f>+'RSI - LGERS 2'!R12</f>
        <v>11347269</v>
      </c>
      <c r="R10" s="600">
        <f>+'RSI - LGERS 2'!T12</f>
        <v>11121113</v>
      </c>
      <c r="T10" s="871">
        <v>11130864</v>
      </c>
    </row>
    <row r="11" spans="1:22" ht="38.25" x14ac:dyDescent="0.2">
      <c r="A11" s="268" t="s">
        <v>324</v>
      </c>
      <c r="B11" s="490">
        <f>B9/B10</f>
        <v>0.51259404065198788</v>
      </c>
      <c r="C11" s="268"/>
      <c r="D11" s="490">
        <f>D9/D10</f>
        <v>0.33460012853894072</v>
      </c>
      <c r="E11" s="490"/>
      <c r="F11" s="490">
        <f>F9/F10</f>
        <v>0.41412875937548188</v>
      </c>
      <c r="G11" s="268"/>
      <c r="H11" s="490">
        <f>H9/H10</f>
        <v>8.580795081967213E-2</v>
      </c>
      <c r="I11" s="268"/>
      <c r="J11" s="490">
        <f>J9/J10</f>
        <v>7.0104657350271563E-2</v>
      </c>
      <c r="K11" s="310"/>
      <c r="L11" s="490">
        <f>L9/L10</f>
        <v>-0.11057210310716767</v>
      </c>
      <c r="M11" s="489"/>
      <c r="N11" s="272">
        <f>N9/N10</f>
        <v>0.22774544909221878</v>
      </c>
      <c r="O11" s="310"/>
      <c r="P11" s="272">
        <f>P9/P10</f>
        <v>0.24192702226412363</v>
      </c>
      <c r="R11" s="272">
        <f>R9/R10</f>
        <v>0.22357213706937426</v>
      </c>
      <c r="T11" s="864">
        <f>T9/T10</f>
        <v>0.21339403661746295</v>
      </c>
      <c r="V11" s="862"/>
    </row>
    <row r="12" spans="1:22" ht="25.5" x14ac:dyDescent="0.2">
      <c r="A12" s="268" t="s">
        <v>325</v>
      </c>
      <c r="B12" s="863">
        <v>0.86899999999999999</v>
      </c>
      <c r="C12" s="268"/>
      <c r="D12" s="863">
        <v>0.88200000000000001</v>
      </c>
      <c r="E12" s="308"/>
      <c r="F12" s="864">
        <v>0.90700000000000003</v>
      </c>
      <c r="G12" s="268"/>
      <c r="H12" s="864">
        <v>0.878</v>
      </c>
      <c r="I12" s="268"/>
      <c r="J12" s="865">
        <v>0.89400000000000002</v>
      </c>
      <c r="K12" s="310"/>
      <c r="L12" s="864">
        <v>0.9002</v>
      </c>
      <c r="M12" s="489"/>
      <c r="N12" s="864">
        <v>0.91979999999999995</v>
      </c>
      <c r="O12" s="310"/>
      <c r="P12" s="864">
        <v>0.94179999999999997</v>
      </c>
      <c r="R12" s="866">
        <v>0.91469999999999996</v>
      </c>
      <c r="T12" s="866">
        <v>0.98089999999999999</v>
      </c>
    </row>
    <row r="15" spans="1:22" x14ac:dyDescent="0.2">
      <c r="B15" s="273"/>
      <c r="C15" s="273"/>
      <c r="D15" s="273"/>
      <c r="E15" s="273"/>
      <c r="F15" s="273"/>
      <c r="G15" s="273"/>
      <c r="H15" s="273"/>
      <c r="I15" s="273"/>
      <c r="J15" s="273"/>
      <c r="K15" s="273"/>
      <c r="L15" s="310"/>
      <c r="M15" s="310"/>
      <c r="N15" s="310"/>
      <c r="O15" s="305"/>
      <c r="P15" s="310"/>
    </row>
    <row r="16" spans="1:22" x14ac:dyDescent="0.2">
      <c r="A16" s="656" t="s">
        <v>982</v>
      </c>
      <c r="B16" s="273"/>
      <c r="C16" s="273"/>
      <c r="D16" s="273"/>
      <c r="E16" s="273"/>
      <c r="F16" s="273"/>
      <c r="G16" s="273"/>
      <c r="H16" s="273"/>
      <c r="I16" s="273"/>
      <c r="J16" s="273"/>
      <c r="K16" s="273"/>
      <c r="L16" s="310"/>
      <c r="M16" s="310"/>
      <c r="N16" s="310"/>
      <c r="O16" s="305"/>
      <c r="P16" s="310"/>
    </row>
    <row r="17" spans="1:16" x14ac:dyDescent="0.2">
      <c r="A17" s="657" t="s">
        <v>981</v>
      </c>
      <c r="B17" s="273"/>
      <c r="C17" s="273"/>
      <c r="D17" s="273"/>
      <c r="E17" s="273"/>
      <c r="F17" s="273"/>
      <c r="G17" s="273"/>
      <c r="H17" s="273"/>
      <c r="I17" s="273"/>
      <c r="J17" s="273"/>
      <c r="K17" s="273"/>
      <c r="L17" s="310"/>
      <c r="M17" s="310"/>
      <c r="N17" s="310"/>
      <c r="O17" s="305"/>
      <c r="P17" s="310"/>
    </row>
    <row r="18" spans="1:16" ht="12.75" customHeight="1" x14ac:dyDescent="0.2">
      <c r="A18" s="919" t="s">
        <v>1139</v>
      </c>
      <c r="B18" s="914"/>
      <c r="C18" s="273"/>
      <c r="D18" s="273"/>
      <c r="E18" s="273"/>
      <c r="F18" s="273"/>
      <c r="G18" s="273"/>
      <c r="H18" s="273"/>
      <c r="I18" s="273"/>
      <c r="J18" s="273"/>
      <c r="K18" s="273"/>
      <c r="L18" s="310"/>
      <c r="M18" s="310"/>
      <c r="N18" s="310"/>
      <c r="O18" s="305"/>
      <c r="P18" s="310"/>
    </row>
    <row r="19" spans="1:16" x14ac:dyDescent="0.2">
      <c r="A19" s="657"/>
      <c r="B19" s="273"/>
      <c r="C19" s="273"/>
      <c r="D19" s="273"/>
      <c r="E19" s="273"/>
      <c r="F19" s="273"/>
      <c r="G19" s="273"/>
      <c r="H19" s="273"/>
      <c r="I19" s="273"/>
      <c r="J19" s="273"/>
      <c r="K19" s="273"/>
      <c r="L19" s="310"/>
      <c r="M19" s="310"/>
      <c r="N19" s="310"/>
      <c r="O19" s="305"/>
      <c r="P19" s="310"/>
    </row>
    <row r="20" spans="1:16" x14ac:dyDescent="0.2">
      <c r="A20" s="657"/>
      <c r="B20" s="273"/>
      <c r="C20" s="273"/>
      <c r="D20" s="273"/>
      <c r="E20" s="273"/>
      <c r="F20" s="273"/>
      <c r="G20" s="273"/>
      <c r="H20" s="273"/>
      <c r="I20" s="273"/>
      <c r="J20" s="273"/>
      <c r="K20" s="273"/>
      <c r="L20" s="310"/>
      <c r="M20" s="310"/>
      <c r="N20" s="310"/>
      <c r="O20" s="305"/>
      <c r="P20" s="310"/>
    </row>
    <row r="21" spans="1:16" ht="12.75" customHeight="1" thickBot="1" x14ac:dyDescent="0.25"/>
    <row r="22" spans="1:16" ht="15.75" thickBot="1" x14ac:dyDescent="0.25">
      <c r="A22" s="1047" t="s">
        <v>326</v>
      </c>
      <c r="B22" s="1048"/>
      <c r="C22" s="1048"/>
      <c r="D22" s="1048"/>
      <c r="E22" s="1048"/>
      <c r="F22" s="1048"/>
      <c r="G22" s="1048"/>
      <c r="H22" s="1048"/>
      <c r="I22" s="1048"/>
      <c r="J22" s="1048"/>
      <c r="K22" s="1048"/>
      <c r="L22" s="1048"/>
      <c r="M22" s="1048"/>
      <c r="N22" s="1048"/>
      <c r="O22" s="1048"/>
      <c r="P22" s="1049"/>
    </row>
    <row r="23" spans="1:16" ht="13.5" thickBot="1" x14ac:dyDescent="0.25"/>
    <row r="24" spans="1:16" ht="120.75" customHeight="1" thickBot="1" x14ac:dyDescent="0.25">
      <c r="A24" s="1043" t="s">
        <v>1197</v>
      </c>
      <c r="B24" s="1044"/>
      <c r="C24" s="1044"/>
      <c r="D24" s="1044"/>
      <c r="E24" s="1044"/>
      <c r="F24" s="1044"/>
      <c r="G24" s="1044"/>
      <c r="H24" s="1044"/>
      <c r="I24" s="1044"/>
      <c r="J24" s="1044"/>
      <c r="K24" s="1044"/>
      <c r="L24" s="1044"/>
      <c r="M24" s="1044"/>
      <c r="N24" s="1044"/>
      <c r="O24" s="1044"/>
      <c r="P24" s="1045"/>
    </row>
    <row r="25" spans="1:16" ht="15.75" customHeight="1" x14ac:dyDescent="0.2">
      <c r="A25"/>
      <c r="B25"/>
      <c r="C25"/>
      <c r="D25"/>
      <c r="E25"/>
      <c r="F25" s="49"/>
      <c r="G25"/>
      <c r="H25" s="49"/>
      <c r="I25"/>
      <c r="J25"/>
      <c r="K25"/>
      <c r="L25" s="49"/>
      <c r="M25"/>
      <c r="N25"/>
      <c r="O25"/>
      <c r="P25"/>
    </row>
    <row r="26" spans="1:16" x14ac:dyDescent="0.2">
      <c r="A26"/>
      <c r="B26"/>
      <c r="C26"/>
      <c r="D26"/>
      <c r="E26"/>
      <c r="F26"/>
      <c r="G26"/>
      <c r="H26"/>
      <c r="I26"/>
      <c r="J26"/>
      <c r="K26"/>
      <c r="L26" s="49"/>
      <c r="M26"/>
      <c r="N26"/>
      <c r="O26"/>
      <c r="P26"/>
    </row>
    <row r="27" spans="1:16" x14ac:dyDescent="0.2">
      <c r="A27"/>
      <c r="B27"/>
      <c r="C27"/>
      <c r="D27"/>
      <c r="E27"/>
      <c r="F27"/>
      <c r="G27"/>
      <c r="H27"/>
      <c r="I27"/>
      <c r="J27"/>
      <c r="K27"/>
      <c r="L27" s="412"/>
      <c r="M27"/>
      <c r="N27"/>
      <c r="O27"/>
      <c r="P27"/>
    </row>
    <row r="28" spans="1:16" x14ac:dyDescent="0.2">
      <c r="A28"/>
      <c r="B28"/>
      <c r="C28"/>
      <c r="D28"/>
      <c r="E28"/>
      <c r="F28"/>
      <c r="G28"/>
      <c r="H28"/>
      <c r="I28"/>
      <c r="J28"/>
      <c r="K28"/>
      <c r="L28" s="412"/>
      <c r="M28"/>
      <c r="N28"/>
      <c r="O28"/>
      <c r="P28"/>
    </row>
    <row r="29" spans="1:16" x14ac:dyDescent="0.2">
      <c r="A29"/>
      <c r="B29"/>
      <c r="C29"/>
      <c r="D29"/>
      <c r="E29"/>
      <c r="F29"/>
      <c r="G29"/>
      <c r="H29"/>
      <c r="I29"/>
      <c r="J29"/>
      <c r="K29"/>
      <c r="L29"/>
      <c r="M29"/>
      <c r="N29"/>
      <c r="O29" s="310"/>
      <c r="P29" s="310"/>
    </row>
    <row r="30" spans="1:16" x14ac:dyDescent="0.2">
      <c r="A30"/>
      <c r="B30"/>
      <c r="C30"/>
      <c r="D30"/>
      <c r="E30"/>
      <c r="F30"/>
      <c r="G30"/>
      <c r="H30"/>
      <c r="I30"/>
      <c r="J30"/>
      <c r="K30"/>
      <c r="L30"/>
      <c r="M30"/>
      <c r="N30"/>
      <c r="O30" s="310"/>
      <c r="P30" s="310"/>
    </row>
  </sheetData>
  <customSheetViews>
    <customSheetView guid="{E0C60316-4586-4AAF-92CB-FA82BB1EB755}">
      <selection sqref="A1:I1"/>
      <pageMargins left="0" right="0" top="0" bottom="0" header="0" footer="0"/>
      <pageSetup scale="70" orientation="portrait" r:id="rId1"/>
    </customSheetView>
    <customSheetView guid="{A8748736-0722-49EB-85B6-C9B52DDCFE0E}" showPageBreaks="1" fitToPage="1" printArea="1">
      <selection activeCell="A26" sqref="A26"/>
      <pageMargins left="0.7" right="0.7" top="0.75" bottom="0.75" header="0.3" footer="0.3"/>
      <pageSetup scale="55" orientation="portrait" r:id="rId2"/>
    </customSheetView>
  </customSheetViews>
  <mergeCells count="6">
    <mergeCell ref="A24:P24"/>
    <mergeCell ref="A4:O4"/>
    <mergeCell ref="A22:P22"/>
    <mergeCell ref="A1:T1"/>
    <mergeCell ref="A2:T2"/>
    <mergeCell ref="A3:T3"/>
  </mergeCells>
  <pageMargins left="0.7" right="0.7" top="0.75" bottom="0.75" header="0.3" footer="0.3"/>
  <pageSetup scale="50"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39997558519241921"/>
    <pageSetUpPr fitToPage="1"/>
  </sheetPr>
  <dimension ref="A1:T43"/>
  <sheetViews>
    <sheetView workbookViewId="0">
      <selection activeCell="A5" sqref="A5"/>
    </sheetView>
  </sheetViews>
  <sheetFormatPr defaultColWidth="8.85546875" defaultRowHeight="12.75" x14ac:dyDescent="0.2"/>
  <cols>
    <col min="1" max="1" width="40.5703125" style="30" customWidth="1"/>
    <col min="2" max="2" width="12.140625" style="30" customWidth="1"/>
    <col min="3" max="3" width="1.28515625" style="30" customWidth="1"/>
    <col min="4" max="4" width="12.140625" style="30" customWidth="1"/>
    <col min="5" max="5" width="1.28515625" style="30" customWidth="1"/>
    <col min="6" max="6" width="12.140625" style="30" customWidth="1"/>
    <col min="7" max="7" width="1.28515625" style="30" customWidth="1"/>
    <col min="8" max="8" width="12.140625" style="30" customWidth="1"/>
    <col min="9" max="9" width="1.28515625" style="30" customWidth="1"/>
    <col min="10" max="10" width="12.140625" style="30" customWidth="1"/>
    <col min="11" max="11" width="1.28515625" style="30" customWidth="1"/>
    <col min="12" max="12" width="12.140625" style="30" customWidth="1"/>
    <col min="13" max="13" width="1.28515625" style="30" customWidth="1"/>
    <col min="14" max="14" width="12.140625" style="30" customWidth="1"/>
    <col min="15" max="15" width="1.28515625" style="30" customWidth="1"/>
    <col min="16" max="16" width="12.140625" style="30" customWidth="1"/>
    <col min="17" max="17" width="1.28515625" style="30" customWidth="1"/>
    <col min="18" max="18" width="12.140625" style="30" customWidth="1"/>
    <col min="19" max="19" width="1.28515625" style="30" customWidth="1"/>
    <col min="20" max="20" width="12.140625" style="30" customWidth="1"/>
    <col min="21" max="16384" width="8.85546875" style="30"/>
  </cols>
  <sheetData>
    <row r="1" spans="1:20" x14ac:dyDescent="0.2">
      <c r="A1" s="1056" t="s">
        <v>0</v>
      </c>
      <c r="B1" s="1056"/>
      <c r="C1" s="1056"/>
      <c r="D1" s="1056"/>
      <c r="E1" s="1056"/>
      <c r="F1" s="1056"/>
      <c r="G1" s="1056"/>
      <c r="H1" s="1056"/>
      <c r="I1" s="1056"/>
      <c r="J1" s="1056"/>
      <c r="K1" s="1056"/>
      <c r="L1" s="1056"/>
      <c r="M1" s="1056"/>
      <c r="N1" s="1056"/>
      <c r="O1" s="1056"/>
      <c r="P1" s="1056"/>
      <c r="Q1" s="1056"/>
      <c r="R1" s="1056"/>
      <c r="S1" s="1056"/>
      <c r="T1" s="1056"/>
    </row>
    <row r="2" spans="1:20" x14ac:dyDescent="0.2">
      <c r="A2" s="1057" t="s">
        <v>327</v>
      </c>
      <c r="B2" s="1057"/>
      <c r="C2" s="1057"/>
      <c r="D2" s="1057"/>
      <c r="E2" s="1057"/>
      <c r="F2" s="1057"/>
      <c r="G2" s="1057"/>
      <c r="H2" s="1057"/>
      <c r="I2" s="1057"/>
      <c r="J2" s="1057"/>
      <c r="K2" s="1057"/>
      <c r="L2" s="1057"/>
      <c r="M2" s="1057"/>
      <c r="N2" s="1057"/>
      <c r="O2" s="1057"/>
      <c r="P2" s="1057"/>
      <c r="Q2" s="1057"/>
      <c r="R2" s="1057"/>
      <c r="S2" s="1057"/>
      <c r="T2" s="1057"/>
    </row>
    <row r="3" spans="1:20" x14ac:dyDescent="0.2">
      <c r="A3" s="1057" t="s">
        <v>320</v>
      </c>
      <c r="B3" s="1057"/>
      <c r="C3" s="1057"/>
      <c r="D3" s="1057"/>
      <c r="E3" s="1057"/>
      <c r="F3" s="1057"/>
      <c r="G3" s="1057"/>
      <c r="H3" s="1057"/>
      <c r="I3" s="1057"/>
      <c r="J3" s="1057"/>
      <c r="K3" s="1057"/>
      <c r="L3" s="1057"/>
      <c r="M3" s="1057"/>
      <c r="N3" s="1057"/>
      <c r="O3" s="1057"/>
      <c r="P3" s="1057"/>
      <c r="Q3" s="1057"/>
      <c r="R3" s="1057"/>
      <c r="S3" s="1057"/>
      <c r="T3" s="1057"/>
    </row>
    <row r="4" spans="1:20" x14ac:dyDescent="0.2">
      <c r="A4" s="465"/>
      <c r="B4" s="465"/>
      <c r="C4" s="465"/>
      <c r="D4" s="465"/>
      <c r="E4" s="465"/>
      <c r="F4" s="465"/>
      <c r="G4" s="465"/>
      <c r="H4" s="465"/>
      <c r="I4" s="465"/>
      <c r="J4" s="465"/>
      <c r="K4" s="465"/>
      <c r="L4" s="465"/>
      <c r="M4" s="465"/>
      <c r="N4" s="465"/>
      <c r="O4" s="465"/>
      <c r="P4" s="465"/>
      <c r="Q4" s="310"/>
      <c r="R4" s="310"/>
    </row>
    <row r="5" spans="1:20" x14ac:dyDescent="0.2">
      <c r="A5" s="465"/>
      <c r="B5" s="465"/>
      <c r="C5" s="465"/>
      <c r="D5" s="465"/>
      <c r="E5" s="465"/>
      <c r="F5" s="465"/>
      <c r="G5" s="465"/>
      <c r="H5" s="465"/>
      <c r="I5" s="465"/>
      <c r="J5" s="465"/>
      <c r="K5" s="465"/>
      <c r="L5" s="465"/>
      <c r="M5" s="465"/>
      <c r="N5" s="465"/>
      <c r="O5" s="465"/>
      <c r="P5" s="465"/>
      <c r="Q5" s="310"/>
      <c r="R5" s="310"/>
    </row>
    <row r="6" spans="1:20" x14ac:dyDescent="0.2">
      <c r="A6" s="310"/>
      <c r="B6" s="310"/>
      <c r="C6" s="310"/>
      <c r="D6" s="310"/>
      <c r="E6" s="310"/>
      <c r="F6" s="310"/>
      <c r="G6" s="310"/>
      <c r="H6" s="310"/>
      <c r="I6" s="310"/>
      <c r="J6" s="310"/>
      <c r="K6" s="310"/>
      <c r="L6" s="310"/>
      <c r="M6" s="310"/>
      <c r="N6" s="310"/>
      <c r="O6" s="310"/>
      <c r="P6" s="310"/>
      <c r="Q6" s="310"/>
      <c r="R6" s="310"/>
    </row>
    <row r="7" spans="1:20" x14ac:dyDescent="0.2">
      <c r="A7" s="310"/>
      <c r="B7" s="891">
        <v>2025</v>
      </c>
      <c r="C7" s="310"/>
      <c r="D7" s="891">
        <v>2024</v>
      </c>
      <c r="E7" s="310"/>
      <c r="F7" s="891">
        <v>2023</v>
      </c>
      <c r="G7" s="310"/>
      <c r="H7" s="891">
        <v>2022</v>
      </c>
      <c r="I7" s="386"/>
      <c r="J7" s="891">
        <v>2021</v>
      </c>
      <c r="K7" s="310"/>
      <c r="L7" s="891">
        <v>2020</v>
      </c>
      <c r="M7" s="310"/>
      <c r="N7" s="891">
        <v>2019</v>
      </c>
      <c r="O7" s="465"/>
      <c r="P7" s="891">
        <v>2018</v>
      </c>
      <c r="Q7" s="310"/>
      <c r="R7" s="891">
        <v>2017</v>
      </c>
      <c r="T7" s="276">
        <v>2016</v>
      </c>
    </row>
    <row r="8" spans="1:20" x14ac:dyDescent="0.2">
      <c r="A8" s="273" t="s">
        <v>328</v>
      </c>
      <c r="B8" s="313">
        <v>1285342</v>
      </c>
      <c r="C8" s="273"/>
      <c r="D8" s="313">
        <v>1001000</v>
      </c>
      <c r="E8" s="387"/>
      <c r="F8" s="271">
        <v>910000</v>
      </c>
      <c r="G8" s="273"/>
      <c r="H8" s="271">
        <v>880000</v>
      </c>
      <c r="I8" s="273"/>
      <c r="J8" s="271">
        <v>875000</v>
      </c>
      <c r="K8" s="310"/>
      <c r="L8" s="271">
        <v>864942.40375199995</v>
      </c>
      <c r="M8" s="310"/>
      <c r="N8" s="271">
        <v>850000</v>
      </c>
      <c r="O8" s="310"/>
      <c r="P8" s="271">
        <v>838666</v>
      </c>
      <c r="Q8" s="310"/>
      <c r="R8" s="313">
        <v>819583</v>
      </c>
      <c r="T8" s="458">
        <v>808472</v>
      </c>
    </row>
    <row r="9" spans="1:20" ht="26.25" customHeight="1" x14ac:dyDescent="0.2">
      <c r="A9" s="278" t="s">
        <v>329</v>
      </c>
      <c r="B9" s="867">
        <v>1285342</v>
      </c>
      <c r="C9" s="268"/>
      <c r="D9" s="867">
        <v>1001000</v>
      </c>
      <c r="E9" s="868"/>
      <c r="F9" s="869">
        <v>910000</v>
      </c>
      <c r="G9" s="268"/>
      <c r="H9" s="869">
        <v>880000</v>
      </c>
      <c r="I9" s="268"/>
      <c r="J9" s="869">
        <v>875000</v>
      </c>
      <c r="K9" s="310"/>
      <c r="L9" s="869">
        <v>864942.40375199995</v>
      </c>
      <c r="M9" s="310"/>
      <c r="N9" s="869">
        <v>850000</v>
      </c>
      <c r="O9" s="310"/>
      <c r="P9" s="869">
        <v>838666</v>
      </c>
      <c r="Q9" s="310"/>
      <c r="R9" s="441">
        <v>819583</v>
      </c>
      <c r="T9" s="889">
        <v>808472</v>
      </c>
    </row>
    <row r="10" spans="1:20" ht="13.5" thickBot="1" x14ac:dyDescent="0.25">
      <c r="A10" s="273" t="s">
        <v>330</v>
      </c>
      <c r="B10" s="275">
        <f>B8-B9</f>
        <v>0</v>
      </c>
      <c r="C10" s="273"/>
      <c r="D10" s="275">
        <f>D8-D9</f>
        <v>0</v>
      </c>
      <c r="E10" s="387"/>
      <c r="F10" s="275">
        <f>F8-F9</f>
        <v>0</v>
      </c>
      <c r="G10" s="273"/>
      <c r="H10" s="275">
        <f>H8-H9</f>
        <v>0</v>
      </c>
      <c r="I10" s="273"/>
      <c r="J10" s="275">
        <f>J8-J9</f>
        <v>0</v>
      </c>
      <c r="K10" s="310"/>
      <c r="L10" s="275">
        <v>0</v>
      </c>
      <c r="M10" s="310"/>
      <c r="N10" s="275">
        <v>0</v>
      </c>
      <c r="O10" s="310"/>
      <c r="P10" s="275">
        <v>0</v>
      </c>
      <c r="Q10" s="310"/>
      <c r="R10" s="275">
        <v>0</v>
      </c>
      <c r="T10" s="275">
        <v>0</v>
      </c>
    </row>
    <row r="11" spans="1:20" ht="13.5" thickTop="1" x14ac:dyDescent="0.2">
      <c r="A11" s="273"/>
      <c r="B11" s="273"/>
      <c r="C11" s="273"/>
      <c r="D11" s="273"/>
      <c r="E11" s="273"/>
      <c r="F11" s="273"/>
      <c r="G11" s="273"/>
      <c r="H11" s="273"/>
      <c r="I11" s="273"/>
      <c r="J11" s="273"/>
      <c r="K11" s="310"/>
      <c r="L11" s="273"/>
      <c r="M11" s="310"/>
      <c r="N11" s="273"/>
      <c r="O11" s="310"/>
      <c r="P11" s="273"/>
      <c r="Q11" s="310"/>
      <c r="R11" s="310"/>
      <c r="T11" s="310"/>
    </row>
    <row r="12" spans="1:20" x14ac:dyDescent="0.2">
      <c r="A12" s="273" t="s">
        <v>323</v>
      </c>
      <c r="B12" s="49">
        <v>16066775</v>
      </c>
      <c r="C12" s="273"/>
      <c r="D12" s="445">
        <v>12184890</v>
      </c>
      <c r="E12" s="268"/>
      <c r="F12" s="445">
        <v>12136400</v>
      </c>
      <c r="G12" s="445"/>
      <c r="H12" s="446">
        <v>12087912</v>
      </c>
      <c r="I12" s="268"/>
      <c r="J12" s="446">
        <v>12200000</v>
      </c>
      <c r="K12" s="268"/>
      <c r="L12" s="332">
        <v>12193883.149999999</v>
      </c>
      <c r="M12" s="310"/>
      <c r="N12" s="446">
        <v>12165383.149999999</v>
      </c>
      <c r="O12" s="317"/>
      <c r="P12" s="446">
        <v>11522166.57</v>
      </c>
      <c r="Q12" s="310"/>
      <c r="R12" s="446">
        <v>11347269</v>
      </c>
      <c r="T12" s="875">
        <v>11121113</v>
      </c>
    </row>
    <row r="13" spans="1:20" x14ac:dyDescent="0.2">
      <c r="A13" s="273"/>
      <c r="B13" s="273"/>
      <c r="C13" s="273"/>
      <c r="D13" s="273"/>
      <c r="E13" s="273"/>
      <c r="F13" s="273"/>
      <c r="G13" s="273"/>
      <c r="H13" s="273"/>
      <c r="I13" s="273"/>
      <c r="J13" s="273"/>
      <c r="K13" s="310"/>
      <c r="L13" s="273"/>
      <c r="M13" s="310"/>
      <c r="N13" s="273"/>
      <c r="O13" s="310"/>
      <c r="P13" s="273"/>
      <c r="Q13" s="310"/>
      <c r="R13" s="310"/>
      <c r="T13" s="310"/>
    </row>
    <row r="14" spans="1:20" ht="12.75" customHeight="1" x14ac:dyDescent="0.2">
      <c r="A14" s="268" t="s">
        <v>331</v>
      </c>
      <c r="B14" s="272">
        <f>B9/B12</f>
        <v>0.08</v>
      </c>
      <c r="C14" s="268"/>
      <c r="D14" s="272">
        <f>D8/D12</f>
        <v>8.2150926270159186E-2</v>
      </c>
      <c r="E14" s="272"/>
      <c r="F14" s="272">
        <f>F9/F12</f>
        <v>7.4981048745921361E-2</v>
      </c>
      <c r="G14" s="268"/>
      <c r="H14" s="272">
        <f>H9/H12</f>
        <v>7.2800000529454553E-2</v>
      </c>
      <c r="I14" s="273"/>
      <c r="J14" s="272">
        <f>J9/J12</f>
        <v>7.1721311475409832E-2</v>
      </c>
      <c r="K14" s="310"/>
      <c r="L14" s="272">
        <f>L9/L12</f>
        <v>7.0932482549826634E-2</v>
      </c>
      <c r="M14" s="310"/>
      <c r="N14" s="272">
        <f>N9/N12</f>
        <v>6.9870384641358391E-2</v>
      </c>
      <c r="O14" s="310"/>
      <c r="P14" s="272">
        <f>P9/P12</f>
        <v>7.2787178948064801E-2</v>
      </c>
      <c r="Q14" s="310"/>
      <c r="R14" s="272">
        <f>R9/R12</f>
        <v>7.2227335053042283E-2</v>
      </c>
      <c r="T14" s="864">
        <f>T9/T12</f>
        <v>7.2697040305228444E-2</v>
      </c>
    </row>
    <row r="15" spans="1:20" x14ac:dyDescent="0.2">
      <c r="A15" s="268"/>
      <c r="B15" s="272"/>
      <c r="C15" s="268"/>
      <c r="D15" s="272"/>
      <c r="E15" s="272"/>
      <c r="F15" s="272"/>
      <c r="G15" s="268"/>
      <c r="H15" s="272"/>
      <c r="I15" s="273"/>
      <c r="J15" s="272"/>
      <c r="K15" s="310"/>
      <c r="L15" s="272"/>
      <c r="M15" s="310"/>
      <c r="N15" s="272"/>
      <c r="O15" s="310"/>
      <c r="P15" s="272"/>
      <c r="Q15" s="310"/>
      <c r="R15" s="272"/>
      <c r="T15" s="911"/>
    </row>
    <row r="16" spans="1:20" x14ac:dyDescent="0.2">
      <c r="A16" s="268"/>
      <c r="B16" s="272"/>
      <c r="C16" s="268"/>
      <c r="D16" s="272"/>
      <c r="E16" s="272"/>
      <c r="F16" s="272"/>
      <c r="G16" s="268"/>
      <c r="H16" s="272"/>
      <c r="I16" s="273"/>
      <c r="J16" s="272"/>
      <c r="K16" s="310"/>
      <c r="L16" s="272"/>
      <c r="M16" s="310"/>
      <c r="N16" s="272"/>
      <c r="O16" s="310"/>
      <c r="P16" s="272"/>
      <c r="Q16" s="310"/>
      <c r="R16" s="272"/>
      <c r="T16" s="911"/>
    </row>
    <row r="17" spans="1:20" x14ac:dyDescent="0.2">
      <c r="A17" s="268"/>
      <c r="B17" s="272"/>
      <c r="C17" s="268"/>
      <c r="D17" s="272"/>
      <c r="E17" s="272"/>
      <c r="F17" s="272"/>
      <c r="G17" s="268"/>
      <c r="H17" s="272"/>
      <c r="I17" s="273"/>
      <c r="J17" s="272"/>
      <c r="K17" s="310"/>
      <c r="L17" s="272"/>
      <c r="M17" s="310"/>
      <c r="N17" s="272"/>
      <c r="O17" s="310"/>
      <c r="P17" s="272"/>
      <c r="Q17" s="310"/>
      <c r="R17" s="272"/>
      <c r="T17" s="911"/>
    </row>
    <row r="18" spans="1:20" x14ac:dyDescent="0.2">
      <c r="A18" s="912" t="s">
        <v>1141</v>
      </c>
      <c r="B18" s="864"/>
      <c r="C18" s="913"/>
      <c r="D18" s="864"/>
      <c r="E18" s="864"/>
      <c r="F18" s="864"/>
      <c r="G18" s="913"/>
      <c r="H18" s="864"/>
      <c r="I18" s="914"/>
      <c r="J18" s="864"/>
      <c r="K18" s="576"/>
      <c r="L18" s="864"/>
      <c r="M18" s="576"/>
      <c r="N18" s="864"/>
      <c r="O18" s="576"/>
      <c r="P18" s="864"/>
      <c r="Q18" s="576"/>
      <c r="R18" s="864"/>
      <c r="S18" s="915"/>
      <c r="T18" s="864"/>
    </row>
    <row r="19" spans="1:20" x14ac:dyDescent="0.2">
      <c r="A19" s="1054" t="s">
        <v>1142</v>
      </c>
      <c r="B19" s="1054"/>
      <c r="C19" s="1054"/>
      <c r="D19" s="1054"/>
      <c r="E19" s="1054"/>
      <c r="F19" s="1054"/>
      <c r="G19" s="1054"/>
      <c r="H19" s="1054"/>
      <c r="I19" s="1054"/>
      <c r="J19" s="1054"/>
      <c r="K19" s="1054"/>
      <c r="L19" s="1054"/>
      <c r="M19" s="1054"/>
      <c r="N19" s="1054"/>
      <c r="O19" s="1054"/>
      <c r="P19" s="1054"/>
      <c r="Q19" s="1054"/>
      <c r="R19" s="1054"/>
      <c r="S19" s="1054"/>
      <c r="T19" s="1054"/>
    </row>
    <row r="20" spans="1:20" x14ac:dyDescent="0.2">
      <c r="A20" s="916" t="s">
        <v>1146</v>
      </c>
      <c r="B20" s="1055" t="s">
        <v>1145</v>
      </c>
      <c r="C20" s="1055"/>
      <c r="D20" s="1055"/>
      <c r="E20" s="1055"/>
      <c r="F20" s="1055"/>
      <c r="G20" s="1055"/>
      <c r="H20" s="1055"/>
      <c r="I20" s="1055"/>
      <c r="J20" s="1055"/>
      <c r="K20" s="1055"/>
      <c r="L20" s="1055"/>
      <c r="M20" s="576"/>
      <c r="N20" s="864"/>
      <c r="O20" s="576"/>
      <c r="P20" s="864"/>
      <c r="Q20" s="576"/>
      <c r="R20" s="864"/>
      <c r="S20" s="915"/>
      <c r="T20" s="864"/>
    </row>
    <row r="21" spans="1:20" x14ac:dyDescent="0.2">
      <c r="A21" s="916" t="s">
        <v>1144</v>
      </c>
      <c r="B21" s="1055" t="s">
        <v>1147</v>
      </c>
      <c r="C21" s="1055"/>
      <c r="D21" s="1055"/>
      <c r="E21" s="1055"/>
      <c r="F21" s="1055"/>
      <c r="G21" s="1055"/>
      <c r="H21" s="1055"/>
      <c r="I21" s="1055"/>
      <c r="J21" s="1055"/>
      <c r="K21" s="1055"/>
      <c r="L21" s="1055"/>
      <c r="M21" s="576"/>
      <c r="N21" s="864"/>
      <c r="O21" s="576"/>
      <c r="P21" s="864"/>
      <c r="Q21" s="576"/>
      <c r="R21" s="864"/>
      <c r="S21" s="915"/>
      <c r="T21" s="864"/>
    </row>
    <row r="22" spans="1:20" x14ac:dyDescent="0.2">
      <c r="A22" s="916"/>
      <c r="B22" s="917"/>
      <c r="C22" s="917"/>
      <c r="D22" s="917"/>
      <c r="E22" s="917"/>
      <c r="F22" s="917"/>
      <c r="G22" s="917"/>
      <c r="H22" s="917"/>
      <c r="I22" s="917"/>
      <c r="J22" s="917"/>
      <c r="K22" s="917"/>
      <c r="L22" s="917"/>
      <c r="M22" s="576"/>
      <c r="N22" s="864"/>
      <c r="O22" s="576"/>
      <c r="P22" s="864"/>
      <c r="Q22" s="576"/>
      <c r="R22" s="864"/>
      <c r="S22" s="915"/>
      <c r="T22" s="864"/>
    </row>
    <row r="23" spans="1:20" x14ac:dyDescent="0.2">
      <c r="A23" s="1054" t="s">
        <v>1148</v>
      </c>
      <c r="B23" s="1054"/>
      <c r="C23" s="1054"/>
      <c r="D23" s="1054"/>
      <c r="E23" s="1054"/>
      <c r="F23" s="1054"/>
      <c r="G23" s="1054"/>
      <c r="H23" s="1054"/>
      <c r="I23" s="1054"/>
      <c r="J23" s="1054"/>
      <c r="K23" s="1054"/>
      <c r="L23" s="1054"/>
      <c r="M23" s="1054"/>
      <c r="N23" s="1054"/>
      <c r="O23" s="1054"/>
      <c r="P23" s="1054"/>
      <c r="Q23" s="1054"/>
      <c r="R23" s="1054"/>
      <c r="S23" s="1054"/>
      <c r="T23" s="1054"/>
    </row>
    <row r="24" spans="1:20" x14ac:dyDescent="0.2">
      <c r="A24" s="916"/>
      <c r="B24" s="917"/>
      <c r="C24" s="917"/>
      <c r="D24" s="917"/>
      <c r="E24" s="917"/>
      <c r="F24" s="917"/>
      <c r="G24" s="917"/>
      <c r="H24" s="917"/>
      <c r="I24" s="917"/>
      <c r="J24" s="917"/>
      <c r="K24" s="917"/>
      <c r="L24" s="917"/>
      <c r="M24" s="576"/>
      <c r="N24" s="864"/>
      <c r="O24" s="576"/>
      <c r="P24" s="864"/>
      <c r="Q24" s="576"/>
      <c r="R24" s="864"/>
      <c r="S24" s="915"/>
      <c r="T24" s="864"/>
    </row>
    <row r="25" spans="1:20" x14ac:dyDescent="0.2">
      <c r="A25" s="1054" t="s">
        <v>1149</v>
      </c>
      <c r="B25" s="1054"/>
      <c r="C25" s="1054"/>
      <c r="D25" s="1054"/>
      <c r="E25" s="1054"/>
      <c r="F25" s="1054"/>
      <c r="G25" s="1054"/>
      <c r="H25" s="1054"/>
      <c r="I25" s="1054"/>
      <c r="J25" s="1054"/>
      <c r="K25" s="1054"/>
      <c r="L25" s="1054"/>
      <c r="M25" s="1054"/>
      <c r="N25" s="1054"/>
      <c r="O25" s="1054"/>
      <c r="P25" s="1054"/>
      <c r="Q25" s="1054"/>
      <c r="R25" s="1054"/>
      <c r="S25" s="1054"/>
      <c r="T25" s="1054"/>
    </row>
    <row r="26" spans="1:20" x14ac:dyDescent="0.2">
      <c r="A26" s="916" t="s">
        <v>1150</v>
      </c>
      <c r="B26" s="1055" t="s">
        <v>1155</v>
      </c>
      <c r="C26" s="1055"/>
      <c r="D26" s="1055"/>
      <c r="E26" s="1055"/>
      <c r="F26" s="1055"/>
      <c r="G26" s="1055"/>
      <c r="H26" s="1055"/>
      <c r="I26" s="1055"/>
      <c r="J26" s="1055"/>
      <c r="K26" s="1055"/>
      <c r="L26" s="1055"/>
      <c r="M26" s="576"/>
      <c r="N26" s="864"/>
      <c r="O26" s="576"/>
      <c r="P26" s="864"/>
      <c r="Q26" s="576"/>
      <c r="R26" s="864"/>
      <c r="S26" s="915"/>
      <c r="T26" s="864"/>
    </row>
    <row r="27" spans="1:20" x14ac:dyDescent="0.2">
      <c r="A27" s="916" t="s">
        <v>1151</v>
      </c>
      <c r="B27" s="1055" t="s">
        <v>1156</v>
      </c>
      <c r="C27" s="1055"/>
      <c r="D27" s="1055"/>
      <c r="E27" s="1055"/>
      <c r="F27" s="1055"/>
      <c r="G27" s="1055"/>
      <c r="H27" s="1055"/>
      <c r="I27" s="1055"/>
      <c r="J27" s="1055"/>
      <c r="K27" s="1055"/>
      <c r="L27" s="1055"/>
      <c r="M27" s="576"/>
      <c r="N27" s="864"/>
      <c r="O27" s="576"/>
      <c r="P27" s="864"/>
      <c r="Q27" s="576"/>
      <c r="R27" s="864"/>
      <c r="S27" s="915"/>
      <c r="T27" s="864"/>
    </row>
    <row r="28" spans="1:20" x14ac:dyDescent="0.2">
      <c r="A28" s="916" t="s">
        <v>1152</v>
      </c>
      <c r="B28" s="864"/>
      <c r="C28" s="913"/>
      <c r="D28" s="864"/>
      <c r="E28" s="864"/>
      <c r="F28" s="864"/>
      <c r="G28" s="913"/>
      <c r="H28" s="864"/>
      <c r="I28" s="914"/>
      <c r="J28" s="864"/>
      <c r="K28" s="576"/>
      <c r="L28" s="864"/>
      <c r="M28" s="576"/>
      <c r="N28" s="864"/>
      <c r="O28" s="576"/>
      <c r="P28" s="864"/>
      <c r="Q28" s="576"/>
      <c r="R28" s="864"/>
      <c r="S28" s="915"/>
      <c r="T28" s="864"/>
    </row>
    <row r="29" spans="1:20" x14ac:dyDescent="0.2">
      <c r="A29" s="918" t="s">
        <v>386</v>
      </c>
      <c r="B29" s="1055">
        <v>0.03</v>
      </c>
      <c r="C29" s="1055"/>
      <c r="D29" s="1055"/>
      <c r="E29" s="1055"/>
      <c r="F29" s="1055"/>
      <c r="G29" s="1055"/>
      <c r="H29" s="1055"/>
      <c r="I29" s="1055"/>
      <c r="J29" s="1055"/>
      <c r="K29" s="1055"/>
      <c r="L29" s="1055"/>
      <c r="M29" s="576"/>
      <c r="N29" s="864"/>
      <c r="O29" s="576"/>
      <c r="P29" s="864"/>
      <c r="Q29" s="576"/>
      <c r="R29" s="864"/>
      <c r="S29" s="915"/>
      <c r="T29" s="864"/>
    </row>
    <row r="30" spans="1:20" x14ac:dyDescent="0.2">
      <c r="A30" s="918" t="s">
        <v>1153</v>
      </c>
      <c r="B30" s="1055">
        <v>7.0000000000000007E-2</v>
      </c>
      <c r="C30" s="1055"/>
      <c r="D30" s="1055"/>
      <c r="E30" s="1055"/>
      <c r="F30" s="1055"/>
      <c r="G30" s="1055"/>
      <c r="H30" s="1055"/>
      <c r="I30" s="1055"/>
      <c r="J30" s="1055"/>
      <c r="K30" s="1055"/>
      <c r="L30" s="1055"/>
      <c r="M30" s="576"/>
      <c r="N30" s="864"/>
      <c r="O30" s="576"/>
      <c r="P30" s="864"/>
      <c r="Q30" s="576"/>
      <c r="R30" s="864"/>
      <c r="S30" s="915"/>
      <c r="T30" s="864"/>
    </row>
    <row r="31" spans="1:20" x14ac:dyDescent="0.2">
      <c r="A31" s="918" t="s">
        <v>1154</v>
      </c>
      <c r="B31" s="1055">
        <v>5.0000000000000001E-3</v>
      </c>
      <c r="C31" s="1055"/>
      <c r="D31" s="1055"/>
      <c r="E31" s="1055"/>
      <c r="F31" s="1055"/>
      <c r="G31" s="1055"/>
      <c r="H31" s="1055"/>
      <c r="I31" s="1055"/>
      <c r="J31" s="1055"/>
      <c r="K31" s="1055"/>
      <c r="L31" s="1055"/>
      <c r="M31" s="576"/>
      <c r="N31" s="864"/>
      <c r="O31" s="576"/>
      <c r="P31" s="864"/>
      <c r="Q31" s="576"/>
      <c r="R31" s="864"/>
      <c r="S31" s="915"/>
      <c r="T31" s="864"/>
    </row>
    <row r="32" spans="1:20" x14ac:dyDescent="0.2">
      <c r="A32" s="918" t="s">
        <v>1143</v>
      </c>
      <c r="B32" s="1055">
        <v>3.5000000000000003E-2</v>
      </c>
      <c r="C32" s="1055"/>
      <c r="D32" s="1055"/>
      <c r="E32" s="1055"/>
      <c r="F32" s="1055"/>
      <c r="G32" s="1055"/>
      <c r="H32" s="1055"/>
      <c r="I32" s="1055"/>
      <c r="J32" s="1055"/>
      <c r="K32" s="1055"/>
      <c r="L32" s="1055"/>
      <c r="M32" s="576"/>
      <c r="N32" s="864"/>
      <c r="O32" s="576"/>
      <c r="P32" s="864"/>
      <c r="Q32" s="576"/>
      <c r="R32" s="864"/>
      <c r="S32" s="915"/>
      <c r="T32" s="864"/>
    </row>
    <row r="33" spans="1:20" x14ac:dyDescent="0.2">
      <c r="A33" s="916" t="s">
        <v>1158</v>
      </c>
      <c r="B33" s="1055" t="s">
        <v>1157</v>
      </c>
      <c r="C33" s="1055"/>
      <c r="D33" s="1055"/>
      <c r="E33" s="1055"/>
      <c r="F33" s="1055"/>
      <c r="G33" s="1055"/>
      <c r="H33" s="1055"/>
      <c r="I33" s="1055"/>
      <c r="J33" s="1055"/>
      <c r="K33" s="1055"/>
      <c r="L33" s="1055"/>
      <c r="M33" s="576"/>
      <c r="N33" s="864"/>
      <c r="O33" s="576"/>
      <c r="P33" s="864"/>
      <c r="Q33" s="576"/>
      <c r="R33" s="864"/>
      <c r="S33" s="915"/>
      <c r="T33" s="864"/>
    </row>
    <row r="34" spans="1:20" x14ac:dyDescent="0.2">
      <c r="A34" s="913"/>
      <c r="B34" s="864"/>
      <c r="C34" s="913"/>
      <c r="D34" s="864"/>
      <c r="E34" s="864"/>
      <c r="F34" s="864"/>
      <c r="G34" s="913"/>
      <c r="H34" s="864"/>
      <c r="I34" s="914"/>
      <c r="J34" s="864"/>
      <c r="K34" s="576"/>
      <c r="L34" s="864"/>
      <c r="M34" s="576"/>
      <c r="N34" s="864"/>
      <c r="O34" s="576"/>
      <c r="P34" s="864"/>
      <c r="Q34" s="576"/>
      <c r="R34" s="864"/>
      <c r="S34" s="915"/>
      <c r="T34" s="864"/>
    </row>
    <row r="35" spans="1:20" x14ac:dyDescent="0.2">
      <c r="A35" s="268"/>
      <c r="B35" s="272"/>
      <c r="C35" s="268"/>
      <c r="D35" s="272"/>
      <c r="E35" s="272"/>
      <c r="F35" s="272"/>
      <c r="G35" s="268"/>
      <c r="H35" s="272"/>
      <c r="I35" s="273"/>
      <c r="J35" s="272"/>
      <c r="K35" s="310"/>
      <c r="L35" s="272"/>
      <c r="M35" s="310"/>
      <c r="N35" s="272"/>
      <c r="O35" s="310"/>
      <c r="P35" s="272"/>
      <c r="Q35" s="310"/>
      <c r="R35" s="272"/>
      <c r="T35" s="911"/>
    </row>
    <row r="36" spans="1:20" ht="13.5" thickBot="1" x14ac:dyDescent="0.25">
      <c r="A36" s="268"/>
      <c r="B36" s="272"/>
      <c r="C36" s="268"/>
      <c r="D36" s="272"/>
      <c r="E36" s="272"/>
      <c r="F36" s="272"/>
      <c r="G36" s="268"/>
      <c r="H36" s="272"/>
      <c r="I36" s="273"/>
      <c r="J36" s="272"/>
      <c r="K36" s="310"/>
      <c r="L36" s="272"/>
      <c r="M36" s="310"/>
      <c r="N36" s="272"/>
      <c r="O36" s="310"/>
      <c r="P36" s="272"/>
      <c r="Q36" s="310"/>
      <c r="R36" s="272"/>
      <c r="T36" s="911"/>
    </row>
    <row r="37" spans="1:20" ht="104.25" customHeight="1" thickBot="1" x14ac:dyDescent="0.25">
      <c r="A37" s="1043" t="s">
        <v>1164</v>
      </c>
      <c r="B37" s="1044"/>
      <c r="C37" s="1044"/>
      <c r="D37" s="1044"/>
      <c r="E37" s="1044"/>
      <c r="F37" s="1044"/>
      <c r="G37" s="1044"/>
      <c r="H37" s="1044"/>
      <c r="I37" s="1044"/>
      <c r="J37" s="1044"/>
      <c r="K37" s="1044"/>
      <c r="L37" s="1044"/>
      <c r="M37" s="1044"/>
      <c r="N37" s="1044"/>
      <c r="O37" s="1044"/>
      <c r="P37" s="1045"/>
      <c r="Q37" s="455"/>
      <c r="R37" s="455"/>
    </row>
    <row r="38" spans="1:20" ht="13.5" thickBot="1" x14ac:dyDescent="0.25">
      <c r="A38"/>
      <c r="B38"/>
      <c r="C38"/>
      <c r="D38" s="394"/>
      <c r="E38"/>
      <c r="F38" s="49"/>
      <c r="G38"/>
      <c r="H38"/>
      <c r="I38"/>
      <c r="J38"/>
      <c r="K38"/>
      <c r="L38"/>
      <c r="M38"/>
      <c r="N38"/>
      <c r="O38"/>
      <c r="P38"/>
      <c r="Q38" s="310"/>
      <c r="R38" s="310"/>
    </row>
    <row r="39" spans="1:20" ht="48.75" customHeight="1" thickBot="1" x14ac:dyDescent="0.25">
      <c r="A39" s="1051" t="s">
        <v>1140</v>
      </c>
      <c r="B39" s="1052"/>
      <c r="C39" s="1052"/>
      <c r="D39" s="1052"/>
      <c r="E39" s="1052"/>
      <c r="F39" s="1052"/>
      <c r="G39" s="1052"/>
      <c r="H39" s="1052"/>
      <c r="I39" s="1052"/>
      <c r="J39" s="1052"/>
      <c r="K39" s="1052"/>
      <c r="L39" s="1052"/>
      <c r="M39" s="1052"/>
      <c r="N39" s="1052"/>
      <c r="O39" s="1052"/>
      <c r="P39" s="1053"/>
      <c r="Q39" s="310"/>
      <c r="R39" s="310"/>
    </row>
    <row r="40" spans="1:20" x14ac:dyDescent="0.2">
      <c r="A40"/>
      <c r="B40"/>
      <c r="C40"/>
      <c r="D40" s="310"/>
      <c r="E40"/>
      <c r="F40"/>
      <c r="G40"/>
      <c r="H40"/>
      <c r="I40"/>
      <c r="J40"/>
      <c r="K40"/>
      <c r="L40"/>
      <c r="M40"/>
      <c r="N40"/>
      <c r="O40"/>
      <c r="P40"/>
      <c r="Q40" s="310"/>
      <c r="R40" s="310"/>
    </row>
    <row r="41" spans="1:20" x14ac:dyDescent="0.2">
      <c r="A41"/>
      <c r="B41"/>
      <c r="C41"/>
      <c r="D41"/>
      <c r="E41"/>
      <c r="F41"/>
      <c r="G41"/>
      <c r="H41"/>
      <c r="I41"/>
      <c r="J41"/>
      <c r="K41"/>
      <c r="L41"/>
      <c r="M41"/>
      <c r="N41"/>
      <c r="O41"/>
      <c r="P41"/>
      <c r="Q41" s="310"/>
      <c r="R41" s="310"/>
    </row>
    <row r="42" spans="1:20" x14ac:dyDescent="0.2">
      <c r="A42"/>
      <c r="B42"/>
      <c r="C42"/>
      <c r="D42"/>
      <c r="E42"/>
      <c r="F42"/>
      <c r="G42"/>
      <c r="H42"/>
      <c r="I42"/>
      <c r="J42"/>
      <c r="K42"/>
      <c r="L42"/>
      <c r="M42"/>
      <c r="N42"/>
      <c r="O42"/>
      <c r="P42" s="310"/>
      <c r="Q42" s="310"/>
      <c r="R42" s="310"/>
    </row>
    <row r="43" spans="1:20" x14ac:dyDescent="0.2">
      <c r="A43"/>
      <c r="B43"/>
      <c r="C43"/>
      <c r="D43"/>
      <c r="E43"/>
      <c r="F43"/>
      <c r="G43"/>
      <c r="H43"/>
      <c r="I43"/>
      <c r="J43"/>
      <c r="K43"/>
      <c r="L43"/>
      <c r="M43"/>
      <c r="N43"/>
      <c r="O43"/>
      <c r="P43" s="310"/>
      <c r="Q43" s="310"/>
      <c r="R43" s="310"/>
    </row>
  </sheetData>
  <customSheetViews>
    <customSheetView guid="{E0C60316-4586-4AAF-92CB-FA82BB1EB755}">
      <selection activeCell="B7" sqref="B7"/>
      <pageMargins left="0" right="0" top="0" bottom="0" header="0" footer="0"/>
      <pageSetup scale="82" orientation="portrait" r:id="rId1"/>
    </customSheetView>
    <customSheetView guid="{A8748736-0722-49EB-85B6-C9B52DDCFE0E}" showPageBreaks="1" fitToPage="1" printArea="1">
      <selection activeCell="A23" sqref="A23"/>
      <pageMargins left="0.7" right="0.7" top="0.75" bottom="0.75" header="0.3" footer="0.3"/>
      <pageSetup scale="55" orientation="portrait" r:id="rId2"/>
    </customSheetView>
  </customSheetViews>
  <mergeCells count="17">
    <mergeCell ref="A1:T1"/>
    <mergeCell ref="A2:T2"/>
    <mergeCell ref="A3:T3"/>
    <mergeCell ref="A39:P39"/>
    <mergeCell ref="A19:T19"/>
    <mergeCell ref="B20:L20"/>
    <mergeCell ref="B21:L21"/>
    <mergeCell ref="A25:T25"/>
    <mergeCell ref="A23:T23"/>
    <mergeCell ref="B26:L26"/>
    <mergeCell ref="B27:L27"/>
    <mergeCell ref="B29:L29"/>
    <mergeCell ref="B30:L30"/>
    <mergeCell ref="B31:L31"/>
    <mergeCell ref="B32:L32"/>
    <mergeCell ref="B33:L33"/>
    <mergeCell ref="A37:P37"/>
  </mergeCells>
  <pageMargins left="0.7" right="0.7" top="0.75" bottom="0.75" header="0.3" footer="0.3"/>
  <pageSetup scale="72"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39997558519241921"/>
    <pageSetUpPr fitToPage="1"/>
  </sheetPr>
  <dimension ref="A1:T29"/>
  <sheetViews>
    <sheetView workbookViewId="0">
      <selection activeCell="A5" sqref="A5"/>
    </sheetView>
  </sheetViews>
  <sheetFormatPr defaultColWidth="8.85546875" defaultRowHeight="12.75" x14ac:dyDescent="0.2"/>
  <cols>
    <col min="1" max="1" width="41.140625" style="30" customWidth="1"/>
    <col min="2" max="2" width="9.7109375" style="30" customWidth="1"/>
    <col min="3" max="3" width="1.28515625" style="30" customWidth="1"/>
    <col min="4" max="4" width="9.7109375" style="30" customWidth="1"/>
    <col min="5" max="5" width="1.28515625" style="30" customWidth="1"/>
    <col min="6" max="6" width="9.7109375" style="30" customWidth="1"/>
    <col min="7" max="7" width="1.28515625" style="30" customWidth="1"/>
    <col min="8" max="8" width="9.7109375" style="30" customWidth="1"/>
    <col min="9" max="9" width="1.28515625" style="30" customWidth="1"/>
    <col min="10" max="10" width="9.7109375" style="30" customWidth="1"/>
    <col min="11" max="11" width="1.28515625" style="30" customWidth="1"/>
    <col min="12" max="12" width="9.7109375" style="30" customWidth="1"/>
    <col min="13" max="13" width="1.28515625" style="30" customWidth="1"/>
    <col min="14" max="14" width="9.7109375" style="30" customWidth="1"/>
    <col min="15" max="15" width="1.28515625" style="30" customWidth="1"/>
    <col min="16" max="16" width="9.7109375" style="30" customWidth="1"/>
    <col min="17" max="17" width="1.28515625" style="30" customWidth="1"/>
    <col min="18" max="18" width="9.7109375" style="30" customWidth="1"/>
    <col min="19" max="19" width="1.28515625" style="30" customWidth="1"/>
    <col min="20" max="20" width="9.7109375" style="30" customWidth="1"/>
    <col min="21" max="16384" width="8.85546875" style="30"/>
  </cols>
  <sheetData>
    <row r="1" spans="1:20" ht="12.75" customHeight="1" x14ac:dyDescent="0.2">
      <c r="A1" s="1050" t="s">
        <v>9</v>
      </c>
      <c r="B1" s="1050"/>
      <c r="C1" s="1050"/>
      <c r="D1" s="1050"/>
      <c r="E1" s="1050"/>
      <c r="F1" s="1050"/>
      <c r="G1" s="1050"/>
      <c r="H1" s="1050"/>
      <c r="I1" s="1050"/>
      <c r="J1" s="1050"/>
      <c r="K1" s="1050"/>
      <c r="L1" s="1050"/>
      <c r="M1" s="1050"/>
      <c r="N1" s="1050"/>
      <c r="O1" s="1050"/>
      <c r="P1" s="1050"/>
      <c r="Q1" s="1050"/>
      <c r="R1" s="1050"/>
      <c r="S1" s="1050"/>
      <c r="T1" s="1050"/>
    </row>
    <row r="2" spans="1:20" ht="16.149999999999999" customHeight="1" x14ac:dyDescent="0.2">
      <c r="A2" s="1050" t="s">
        <v>332</v>
      </c>
      <c r="B2" s="1050"/>
      <c r="C2" s="1050"/>
      <c r="D2" s="1050"/>
      <c r="E2" s="1050"/>
      <c r="F2" s="1050"/>
      <c r="G2" s="1050"/>
      <c r="H2" s="1050"/>
      <c r="I2" s="1050"/>
      <c r="J2" s="1050"/>
      <c r="K2" s="1050"/>
      <c r="L2" s="1050"/>
      <c r="M2" s="1050"/>
      <c r="N2" s="1050"/>
      <c r="O2" s="1050"/>
      <c r="P2" s="1050"/>
      <c r="Q2" s="1050"/>
      <c r="R2" s="1050"/>
      <c r="S2" s="1050"/>
      <c r="T2" s="1050"/>
    </row>
    <row r="3" spans="1:20" ht="12.75" customHeight="1" x14ac:dyDescent="0.2">
      <c r="A3" s="1050" t="s">
        <v>320</v>
      </c>
      <c r="B3" s="1050"/>
      <c r="C3" s="1050"/>
      <c r="D3" s="1050"/>
      <c r="E3" s="1050"/>
      <c r="F3" s="1050"/>
      <c r="G3" s="1050"/>
      <c r="H3" s="1050"/>
      <c r="I3" s="1050"/>
      <c r="J3" s="1050"/>
      <c r="K3" s="1050"/>
      <c r="L3" s="1050"/>
      <c r="M3" s="1050"/>
      <c r="N3" s="1050"/>
      <c r="O3" s="1050"/>
      <c r="P3" s="1050"/>
      <c r="Q3" s="1050"/>
      <c r="R3" s="1050"/>
      <c r="S3" s="1050"/>
      <c r="T3" s="1050"/>
    </row>
    <row r="4" spans="1:20" x14ac:dyDescent="0.2">
      <c r="A4" s="1046"/>
      <c r="B4" s="1046"/>
      <c r="C4" s="1046"/>
      <c r="D4" s="1046"/>
      <c r="E4" s="1046"/>
      <c r="F4" s="1046"/>
      <c r="G4" s="1046"/>
      <c r="H4" s="1046"/>
      <c r="I4" s="1046"/>
      <c r="J4" s="1046"/>
      <c r="K4" s="1046"/>
      <c r="L4" s="1046"/>
      <c r="M4" s="1046"/>
      <c r="N4" s="1046"/>
      <c r="O4" s="1046"/>
      <c r="P4" s="310"/>
    </row>
    <row r="6" spans="1:20" x14ac:dyDescent="0.2">
      <c r="A6" s="310"/>
      <c r="B6" s="310"/>
      <c r="C6" s="310"/>
      <c r="D6" s="310"/>
      <c r="E6" s="310"/>
      <c r="F6" s="310"/>
      <c r="G6" s="310"/>
      <c r="H6" s="310"/>
      <c r="I6" s="310"/>
      <c r="J6" s="310"/>
      <c r="K6" s="310"/>
      <c r="L6" s="310"/>
      <c r="M6" s="310"/>
      <c r="N6" s="310"/>
      <c r="O6" s="310"/>
      <c r="P6" s="310"/>
    </row>
    <row r="7" spans="1:20" x14ac:dyDescent="0.2">
      <c r="A7" s="310"/>
      <c r="B7" s="891">
        <v>2025</v>
      </c>
      <c r="C7" s="310"/>
      <c r="D7" s="891">
        <v>2024</v>
      </c>
      <c r="E7" s="310"/>
      <c r="F7" s="891">
        <v>2023</v>
      </c>
      <c r="G7" s="310"/>
      <c r="H7" s="891">
        <v>2022</v>
      </c>
      <c r="I7" s="386"/>
      <c r="J7" s="891">
        <v>2021</v>
      </c>
      <c r="K7" s="310"/>
      <c r="L7" s="891">
        <v>2020</v>
      </c>
      <c r="M7" s="310"/>
      <c r="N7" s="891">
        <v>2019</v>
      </c>
      <c r="O7" s="277"/>
      <c r="P7" s="891">
        <v>2018</v>
      </c>
      <c r="R7" s="891">
        <v>2017</v>
      </c>
      <c r="T7" s="276">
        <v>2016</v>
      </c>
    </row>
    <row r="8" spans="1:20" x14ac:dyDescent="0.2">
      <c r="A8" s="310"/>
      <c r="B8" s="310"/>
      <c r="C8" s="310"/>
      <c r="D8" s="310"/>
      <c r="E8" s="310"/>
      <c r="F8" s="310"/>
      <c r="G8" s="310"/>
      <c r="H8" s="310"/>
      <c r="I8" s="310"/>
      <c r="J8" s="310"/>
      <c r="K8" s="310"/>
      <c r="L8" s="465"/>
      <c r="M8" s="310"/>
      <c r="N8" s="465"/>
      <c r="O8" s="310"/>
      <c r="P8" s="310"/>
    </row>
    <row r="9" spans="1:20" ht="25.5" x14ac:dyDescent="0.2">
      <c r="A9" s="268" t="s">
        <v>333</v>
      </c>
      <c r="B9" s="444">
        <v>5.2999999999999998E-4</v>
      </c>
      <c r="C9" s="268"/>
      <c r="D9" s="393">
        <f>0.00053+0.000027</f>
        <v>5.5699999999999999E-4</v>
      </c>
      <c r="E9" s="268"/>
      <c r="F9" s="269">
        <v>5.4000000000000001E-4</v>
      </c>
      <c r="G9" s="269"/>
      <c r="H9" s="269">
        <v>5.2999999999999998E-4</v>
      </c>
      <c r="I9" s="268"/>
      <c r="J9" s="269">
        <v>5.1999999999999995E-4</v>
      </c>
      <c r="K9" s="268"/>
      <c r="L9" s="488">
        <v>5.8E-4</v>
      </c>
      <c r="M9" s="310"/>
      <c r="N9" s="269">
        <v>5.5999999999999995E-4</v>
      </c>
      <c r="O9" s="489"/>
      <c r="P9" s="269">
        <v>5.5000000000000003E-4</v>
      </c>
      <c r="R9" s="598">
        <v>5.2999999999999998E-4</v>
      </c>
      <c r="T9" s="866">
        <v>5.2999999999999998E-4</v>
      </c>
    </row>
    <row r="10" spans="1:20" ht="25.5" x14ac:dyDescent="0.2">
      <c r="A10" s="268" t="s">
        <v>334</v>
      </c>
      <c r="B10" s="270">
        <v>42565</v>
      </c>
      <c r="C10" s="268"/>
      <c r="D10" s="270">
        <f>42565-3459</f>
        <v>39106</v>
      </c>
      <c r="E10" s="268"/>
      <c r="F10" s="270">
        <v>46988</v>
      </c>
      <c r="G10" s="270"/>
      <c r="H10" s="270">
        <v>43667</v>
      </c>
      <c r="I10" s="268"/>
      <c r="J10" s="270">
        <v>41238</v>
      </c>
      <c r="K10" s="268"/>
      <c r="L10" s="332">
        <v>38664</v>
      </c>
      <c r="M10" s="310"/>
      <c r="N10" s="270">
        <v>-22556</v>
      </c>
      <c r="O10" s="313"/>
      <c r="P10" s="270">
        <v>45211</v>
      </c>
      <c r="R10" s="600">
        <v>42357</v>
      </c>
      <c r="T10" s="871">
        <v>42241</v>
      </c>
    </row>
    <row r="11" spans="1:20" x14ac:dyDescent="0.2">
      <c r="A11" s="268" t="s">
        <v>335</v>
      </c>
      <c r="B11" s="270">
        <v>95203</v>
      </c>
      <c r="C11" s="268"/>
      <c r="D11" s="445">
        <v>91777</v>
      </c>
      <c r="E11" s="268"/>
      <c r="F11" s="445">
        <v>96543</v>
      </c>
      <c r="G11" s="445"/>
      <c r="H11" s="446">
        <v>93556</v>
      </c>
      <c r="I11" s="268"/>
      <c r="J11" s="446">
        <v>91258</v>
      </c>
      <c r="K11" s="268"/>
      <c r="L11" s="332">
        <v>87111</v>
      </c>
      <c r="M11" s="310"/>
      <c r="N11" s="446">
        <v>97775</v>
      </c>
      <c r="O11" s="317"/>
      <c r="P11" s="446">
        <v>94552</v>
      </c>
      <c r="R11" s="600">
        <v>91243</v>
      </c>
      <c r="T11" s="871">
        <v>90376</v>
      </c>
    </row>
    <row r="12" spans="1:20" ht="38.25" x14ac:dyDescent="0.2">
      <c r="A12" s="268" t="s">
        <v>336</v>
      </c>
      <c r="B12" s="490">
        <f>B10/B11</f>
        <v>0.44709725533859229</v>
      </c>
      <c r="C12" s="268"/>
      <c r="D12" s="490">
        <f>D10/D11</f>
        <v>0.42609804199309192</v>
      </c>
      <c r="E12" s="268"/>
      <c r="F12" s="490">
        <f>F10/F11</f>
        <v>0.48670540588131711</v>
      </c>
      <c r="G12" s="490"/>
      <c r="H12" s="490">
        <f>H10/H11</f>
        <v>0.46674718884945915</v>
      </c>
      <c r="I12" s="268"/>
      <c r="J12" s="490">
        <f>J10/J11</f>
        <v>0.45188367047272565</v>
      </c>
      <c r="K12" s="268"/>
      <c r="L12" s="490">
        <f>L10/L11</f>
        <v>0.44384750490753178</v>
      </c>
      <c r="M12" s="310"/>
      <c r="N12" s="490">
        <f>N10/N11</f>
        <v>-0.23069291741242648</v>
      </c>
      <c r="O12" s="489"/>
      <c r="P12" s="490">
        <f>P10/P11</f>
        <v>0.47816016583467297</v>
      </c>
      <c r="R12" s="490">
        <f>R10/R11</f>
        <v>0.46422191291386738</v>
      </c>
      <c r="T12" s="888">
        <f>T10/T11</f>
        <v>0.46739178542976012</v>
      </c>
    </row>
    <row r="13" spans="1:20" ht="25.5" x14ac:dyDescent="0.2">
      <c r="A13" s="268" t="s">
        <v>325</v>
      </c>
      <c r="B13" s="863">
        <f>+'RSI - LGERS 1'!B12</f>
        <v>0.86899999999999999</v>
      </c>
      <c r="C13" s="268"/>
      <c r="D13" s="863">
        <f>+'RSI - LGERS 1'!D12</f>
        <v>0.88200000000000001</v>
      </c>
      <c r="E13" s="268"/>
      <c r="F13" s="863">
        <f>+'RSI - LGERS 1'!F12</f>
        <v>0.90700000000000003</v>
      </c>
      <c r="G13" s="308"/>
      <c r="H13" s="864">
        <f>+'RSI - LGERS 1'!H12</f>
        <v>0.878</v>
      </c>
      <c r="I13" s="268"/>
      <c r="J13" s="864">
        <f>+'RSI - LGERS 1'!J12</f>
        <v>0.89400000000000002</v>
      </c>
      <c r="K13" s="268"/>
      <c r="L13" s="865">
        <f>+'RSI - LGERS 1'!L12</f>
        <v>0.9002</v>
      </c>
      <c r="M13" s="310"/>
      <c r="N13" s="864">
        <f>+'RSI - LGERS 1'!N12</f>
        <v>0.91979999999999995</v>
      </c>
      <c r="O13" s="489"/>
      <c r="P13" s="864">
        <f>+'RSI - LGERS 1'!P12</f>
        <v>0.94179999999999997</v>
      </c>
      <c r="R13" s="866">
        <f>+'RSI - LGERS 1'!R12</f>
        <v>0.91469999999999996</v>
      </c>
      <c r="T13" s="866">
        <f>+'RSI - LGERS 1'!T12</f>
        <v>0.98089999999999999</v>
      </c>
    </row>
    <row r="14" spans="1:20" x14ac:dyDescent="0.2">
      <c r="A14" s="268"/>
      <c r="B14" s="308"/>
      <c r="C14" s="268"/>
      <c r="D14" s="308"/>
      <c r="E14" s="268"/>
      <c r="F14" s="308"/>
      <c r="G14" s="308"/>
      <c r="H14" s="272"/>
      <c r="I14" s="268"/>
      <c r="J14" s="272"/>
      <c r="K14" s="268"/>
      <c r="L14" s="491"/>
      <c r="M14" s="310"/>
      <c r="N14" s="272"/>
      <c r="O14" s="489"/>
      <c r="P14" s="272"/>
      <c r="R14" s="598"/>
    </row>
    <row r="16" spans="1:20" x14ac:dyDescent="0.2">
      <c r="B16" s="273"/>
      <c r="C16" s="273"/>
      <c r="D16" s="273"/>
      <c r="E16" s="273"/>
      <c r="F16" s="273"/>
      <c r="G16" s="273"/>
      <c r="H16" s="273"/>
      <c r="I16" s="273"/>
      <c r="J16" s="273"/>
      <c r="K16" s="273"/>
      <c r="L16" s="310"/>
      <c r="M16" s="310"/>
      <c r="N16" s="310"/>
      <c r="O16" s="305"/>
      <c r="P16" s="310"/>
    </row>
    <row r="17" spans="1:20" s="980" customFormat="1" ht="14.25" x14ac:dyDescent="0.2">
      <c r="A17" s="978" t="s">
        <v>982</v>
      </c>
      <c r="B17" s="979"/>
      <c r="C17" s="979"/>
      <c r="D17" s="979"/>
      <c r="E17" s="979"/>
      <c r="F17" s="979"/>
      <c r="G17" s="979"/>
      <c r="H17" s="979"/>
      <c r="I17" s="979"/>
      <c r="J17" s="979"/>
      <c r="K17" s="979"/>
      <c r="O17" s="981"/>
    </row>
    <row r="18" spans="1:20" s="980" customFormat="1" ht="14.25" x14ac:dyDescent="0.2">
      <c r="A18" s="979" t="s">
        <v>981</v>
      </c>
      <c r="B18" s="979"/>
      <c r="C18" s="979"/>
      <c r="D18" s="979"/>
      <c r="E18" s="979"/>
      <c r="F18" s="979"/>
      <c r="G18" s="979"/>
      <c r="H18" s="979"/>
      <c r="I18" s="979"/>
      <c r="J18" s="979"/>
      <c r="K18" s="979"/>
      <c r="O18" s="981"/>
    </row>
    <row r="19" spans="1:20" s="980" customFormat="1" ht="14.25" x14ac:dyDescent="0.2">
      <c r="A19" s="982" t="s">
        <v>1159</v>
      </c>
      <c r="B19" s="982"/>
      <c r="C19" s="982"/>
      <c r="D19" s="979"/>
      <c r="E19" s="979"/>
      <c r="F19" s="979"/>
      <c r="G19" s="979"/>
      <c r="H19" s="979"/>
      <c r="I19" s="979"/>
      <c r="J19" s="979"/>
      <c r="K19" s="979"/>
      <c r="O19" s="981"/>
    </row>
    <row r="20" spans="1:20" x14ac:dyDescent="0.2">
      <c r="A20" s="657"/>
      <c r="B20" s="273"/>
      <c r="C20" s="273"/>
      <c r="D20" s="273"/>
      <c r="E20" s="273"/>
      <c r="F20" s="273"/>
      <c r="G20" s="273"/>
      <c r="H20" s="273"/>
      <c r="I20" s="273"/>
      <c r="J20" s="273"/>
      <c r="K20" s="273"/>
      <c r="L20" s="310"/>
      <c r="M20" s="310"/>
      <c r="N20" s="310"/>
      <c r="O20" s="305"/>
      <c r="P20" s="310"/>
    </row>
    <row r="21" spans="1:20" ht="13.5" thickBot="1" x14ac:dyDescent="0.25">
      <c r="A21" s="273"/>
      <c r="B21" s="273"/>
      <c r="C21" s="273"/>
      <c r="D21" s="273"/>
      <c r="E21" s="273"/>
      <c r="F21" s="273"/>
      <c r="G21" s="273"/>
      <c r="H21" s="273"/>
      <c r="I21" s="273"/>
      <c r="J21" s="273"/>
      <c r="K21" s="273"/>
      <c r="L21" s="310"/>
      <c r="M21" s="310"/>
      <c r="N21" s="310"/>
      <c r="O21" s="305"/>
      <c r="P21" s="310"/>
    </row>
    <row r="22" spans="1:20" ht="15.75" customHeight="1" thickBot="1" x14ac:dyDescent="0.25">
      <c r="A22" s="1047" t="s">
        <v>326</v>
      </c>
      <c r="B22" s="1048"/>
      <c r="C22" s="1048"/>
      <c r="D22" s="1048"/>
      <c r="E22" s="1048"/>
      <c r="F22" s="1048"/>
      <c r="G22" s="1048"/>
      <c r="H22" s="1048"/>
      <c r="I22" s="1048"/>
      <c r="J22" s="1048"/>
      <c r="K22" s="1048"/>
      <c r="L22" s="1048"/>
      <c r="M22" s="1048"/>
      <c r="N22" s="1048"/>
      <c r="O22" s="1048"/>
      <c r="P22" s="1048"/>
      <c r="Q22" s="1048"/>
      <c r="R22" s="1048"/>
      <c r="S22" s="1048"/>
      <c r="T22" s="1049"/>
    </row>
    <row r="23" spans="1:20" ht="13.5" thickBot="1" x14ac:dyDescent="0.25">
      <c r="A23" s="310"/>
      <c r="B23" s="310"/>
      <c r="C23" s="310"/>
      <c r="D23" s="310"/>
      <c r="E23" s="310"/>
      <c r="F23" s="310"/>
      <c r="G23" s="310"/>
      <c r="H23" s="310"/>
      <c r="I23" s="310"/>
      <c r="J23" s="310"/>
      <c r="K23" s="310"/>
      <c r="L23" s="310"/>
      <c r="M23" s="310"/>
      <c r="N23" s="310"/>
      <c r="O23" s="310"/>
      <c r="P23" s="310"/>
    </row>
    <row r="24" spans="1:20" ht="99.75" customHeight="1" thickBot="1" x14ac:dyDescent="0.25">
      <c r="A24" s="1043" t="s">
        <v>1164</v>
      </c>
      <c r="B24" s="1044"/>
      <c r="C24" s="1044"/>
      <c r="D24" s="1044"/>
      <c r="E24" s="1044"/>
      <c r="F24" s="1044"/>
      <c r="G24" s="1044"/>
      <c r="H24" s="1044"/>
      <c r="I24" s="1044"/>
      <c r="J24" s="1044"/>
      <c r="K24" s="1044"/>
      <c r="L24" s="1044"/>
      <c r="M24" s="1044"/>
      <c r="N24" s="1044"/>
      <c r="O24" s="1044"/>
      <c r="P24" s="1044"/>
      <c r="Q24" s="1044"/>
      <c r="R24" s="1044"/>
      <c r="S24" s="1044"/>
      <c r="T24" s="1045"/>
    </row>
    <row r="25" spans="1:20" ht="12.75" customHeight="1" x14ac:dyDescent="0.2">
      <c r="A25"/>
      <c r="B25"/>
      <c r="C25"/>
      <c r="D25"/>
      <c r="E25"/>
      <c r="F25"/>
      <c r="G25"/>
      <c r="H25"/>
      <c r="I25"/>
      <c r="J25"/>
      <c r="K25"/>
      <c r="L25" s="49"/>
      <c r="M25"/>
      <c r="N25"/>
      <c r="O25"/>
      <c r="P25"/>
    </row>
    <row r="26" spans="1:20" ht="12.75" customHeight="1" x14ac:dyDescent="0.2">
      <c r="A26"/>
      <c r="B26"/>
      <c r="C26"/>
      <c r="D26"/>
      <c r="E26"/>
      <c r="F26"/>
      <c r="G26"/>
      <c r="H26"/>
      <c r="I26"/>
      <c r="J26"/>
      <c r="K26"/>
      <c r="L26" s="412"/>
      <c r="M26"/>
      <c r="N26"/>
      <c r="O26"/>
      <c r="P26"/>
    </row>
    <row r="27" spans="1:20" ht="12.75" customHeight="1" x14ac:dyDescent="0.2">
      <c r="A27"/>
      <c r="B27"/>
      <c r="C27"/>
      <c r="D27"/>
      <c r="E27"/>
      <c r="F27"/>
      <c r="G27"/>
      <c r="H27"/>
      <c r="I27"/>
      <c r="J27"/>
      <c r="K27"/>
      <c r="L27" s="412"/>
      <c r="M27"/>
      <c r="N27"/>
      <c r="O27"/>
      <c r="P27"/>
    </row>
    <row r="28" spans="1:20" ht="12.75" customHeight="1" x14ac:dyDescent="0.2">
      <c r="A28"/>
      <c r="B28"/>
      <c r="C28"/>
      <c r="D28"/>
      <c r="E28"/>
      <c r="F28"/>
      <c r="G28"/>
      <c r="H28"/>
      <c r="I28"/>
      <c r="J28"/>
      <c r="K28"/>
      <c r="L28"/>
      <c r="M28"/>
      <c r="N28"/>
      <c r="O28" s="310"/>
      <c r="P28" s="310"/>
    </row>
    <row r="29" spans="1:20" ht="12.75" customHeight="1" x14ac:dyDescent="0.2">
      <c r="A29"/>
      <c r="B29"/>
      <c r="C29"/>
      <c r="D29"/>
      <c r="E29"/>
      <c r="F29"/>
      <c r="G29"/>
      <c r="H29"/>
      <c r="I29"/>
      <c r="J29"/>
      <c r="K29"/>
      <c r="L29"/>
      <c r="M29"/>
      <c r="N29"/>
      <c r="O29" s="310"/>
      <c r="P29" s="310"/>
    </row>
  </sheetData>
  <customSheetViews>
    <customSheetView guid="{A8748736-0722-49EB-85B6-C9B52DDCFE0E}" showPageBreaks="1" fitToPage="1" printArea="1">
      <selection activeCell="A26" sqref="A26"/>
      <pageMargins left="0.7" right="0.7" top="0.75" bottom="0.75" header="0.3" footer="0.3"/>
      <pageSetup scale="55" orientation="portrait" r:id="rId1"/>
    </customSheetView>
  </customSheetViews>
  <mergeCells count="6">
    <mergeCell ref="A24:T24"/>
    <mergeCell ref="A4:O4"/>
    <mergeCell ref="A1:T1"/>
    <mergeCell ref="A2:T2"/>
    <mergeCell ref="A3:T3"/>
    <mergeCell ref="A22:T22"/>
  </mergeCells>
  <pageMargins left="0.7" right="0.7" top="0.75" bottom="0.75" header="0.3" footer="0.3"/>
  <pageSetup scale="56"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tint="0.39997558519241921"/>
    <pageSetUpPr fitToPage="1"/>
  </sheetPr>
  <dimension ref="A1:T31"/>
  <sheetViews>
    <sheetView workbookViewId="0">
      <selection activeCell="A6" sqref="A6"/>
    </sheetView>
  </sheetViews>
  <sheetFormatPr defaultColWidth="8.85546875" defaultRowHeight="12.75" x14ac:dyDescent="0.2"/>
  <cols>
    <col min="1" max="1" width="41.7109375" style="30" customWidth="1"/>
    <col min="2" max="2" width="11.28515625" style="30" customWidth="1"/>
    <col min="3" max="3" width="1.28515625" style="30" customWidth="1"/>
    <col min="4" max="4" width="11.28515625" style="30" customWidth="1"/>
    <col min="5" max="5" width="1.28515625" style="30" customWidth="1"/>
    <col min="6" max="6" width="11.28515625" style="30" customWidth="1"/>
    <col min="7" max="7" width="1.28515625" style="30" customWidth="1"/>
    <col min="8" max="8" width="11.28515625" style="30" customWidth="1"/>
    <col min="9" max="9" width="1.28515625" style="30" customWidth="1"/>
    <col min="10" max="10" width="11.28515625" style="30" customWidth="1"/>
    <col min="11" max="11" width="1.28515625" style="30" customWidth="1"/>
    <col min="12" max="12" width="11.28515625" style="30" customWidth="1"/>
    <col min="13" max="13" width="1.28515625" style="30" customWidth="1"/>
    <col min="14" max="14" width="11.28515625" style="30" customWidth="1"/>
    <col min="15" max="15" width="1.28515625" style="30" customWidth="1"/>
    <col min="16" max="16" width="11.28515625" style="30" customWidth="1"/>
    <col min="17" max="17" width="1.28515625" style="30" customWidth="1"/>
    <col min="18" max="18" width="11.28515625" style="30" customWidth="1"/>
    <col min="19" max="19" width="1.28515625" style="30" customWidth="1"/>
    <col min="20" max="20" width="11.28515625" style="30" customWidth="1"/>
    <col min="21" max="16384" width="8.85546875" style="30"/>
  </cols>
  <sheetData>
    <row r="1" spans="1:20" x14ac:dyDescent="0.2">
      <c r="A1" s="1056" t="s">
        <v>9</v>
      </c>
      <c r="B1" s="1056"/>
      <c r="C1" s="1056"/>
      <c r="D1" s="1056"/>
      <c r="E1" s="1056"/>
      <c r="F1" s="1056"/>
      <c r="G1" s="1056"/>
      <c r="H1" s="1056"/>
      <c r="I1" s="1056"/>
      <c r="J1" s="1056"/>
      <c r="K1" s="1056"/>
      <c r="L1" s="1056"/>
      <c r="M1" s="1056"/>
      <c r="N1" s="1056"/>
      <c r="O1" s="1056"/>
      <c r="P1" s="1056"/>
      <c r="Q1" s="1056"/>
      <c r="R1" s="1056"/>
      <c r="S1" s="1056"/>
      <c r="T1" s="1056"/>
    </row>
    <row r="2" spans="1:20" x14ac:dyDescent="0.2">
      <c r="A2" s="1057" t="s">
        <v>337</v>
      </c>
      <c r="B2" s="1057"/>
      <c r="C2" s="1057"/>
      <c r="D2" s="1057"/>
      <c r="E2" s="1057"/>
      <c r="F2" s="1057"/>
      <c r="G2" s="1057"/>
      <c r="H2" s="1057"/>
      <c r="I2" s="1057"/>
      <c r="J2" s="1057"/>
      <c r="K2" s="1057"/>
      <c r="L2" s="1057"/>
      <c r="M2" s="1057"/>
      <c r="N2" s="1057"/>
      <c r="O2" s="1057"/>
      <c r="P2" s="1057"/>
      <c r="Q2" s="1057"/>
      <c r="R2" s="1057"/>
      <c r="S2" s="1057"/>
      <c r="T2" s="1057"/>
    </row>
    <row r="3" spans="1:20" x14ac:dyDescent="0.2">
      <c r="A3" s="1057" t="s">
        <v>320</v>
      </c>
      <c r="B3" s="1057"/>
      <c r="C3" s="1057"/>
      <c r="D3" s="1057"/>
      <c r="E3" s="1057"/>
      <c r="F3" s="1057"/>
      <c r="G3" s="1057"/>
      <c r="H3" s="1057"/>
      <c r="I3" s="1057"/>
      <c r="J3" s="1057"/>
      <c r="K3" s="1057"/>
      <c r="L3" s="1057"/>
      <c r="M3" s="1057"/>
      <c r="N3" s="1057"/>
      <c r="O3" s="1057"/>
      <c r="P3" s="1057"/>
      <c r="Q3" s="1057"/>
      <c r="R3" s="1057"/>
      <c r="S3" s="1057"/>
      <c r="T3" s="1057"/>
    </row>
    <row r="4" spans="1:20" x14ac:dyDescent="0.2">
      <c r="A4" s="465"/>
      <c r="B4" s="465"/>
      <c r="C4" s="465"/>
      <c r="D4" s="465"/>
      <c r="E4" s="465"/>
      <c r="F4" s="465"/>
      <c r="G4" s="465"/>
      <c r="H4" s="465"/>
      <c r="I4" s="465"/>
      <c r="J4" s="465"/>
      <c r="K4" s="465"/>
      <c r="L4" s="465"/>
      <c r="M4" s="465"/>
      <c r="N4" s="465"/>
      <c r="O4" s="465"/>
      <c r="P4" s="465"/>
      <c r="Q4" s="310"/>
      <c r="R4" s="310"/>
    </row>
    <row r="5" spans="1:20" x14ac:dyDescent="0.2">
      <c r="A5" s="465"/>
      <c r="B5" s="465"/>
      <c r="C5" s="465"/>
      <c r="D5" s="465"/>
      <c r="E5" s="465"/>
      <c r="F5" s="465"/>
      <c r="G5" s="465"/>
      <c r="H5" s="465"/>
      <c r="I5" s="465"/>
      <c r="J5" s="465"/>
      <c r="K5" s="465"/>
      <c r="L5" s="465"/>
      <c r="M5" s="465"/>
      <c r="N5" s="465"/>
      <c r="O5" s="465"/>
      <c r="P5" s="465"/>
      <c r="Q5" s="310"/>
      <c r="R5" s="310"/>
    </row>
    <row r="6" spans="1:20" x14ac:dyDescent="0.2">
      <c r="A6" s="310"/>
      <c r="B6" s="310"/>
      <c r="C6" s="310"/>
      <c r="D6" s="310"/>
      <c r="E6" s="310"/>
      <c r="F6" s="310"/>
      <c r="G6" s="310"/>
      <c r="H6" s="310"/>
      <c r="I6" s="310"/>
      <c r="J6" s="310"/>
      <c r="K6" s="310"/>
      <c r="L6" s="310"/>
      <c r="M6" s="310"/>
      <c r="N6" s="310"/>
      <c r="O6" s="310"/>
      <c r="P6" s="310"/>
      <c r="Q6" s="310"/>
      <c r="R6" s="310"/>
    </row>
    <row r="7" spans="1:20" x14ac:dyDescent="0.2">
      <c r="A7" s="310"/>
      <c r="B7" s="891">
        <v>2025</v>
      </c>
      <c r="C7" s="310"/>
      <c r="D7" s="891">
        <v>2024</v>
      </c>
      <c r="E7" s="310"/>
      <c r="F7" s="891">
        <v>2023</v>
      </c>
      <c r="G7" s="310"/>
      <c r="H7" s="891">
        <v>2022</v>
      </c>
      <c r="I7" s="386"/>
      <c r="J7" s="891">
        <v>2021</v>
      </c>
      <c r="K7" s="310"/>
      <c r="L7" s="891">
        <v>2020</v>
      </c>
      <c r="M7" s="310"/>
      <c r="N7" s="891">
        <v>2019</v>
      </c>
      <c r="O7" s="277"/>
      <c r="P7" s="891">
        <v>2018</v>
      </c>
      <c r="Q7" s="310"/>
      <c r="R7" s="891">
        <v>2017</v>
      </c>
      <c r="T7" s="276">
        <v>2016</v>
      </c>
    </row>
    <row r="8" spans="1:20" x14ac:dyDescent="0.2">
      <c r="A8" s="310"/>
      <c r="B8" s="310"/>
      <c r="C8" s="310"/>
      <c r="D8" s="310"/>
      <c r="E8" s="310"/>
      <c r="F8" s="310"/>
      <c r="G8" s="310"/>
      <c r="H8" s="310"/>
      <c r="I8" s="310"/>
      <c r="J8" s="310"/>
      <c r="K8" s="310"/>
      <c r="L8" s="465"/>
      <c r="M8" s="465"/>
      <c r="N8" s="465"/>
      <c r="O8" s="465"/>
      <c r="P8" s="310"/>
      <c r="Q8" s="310"/>
      <c r="R8" s="310"/>
      <c r="T8" s="310"/>
    </row>
    <row r="9" spans="1:20" x14ac:dyDescent="0.2">
      <c r="A9" s="273" t="s">
        <v>328</v>
      </c>
      <c r="B9" s="313">
        <v>8672</v>
      </c>
      <c r="C9" s="273"/>
      <c r="D9" s="313">
        <v>7616</v>
      </c>
      <c r="E9" s="273"/>
      <c r="F9" s="313">
        <v>6883</v>
      </c>
      <c r="G9" s="387"/>
      <c r="H9" s="271">
        <v>7241</v>
      </c>
      <c r="I9" s="273"/>
      <c r="J9" s="271">
        <v>6810</v>
      </c>
      <c r="K9" s="273"/>
      <c r="L9" s="271">
        <v>6543</v>
      </c>
      <c r="M9" s="310"/>
      <c r="N9" s="271">
        <v>6193</v>
      </c>
      <c r="O9" s="310"/>
      <c r="P9" s="271">
        <v>6854</v>
      </c>
      <c r="Q9" s="310"/>
      <c r="R9" s="271">
        <v>6457</v>
      </c>
      <c r="T9" s="875">
        <v>6325</v>
      </c>
    </row>
    <row r="10" spans="1:20" ht="27.75" customHeight="1" x14ac:dyDescent="0.2">
      <c r="A10" s="278" t="s">
        <v>329</v>
      </c>
      <c r="B10" s="867">
        <v>8672</v>
      </c>
      <c r="C10" s="268"/>
      <c r="D10" s="867">
        <v>7616</v>
      </c>
      <c r="E10" s="268"/>
      <c r="F10" s="867">
        <v>6883</v>
      </c>
      <c r="G10" s="868"/>
      <c r="H10" s="869">
        <v>7241</v>
      </c>
      <c r="I10" s="268"/>
      <c r="J10" s="869">
        <v>6810</v>
      </c>
      <c r="K10" s="268"/>
      <c r="L10" s="869">
        <v>6543</v>
      </c>
      <c r="M10" s="310"/>
      <c r="N10" s="869">
        <v>6193</v>
      </c>
      <c r="O10" s="310"/>
      <c r="P10" s="869">
        <v>6854</v>
      </c>
      <c r="Q10" s="310"/>
      <c r="R10" s="869">
        <v>6457</v>
      </c>
      <c r="T10" s="876">
        <v>6325</v>
      </c>
    </row>
    <row r="11" spans="1:20" ht="13.5" thickBot="1" x14ac:dyDescent="0.25">
      <c r="A11" s="273" t="s">
        <v>330</v>
      </c>
      <c r="B11" s="275">
        <f>B9-B10</f>
        <v>0</v>
      </c>
      <c r="C11" s="273"/>
      <c r="D11" s="275">
        <f>D9-E10</f>
        <v>7616</v>
      </c>
      <c r="E11" s="273"/>
      <c r="F11" s="275">
        <f>F9-F10</f>
        <v>0</v>
      </c>
      <c r="G11" s="387"/>
      <c r="H11" s="275">
        <f>H9-H10</f>
        <v>0</v>
      </c>
      <c r="I11" s="273"/>
      <c r="J11" s="275">
        <f>J9-J10</f>
        <v>0</v>
      </c>
      <c r="K11" s="273"/>
      <c r="L11" s="275">
        <f>L9-L10</f>
        <v>0</v>
      </c>
      <c r="M11" s="310"/>
      <c r="N11" s="275">
        <v>0</v>
      </c>
      <c r="O11" s="310"/>
      <c r="P11" s="275">
        <v>0</v>
      </c>
      <c r="Q11" s="310"/>
      <c r="R11" s="275">
        <v>0</v>
      </c>
      <c r="T11" s="275">
        <v>0</v>
      </c>
    </row>
    <row r="12" spans="1:20" ht="13.5" thickTop="1" x14ac:dyDescent="0.2">
      <c r="A12" s="273"/>
      <c r="B12" s="273"/>
      <c r="C12" s="273"/>
      <c r="D12" s="273"/>
      <c r="E12" s="273"/>
      <c r="F12" s="273"/>
      <c r="G12" s="273"/>
      <c r="H12" s="273"/>
      <c r="I12" s="273"/>
      <c r="J12" s="273"/>
      <c r="K12" s="273"/>
      <c r="L12" s="273"/>
      <c r="M12" s="310"/>
      <c r="N12" s="273"/>
      <c r="O12" s="310"/>
      <c r="P12" s="273"/>
      <c r="Q12" s="310"/>
      <c r="R12" s="310"/>
      <c r="T12" s="310"/>
    </row>
    <row r="13" spans="1:20" x14ac:dyDescent="0.2">
      <c r="A13" s="273" t="s">
        <v>335</v>
      </c>
      <c r="B13" s="270">
        <v>96887</v>
      </c>
      <c r="C13" s="273"/>
      <c r="D13" s="270">
        <v>95203</v>
      </c>
      <c r="E13" s="268"/>
      <c r="F13" s="445">
        <v>91777</v>
      </c>
      <c r="G13" s="268"/>
      <c r="H13" s="445">
        <v>96543</v>
      </c>
      <c r="I13" s="445"/>
      <c r="J13" s="446">
        <v>93556</v>
      </c>
      <c r="K13" s="268"/>
      <c r="L13" s="446">
        <v>91258</v>
      </c>
      <c r="M13" s="268"/>
      <c r="N13" s="332">
        <v>87111</v>
      </c>
      <c r="O13" s="310"/>
      <c r="P13" s="446">
        <v>97775</v>
      </c>
      <c r="Q13" s="310"/>
      <c r="R13" s="446">
        <v>93416</v>
      </c>
      <c r="T13" s="875">
        <v>92119</v>
      </c>
    </row>
    <row r="14" spans="1:20" x14ac:dyDescent="0.2">
      <c r="A14" s="273"/>
      <c r="B14" s="273"/>
      <c r="C14" s="273"/>
      <c r="D14" s="273"/>
      <c r="E14" s="273"/>
      <c r="F14" s="273"/>
      <c r="G14" s="273"/>
      <c r="H14" s="273"/>
      <c r="I14" s="273"/>
      <c r="J14" s="273"/>
      <c r="K14" s="273"/>
      <c r="L14" s="273"/>
      <c r="M14" s="310"/>
      <c r="N14" s="273"/>
      <c r="O14" s="310"/>
      <c r="P14" s="273"/>
      <c r="Q14" s="310"/>
      <c r="R14" s="310"/>
      <c r="T14" s="310"/>
    </row>
    <row r="15" spans="1:20" x14ac:dyDescent="0.2">
      <c r="A15" s="268" t="s">
        <v>331</v>
      </c>
      <c r="B15" s="272">
        <f>B10/B13</f>
        <v>8.950633211886011E-2</v>
      </c>
      <c r="C15" s="268"/>
      <c r="D15" s="272">
        <f>D10/D13</f>
        <v>7.9997479071037672E-2</v>
      </c>
      <c r="E15" s="268"/>
      <c r="F15" s="272">
        <f>F10/F13</f>
        <v>7.4997003606568094E-2</v>
      </c>
      <c r="G15" s="272"/>
      <c r="H15" s="272">
        <f>H10/H13</f>
        <v>7.5002848471665481E-2</v>
      </c>
      <c r="I15" s="268"/>
      <c r="J15" s="272">
        <f>J10/J13</f>
        <v>7.2790628073025776E-2</v>
      </c>
      <c r="K15" s="273"/>
      <c r="L15" s="272">
        <f>L10/L13</f>
        <v>7.1697823752438147E-2</v>
      </c>
      <c r="M15" s="310"/>
      <c r="N15" s="272">
        <f>N10/N13</f>
        <v>7.1093202925003735E-2</v>
      </c>
      <c r="O15" s="310"/>
      <c r="P15" s="272">
        <f>P10/P13</f>
        <v>7.0099718742009723E-2</v>
      </c>
      <c r="Q15" s="310"/>
      <c r="R15" s="272">
        <f>R10/R13</f>
        <v>6.9120921469555535E-2</v>
      </c>
      <c r="T15" s="864">
        <f>T10/T13</f>
        <v>6.8661188245638799E-2</v>
      </c>
    </row>
    <row r="16" spans="1:20" x14ac:dyDescent="0.2">
      <c r="A16" s="273"/>
      <c r="B16" s="273"/>
      <c r="C16" s="273"/>
      <c r="D16" s="273"/>
      <c r="E16" s="273"/>
      <c r="F16" s="273"/>
      <c r="G16" s="273"/>
      <c r="H16" s="307"/>
      <c r="I16" s="273"/>
      <c r="J16" s="272"/>
      <c r="K16" s="273"/>
      <c r="L16" s="310"/>
      <c r="M16" s="310"/>
      <c r="N16" s="310"/>
      <c r="O16" s="310"/>
      <c r="P16" s="310"/>
      <c r="Q16" s="310"/>
      <c r="R16" s="310"/>
    </row>
    <row r="17" spans="1:20" x14ac:dyDescent="0.2">
      <c r="A17" s="273"/>
      <c r="B17" s="273"/>
      <c r="C17" s="273"/>
      <c r="D17" s="273"/>
      <c r="E17" s="273"/>
      <c r="F17" s="273"/>
      <c r="G17" s="273"/>
      <c r="H17" s="307"/>
      <c r="I17" s="273"/>
      <c r="J17" s="272"/>
      <c r="K17" s="273"/>
      <c r="L17" s="310"/>
      <c r="M17" s="310"/>
      <c r="N17" s="310"/>
      <c r="O17" s="310"/>
      <c r="P17" s="310"/>
      <c r="Q17" s="310"/>
      <c r="R17" s="310"/>
    </row>
    <row r="18" spans="1:20" x14ac:dyDescent="0.2">
      <c r="A18" s="273"/>
      <c r="B18" s="273"/>
      <c r="C18" s="273"/>
      <c r="D18" s="273"/>
      <c r="E18" s="273"/>
      <c r="F18" s="273"/>
      <c r="G18" s="273"/>
      <c r="H18" s="307"/>
      <c r="I18" s="273"/>
      <c r="J18" s="272"/>
      <c r="K18" s="273"/>
      <c r="L18" s="310"/>
      <c r="M18" s="310"/>
      <c r="N18" s="310"/>
      <c r="O18" s="310"/>
      <c r="P18" s="310"/>
      <c r="Q18" s="310"/>
      <c r="R18" s="310"/>
    </row>
    <row r="19" spans="1:20" x14ac:dyDescent="0.2">
      <c r="A19" s="656" t="s">
        <v>982</v>
      </c>
      <c r="B19" s="273"/>
      <c r="C19" s="273"/>
      <c r="D19" s="273"/>
      <c r="E19" s="273"/>
      <c r="F19" s="273"/>
      <c r="G19" s="273"/>
      <c r="H19" s="307"/>
      <c r="I19" s="273"/>
      <c r="J19" s="272"/>
      <c r="K19" s="273"/>
      <c r="L19" s="310"/>
      <c r="M19" s="310"/>
      <c r="N19" s="310"/>
      <c r="O19" s="310"/>
      <c r="P19" s="310"/>
      <c r="Q19" s="310"/>
      <c r="R19" s="310"/>
    </row>
    <row r="20" spans="1:20" x14ac:dyDescent="0.2">
      <c r="A20" s="919" t="s">
        <v>1159</v>
      </c>
      <c r="B20" s="914"/>
      <c r="C20" s="273"/>
      <c r="D20" s="273"/>
      <c r="E20" s="273"/>
      <c r="F20" s="273"/>
      <c r="G20" s="273"/>
      <c r="H20" s="307"/>
      <c r="I20" s="273"/>
      <c r="J20" s="272"/>
      <c r="K20" s="273"/>
      <c r="L20" s="310"/>
      <c r="M20" s="310"/>
      <c r="N20" s="310"/>
      <c r="O20" s="310"/>
      <c r="P20" s="310"/>
      <c r="Q20" s="310"/>
      <c r="R20" s="310"/>
    </row>
    <row r="21" spans="1:20" x14ac:dyDescent="0.2">
      <c r="A21" s="273"/>
      <c r="B21" s="273"/>
      <c r="C21" s="273"/>
      <c r="D21" s="273"/>
      <c r="E21" s="273"/>
      <c r="F21" s="273"/>
      <c r="G21" s="273"/>
      <c r="H21" s="307"/>
      <c r="I21" s="273"/>
      <c r="J21" s="272"/>
      <c r="K21" s="273"/>
      <c r="L21" s="310"/>
      <c r="M21" s="310"/>
      <c r="N21" s="310"/>
      <c r="O21" s="310"/>
      <c r="P21" s="310"/>
      <c r="Q21" s="310"/>
      <c r="R21" s="310"/>
    </row>
    <row r="22" spans="1:20" x14ac:dyDescent="0.2">
      <c r="A22" s="310"/>
      <c r="B22" s="310"/>
      <c r="C22" s="310"/>
      <c r="D22" s="310"/>
      <c r="E22" s="310"/>
      <c r="F22" s="310"/>
      <c r="G22" s="310"/>
      <c r="H22" s="492"/>
      <c r="I22" s="310"/>
      <c r="J22" s="310"/>
      <c r="K22" s="310"/>
      <c r="L22" s="310"/>
      <c r="M22" s="310"/>
      <c r="N22" s="310"/>
      <c r="O22" s="310"/>
      <c r="P22" s="310"/>
    </row>
    <row r="23" spans="1:20" ht="13.5" thickBot="1" x14ac:dyDescent="0.25">
      <c r="A23" s="310"/>
      <c r="B23" s="310"/>
      <c r="C23" s="310"/>
      <c r="D23" s="310"/>
      <c r="E23" s="310"/>
      <c r="F23" s="310"/>
      <c r="G23" s="310"/>
      <c r="H23" s="492"/>
      <c r="I23" s="310"/>
      <c r="J23" s="310"/>
      <c r="K23" s="310"/>
      <c r="L23" s="310"/>
      <c r="M23" s="310"/>
      <c r="N23" s="310"/>
      <c r="O23" s="310"/>
      <c r="P23" s="310"/>
    </row>
    <row r="24" spans="1:20" ht="87.75" customHeight="1" thickBot="1" x14ac:dyDescent="0.25">
      <c r="A24" s="1058" t="s">
        <v>1164</v>
      </c>
      <c r="B24" s="1059"/>
      <c r="C24" s="1059"/>
      <c r="D24" s="1059"/>
      <c r="E24" s="1059"/>
      <c r="F24" s="1059"/>
      <c r="G24" s="1059"/>
      <c r="H24" s="1059"/>
      <c r="I24" s="1059"/>
      <c r="J24" s="1059"/>
      <c r="K24" s="1059"/>
      <c r="L24" s="1059"/>
      <c r="M24" s="1059"/>
      <c r="N24" s="1059"/>
      <c r="O24" s="1059"/>
      <c r="P24" s="1059"/>
      <c r="Q24" s="1059"/>
      <c r="R24" s="1059"/>
      <c r="S24" s="1059"/>
      <c r="T24" s="1060"/>
    </row>
    <row r="25" spans="1:20" x14ac:dyDescent="0.2">
      <c r="A25"/>
      <c r="B25"/>
      <c r="C25"/>
      <c r="D25"/>
      <c r="E25"/>
      <c r="F25" s="395"/>
      <c r="G25"/>
      <c r="H25"/>
      <c r="I25"/>
      <c r="J25"/>
      <c r="K25"/>
      <c r="L25"/>
      <c r="M25"/>
      <c r="N25"/>
      <c r="O25"/>
      <c r="P25"/>
    </row>
    <row r="26" spans="1:20" ht="15.75" customHeight="1" x14ac:dyDescent="0.2">
      <c r="A26"/>
      <c r="B26"/>
      <c r="C26"/>
      <c r="D26" s="394"/>
      <c r="E26"/>
      <c r="F26" s="49"/>
      <c r="G26"/>
      <c r="H26"/>
      <c r="I26"/>
      <c r="J26"/>
      <c r="K26"/>
      <c r="L26"/>
      <c r="M26"/>
      <c r="N26"/>
      <c r="O26"/>
      <c r="P26"/>
    </row>
    <row r="27" spans="1:20" x14ac:dyDescent="0.2">
      <c r="A27"/>
      <c r="B27"/>
      <c r="C27"/>
      <c r="D27"/>
      <c r="E27"/>
      <c r="F27"/>
      <c r="G27"/>
      <c r="H27"/>
      <c r="I27"/>
      <c r="J27"/>
      <c r="K27"/>
      <c r="L27"/>
      <c r="M27"/>
      <c r="N27"/>
      <c r="O27"/>
      <c r="P27"/>
    </row>
    <row r="28" spans="1:20" x14ac:dyDescent="0.2">
      <c r="A28"/>
      <c r="B28"/>
      <c r="C28"/>
      <c r="D28" s="310"/>
      <c r="E28"/>
      <c r="F28"/>
      <c r="G28"/>
      <c r="H28"/>
      <c r="I28"/>
      <c r="J28"/>
      <c r="K28"/>
      <c r="L28"/>
      <c r="M28"/>
      <c r="N28"/>
      <c r="O28"/>
      <c r="P28"/>
    </row>
    <row r="29" spans="1:20" x14ac:dyDescent="0.2">
      <c r="A29"/>
      <c r="B29"/>
      <c r="C29"/>
      <c r="D29"/>
      <c r="E29"/>
      <c r="F29"/>
      <c r="G29"/>
      <c r="H29"/>
      <c r="I29"/>
      <c r="J29"/>
      <c r="K29"/>
      <c r="L29"/>
      <c r="M29"/>
      <c r="N29"/>
      <c r="O29"/>
      <c r="P29"/>
    </row>
    <row r="30" spans="1:20" x14ac:dyDescent="0.2">
      <c r="A30"/>
      <c r="B30"/>
      <c r="C30"/>
      <c r="D30"/>
      <c r="E30"/>
      <c r="F30"/>
      <c r="G30"/>
      <c r="H30"/>
      <c r="I30"/>
      <c r="J30"/>
      <c r="K30"/>
      <c r="L30"/>
      <c r="M30"/>
      <c r="N30"/>
      <c r="O30"/>
      <c r="P30" s="310"/>
    </row>
    <row r="31" spans="1:20" x14ac:dyDescent="0.2">
      <c r="A31"/>
      <c r="B31"/>
      <c r="C31"/>
      <c r="D31"/>
      <c r="E31"/>
      <c r="F31"/>
      <c r="G31"/>
      <c r="H31"/>
      <c r="I31"/>
      <c r="J31"/>
      <c r="K31"/>
      <c r="L31"/>
      <c r="M31"/>
      <c r="N31"/>
      <c r="O31"/>
      <c r="P31" s="310"/>
    </row>
  </sheetData>
  <customSheetViews>
    <customSheetView guid="{A8748736-0722-49EB-85B6-C9B52DDCFE0E}" showPageBreaks="1" fitToPage="1" printArea="1">
      <selection activeCell="A23" sqref="A23"/>
      <pageMargins left="0.7" right="0.7" top="0.75" bottom="0.75" header="0.3" footer="0.3"/>
      <pageSetup scale="55" orientation="portrait" r:id="rId1"/>
    </customSheetView>
  </customSheetViews>
  <mergeCells count="4">
    <mergeCell ref="A24:T24"/>
    <mergeCell ref="A1:T1"/>
    <mergeCell ref="A2:T2"/>
    <mergeCell ref="A3:T3"/>
  </mergeCells>
  <pageMargins left="0.7" right="0.7" top="0.75" bottom="0.75" header="0.3" footer="0.3"/>
  <pageSetup scale="54"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39997558519241921"/>
    <pageSetUpPr fitToPage="1"/>
  </sheetPr>
  <dimension ref="A1:T29"/>
  <sheetViews>
    <sheetView workbookViewId="0">
      <selection activeCell="A6" sqref="A6"/>
    </sheetView>
  </sheetViews>
  <sheetFormatPr defaultColWidth="8.85546875" defaultRowHeight="12.75" x14ac:dyDescent="0.2"/>
  <cols>
    <col min="1" max="1" width="47.5703125" style="30" customWidth="1"/>
    <col min="2" max="2" width="11.7109375" style="30" customWidth="1"/>
    <col min="3" max="3" width="1.28515625" style="30" customWidth="1"/>
    <col min="4" max="4" width="11.7109375" style="30" customWidth="1"/>
    <col min="5" max="5" width="1.28515625" style="30" customWidth="1"/>
    <col min="6" max="6" width="11.7109375" style="30" customWidth="1"/>
    <col min="7" max="7" width="1.28515625" style="30" customWidth="1"/>
    <col min="8" max="8" width="11.7109375" style="30" customWidth="1"/>
    <col min="9" max="9" width="1.28515625" style="30" customWidth="1"/>
    <col min="10" max="10" width="11.7109375" style="30" customWidth="1"/>
    <col min="11" max="11" width="1.28515625" style="30" customWidth="1"/>
    <col min="12" max="12" width="11.7109375" style="30" customWidth="1"/>
    <col min="13" max="13" width="1.28515625" style="30" customWidth="1"/>
    <col min="14" max="14" width="11.7109375" style="30" customWidth="1"/>
    <col min="15" max="15" width="1.28515625" style="30" customWidth="1"/>
    <col min="16" max="16" width="11.7109375" style="30" customWidth="1"/>
    <col min="17" max="17" width="1.28515625" style="30" customWidth="1"/>
    <col min="18" max="18" width="11.7109375" style="30" customWidth="1"/>
    <col min="19" max="19" width="1.28515625" style="30" customWidth="1"/>
    <col min="20" max="20" width="11.7109375" style="30" customWidth="1"/>
    <col min="21" max="16384" width="8.85546875" style="30"/>
  </cols>
  <sheetData>
    <row r="1" spans="1:20" ht="12.75" customHeight="1" x14ac:dyDescent="0.2">
      <c r="A1" s="1056" t="s">
        <v>0</v>
      </c>
      <c r="B1" s="1056"/>
      <c r="C1" s="1056"/>
      <c r="D1" s="1056"/>
      <c r="E1" s="1056"/>
      <c r="F1" s="1056"/>
      <c r="G1" s="1056"/>
      <c r="H1" s="1056"/>
      <c r="I1" s="1056"/>
      <c r="J1" s="1056"/>
      <c r="K1" s="1056"/>
      <c r="L1" s="1056"/>
      <c r="M1" s="1056"/>
      <c r="N1" s="1056"/>
      <c r="O1" s="1056"/>
      <c r="P1" s="1056"/>
      <c r="Q1" s="1056"/>
      <c r="R1" s="1056"/>
      <c r="S1" s="1056"/>
      <c r="T1" s="1056"/>
    </row>
    <row r="2" spans="1:20" ht="12.75" customHeight="1" x14ac:dyDescent="0.2">
      <c r="A2" s="1050" t="s">
        <v>319</v>
      </c>
      <c r="B2" s="1050"/>
      <c r="C2" s="1050"/>
      <c r="D2" s="1050"/>
      <c r="E2" s="1050"/>
      <c r="F2" s="1050"/>
      <c r="G2" s="1050"/>
      <c r="H2" s="1050"/>
      <c r="I2" s="1050"/>
      <c r="J2" s="1050"/>
      <c r="K2" s="1050"/>
      <c r="L2" s="1050"/>
      <c r="M2" s="1050"/>
      <c r="N2" s="1050"/>
      <c r="O2" s="1050"/>
      <c r="P2" s="1050"/>
      <c r="Q2" s="1050"/>
      <c r="R2" s="1050"/>
      <c r="S2" s="1050"/>
      <c r="T2" s="1050"/>
    </row>
    <row r="3" spans="1:20" ht="12.75" customHeight="1" x14ac:dyDescent="0.2">
      <c r="A3" s="1050" t="s">
        <v>338</v>
      </c>
      <c r="B3" s="1050"/>
      <c r="C3" s="1050"/>
      <c r="D3" s="1050"/>
      <c r="E3" s="1050"/>
      <c r="F3" s="1050"/>
      <c r="G3" s="1050"/>
      <c r="H3" s="1050"/>
      <c r="I3" s="1050"/>
      <c r="J3" s="1050"/>
      <c r="K3" s="1050"/>
      <c r="L3" s="1050"/>
      <c r="M3" s="1050"/>
      <c r="N3" s="1050"/>
      <c r="O3" s="1050"/>
      <c r="P3" s="1050"/>
      <c r="Q3" s="1050"/>
      <c r="R3" s="1050"/>
      <c r="S3" s="1050"/>
      <c r="T3" s="1050"/>
    </row>
    <row r="4" spans="1:20" x14ac:dyDescent="0.2">
      <c r="A4" s="1046"/>
      <c r="B4" s="1046"/>
      <c r="C4" s="1046"/>
      <c r="D4" s="1046"/>
      <c r="E4" s="1046"/>
      <c r="F4" s="1046"/>
      <c r="G4" s="1046"/>
      <c r="H4" s="1046"/>
      <c r="I4" s="1046"/>
      <c r="J4" s="1046"/>
      <c r="K4" s="1046"/>
      <c r="L4" s="1046"/>
      <c r="M4" s="1046"/>
      <c r="N4" s="1046"/>
      <c r="O4" s="1046"/>
      <c r="P4" s="310"/>
    </row>
    <row r="7" spans="1:20" x14ac:dyDescent="0.2">
      <c r="A7" s="310"/>
      <c r="B7" s="891">
        <v>2025</v>
      </c>
      <c r="C7" s="386"/>
      <c r="D7" s="891">
        <v>2024</v>
      </c>
      <c r="E7" s="386"/>
      <c r="F7" s="891">
        <v>2023</v>
      </c>
      <c r="G7" s="386"/>
      <c r="H7" s="891">
        <v>2022</v>
      </c>
      <c r="I7" s="386"/>
      <c r="J7" s="891">
        <v>2021</v>
      </c>
      <c r="K7" s="386"/>
      <c r="L7" s="891">
        <v>2020</v>
      </c>
      <c r="M7" s="386"/>
      <c r="N7" s="891">
        <v>2019</v>
      </c>
      <c r="O7" s="310"/>
      <c r="P7" s="891">
        <v>2018</v>
      </c>
      <c r="R7" s="891">
        <v>2017</v>
      </c>
      <c r="T7" s="276">
        <v>2016</v>
      </c>
    </row>
    <row r="8" spans="1:20" x14ac:dyDescent="0.2">
      <c r="A8" s="310"/>
      <c r="B8" s="310"/>
      <c r="C8" s="310"/>
      <c r="D8" s="310"/>
      <c r="E8" s="310"/>
      <c r="F8" s="310"/>
      <c r="G8" s="310"/>
      <c r="H8" s="310"/>
      <c r="I8" s="310"/>
      <c r="J8" s="310"/>
      <c r="K8" s="310"/>
      <c r="L8" s="465"/>
      <c r="M8" s="310"/>
      <c r="N8" s="465"/>
      <c r="O8" s="310"/>
      <c r="P8" s="465"/>
    </row>
    <row r="9" spans="1:20" x14ac:dyDescent="0.2">
      <c r="A9" s="273" t="s">
        <v>321</v>
      </c>
      <c r="B9" s="269">
        <v>4.5890000000000002E-3</v>
      </c>
      <c r="C9" s="273"/>
      <c r="D9" s="269">
        <f>0.45522%</f>
        <v>4.5522000000000002E-3</v>
      </c>
      <c r="E9" s="269"/>
      <c r="F9" s="269">
        <v>4.4999999999999997E-3</v>
      </c>
      <c r="G9" s="273"/>
      <c r="H9" s="269">
        <v>4.2399999999999998E-3</v>
      </c>
      <c r="I9" s="273"/>
      <c r="J9" s="269">
        <v>4.5500000000000002E-3</v>
      </c>
      <c r="K9" s="489"/>
      <c r="L9" s="269">
        <v>4.5900000000000003E-3</v>
      </c>
      <c r="M9" s="310"/>
      <c r="N9" s="269">
        <v>4.5700000000000003E-3</v>
      </c>
      <c r="O9" s="310"/>
      <c r="P9" s="269">
        <v>4.5199999999999997E-3</v>
      </c>
      <c r="R9" s="599">
        <v>4.2300000000000003E-3</v>
      </c>
      <c r="T9" s="873">
        <v>0.42</v>
      </c>
    </row>
    <row r="10" spans="1:20" ht="24.75" customHeight="1" x14ac:dyDescent="0.2">
      <c r="A10" s="268" t="s">
        <v>322</v>
      </c>
      <c r="B10" s="306">
        <v>-76023</v>
      </c>
      <c r="C10" s="268"/>
      <c r="D10" s="306">
        <v>-77702</v>
      </c>
      <c r="E10" s="304"/>
      <c r="F10" s="270">
        <v>-84103</v>
      </c>
      <c r="G10" s="268"/>
      <c r="H10" s="270">
        <v>-98279</v>
      </c>
      <c r="I10" s="268"/>
      <c r="J10" s="270">
        <v>-102287</v>
      </c>
      <c r="K10" s="313"/>
      <c r="L10" s="270">
        <v>-98062</v>
      </c>
      <c r="M10" s="310"/>
      <c r="N10" s="270">
        <v>-97084</v>
      </c>
      <c r="O10" s="310"/>
      <c r="P10" s="270">
        <v>-96488</v>
      </c>
      <c r="R10" s="270">
        <v>-94864</v>
      </c>
      <c r="T10" s="874">
        <v>-93545</v>
      </c>
    </row>
    <row r="11" spans="1:20" ht="25.5" customHeight="1" x14ac:dyDescent="0.2">
      <c r="A11" s="268" t="s">
        <v>325</v>
      </c>
      <c r="B11" s="870">
        <v>1.502</v>
      </c>
      <c r="C11" s="268"/>
      <c r="D11" s="870">
        <v>1.5580000000000001</v>
      </c>
      <c r="E11" s="309"/>
      <c r="F11" s="864">
        <v>1.571</v>
      </c>
      <c r="G11" s="268"/>
      <c r="H11" s="864">
        <v>1.5409999999999999</v>
      </c>
      <c r="I11" s="268"/>
      <c r="J11" s="864">
        <v>1.7362</v>
      </c>
      <c r="K11" s="489"/>
      <c r="L11" s="864">
        <v>1.6411</v>
      </c>
      <c r="M11" s="310"/>
      <c r="N11" s="864">
        <v>1.6023000000000001</v>
      </c>
      <c r="O11" s="310"/>
      <c r="P11" s="864">
        <v>1.5377000000000001</v>
      </c>
      <c r="R11" s="866">
        <v>1.6016999999999999</v>
      </c>
      <c r="T11" s="866">
        <v>1.9729000000000001</v>
      </c>
    </row>
    <row r="12" spans="1:20" x14ac:dyDescent="0.2">
      <c r="A12" s="268"/>
      <c r="B12" s="268"/>
      <c r="C12" s="268"/>
      <c r="D12" s="309"/>
      <c r="E12" s="268"/>
      <c r="F12" s="309"/>
      <c r="G12" s="309"/>
      <c r="H12" s="272"/>
      <c r="I12" s="268"/>
      <c r="J12" s="272"/>
      <c r="K12" s="268"/>
      <c r="L12" s="272"/>
      <c r="M12" s="489"/>
      <c r="N12" s="272"/>
      <c r="O12" s="310"/>
      <c r="P12" s="269"/>
    </row>
    <row r="13" spans="1:20" x14ac:dyDescent="0.2">
      <c r="A13" s="268"/>
      <c r="B13" s="268"/>
      <c r="C13" s="268"/>
      <c r="D13" s="309"/>
      <c r="E13" s="268"/>
      <c r="F13" s="309"/>
      <c r="G13" s="309"/>
      <c r="H13" s="272"/>
      <c r="I13" s="268"/>
      <c r="J13" s="272"/>
      <c r="K13" s="268"/>
      <c r="L13" s="272"/>
      <c r="M13" s="489"/>
      <c r="N13" s="272"/>
      <c r="O13" s="310"/>
      <c r="P13" s="269"/>
    </row>
    <row r="14" spans="1:20" x14ac:dyDescent="0.2">
      <c r="A14" s="268"/>
      <c r="B14" s="268"/>
      <c r="C14" s="268"/>
      <c r="D14" s="309"/>
      <c r="E14" s="268"/>
      <c r="F14" s="309"/>
      <c r="G14" s="309"/>
      <c r="H14" s="272"/>
      <c r="I14" s="268"/>
      <c r="J14" s="272"/>
      <c r="K14" s="268"/>
      <c r="L14" s="272"/>
      <c r="M14" s="489"/>
      <c r="N14" s="272"/>
      <c r="O14" s="310"/>
      <c r="P14" s="269"/>
    </row>
    <row r="15" spans="1:20" x14ac:dyDescent="0.2">
      <c r="A15" s="656" t="s">
        <v>982</v>
      </c>
    </row>
    <row r="16" spans="1:20" x14ac:dyDescent="0.2">
      <c r="A16" s="657" t="s">
        <v>981</v>
      </c>
    </row>
    <row r="17" spans="1:20" x14ac:dyDescent="0.2">
      <c r="A17" s="919" t="s">
        <v>1139</v>
      </c>
      <c r="B17" s="273"/>
      <c r="C17" s="273"/>
      <c r="D17" s="273"/>
      <c r="E17" s="273"/>
      <c r="F17" s="273"/>
      <c r="G17" s="273"/>
      <c r="H17" s="273"/>
      <c r="I17" s="273"/>
      <c r="J17" s="273"/>
      <c r="K17" s="273"/>
      <c r="L17" s="310"/>
      <c r="M17" s="310"/>
      <c r="N17" s="310"/>
      <c r="O17" s="310"/>
      <c r="P17" s="310"/>
    </row>
    <row r="18" spans="1:20" x14ac:dyDescent="0.2">
      <c r="A18" s="920"/>
      <c r="B18" s="273"/>
      <c r="C18" s="273"/>
      <c r="D18" s="273"/>
      <c r="E18" s="273"/>
      <c r="F18" s="273"/>
      <c r="G18" s="273"/>
      <c r="H18" s="273"/>
      <c r="I18" s="273"/>
      <c r="J18" s="273"/>
      <c r="K18" s="273"/>
      <c r="L18" s="310"/>
      <c r="M18" s="310"/>
      <c r="N18" s="310"/>
      <c r="O18" s="310"/>
      <c r="P18" s="310"/>
    </row>
    <row r="19" spans="1:20" x14ac:dyDescent="0.2">
      <c r="A19" s="273"/>
      <c r="B19" s="273"/>
      <c r="C19" s="273"/>
      <c r="D19" s="273"/>
      <c r="E19" s="273"/>
      <c r="F19" s="273"/>
      <c r="G19" s="273"/>
      <c r="H19" s="273"/>
      <c r="I19" s="273"/>
      <c r="J19" s="273"/>
      <c r="K19" s="273"/>
      <c r="L19" s="310"/>
      <c r="M19" s="310"/>
      <c r="N19" s="310"/>
      <c r="O19" s="310"/>
      <c r="P19" s="310"/>
    </row>
    <row r="20" spans="1:20" ht="13.5" thickBot="1" x14ac:dyDescent="0.25">
      <c r="A20" s="310"/>
      <c r="B20" s="310"/>
      <c r="C20" s="310"/>
      <c r="D20" s="310"/>
      <c r="E20" s="310"/>
      <c r="F20" s="310"/>
      <c r="G20" s="310"/>
      <c r="H20" s="310"/>
      <c r="I20" s="310"/>
      <c r="J20" s="310"/>
      <c r="K20" s="310"/>
      <c r="L20" s="310"/>
      <c r="M20" s="310"/>
      <c r="N20" s="310"/>
      <c r="O20" s="310"/>
      <c r="P20" s="310"/>
    </row>
    <row r="21" spans="1:20" ht="64.5" customHeight="1" thickBot="1" x14ac:dyDescent="0.25">
      <c r="A21" s="1061" t="s">
        <v>1165</v>
      </c>
      <c r="B21" s="1062"/>
      <c r="C21" s="1062"/>
      <c r="D21" s="1062"/>
      <c r="E21" s="1062"/>
      <c r="F21" s="1062"/>
      <c r="G21" s="1062"/>
      <c r="H21" s="1062"/>
      <c r="I21" s="1062"/>
      <c r="J21" s="1062"/>
      <c r="K21" s="1062"/>
      <c r="L21" s="1062"/>
      <c r="M21" s="1062"/>
      <c r="N21" s="1062"/>
      <c r="O21" s="1062"/>
      <c r="P21" s="1062"/>
      <c r="Q21" s="1062"/>
      <c r="R21" s="1062"/>
      <c r="S21" s="1062"/>
      <c r="T21" s="1063"/>
    </row>
    <row r="22" spans="1:20" x14ac:dyDescent="0.2">
      <c r="A22"/>
      <c r="B22"/>
      <c r="C22"/>
      <c r="D22"/>
      <c r="E22"/>
      <c r="F22"/>
      <c r="G22"/>
      <c r="H22"/>
      <c r="I22"/>
      <c r="J22"/>
      <c r="K22"/>
      <c r="L22"/>
      <c r="M22"/>
      <c r="N22"/>
      <c r="O22"/>
      <c r="P22"/>
    </row>
    <row r="23" spans="1:20" x14ac:dyDescent="0.2">
      <c r="A23"/>
      <c r="B23"/>
      <c r="C23"/>
      <c r="D23"/>
      <c r="E23"/>
      <c r="F23"/>
      <c r="G23"/>
      <c r="H23"/>
      <c r="I23"/>
      <c r="J23"/>
      <c r="K23"/>
      <c r="L23"/>
      <c r="M23"/>
      <c r="N23"/>
      <c r="O23"/>
      <c r="P23"/>
    </row>
    <row r="24" spans="1:20" x14ac:dyDescent="0.2">
      <c r="A24"/>
      <c r="B24"/>
      <c r="C24"/>
      <c r="D24"/>
      <c r="E24"/>
      <c r="F24"/>
      <c r="G24"/>
      <c r="H24"/>
      <c r="I24"/>
      <c r="J24"/>
      <c r="K24"/>
      <c r="L24"/>
      <c r="M24"/>
      <c r="N24"/>
      <c r="O24"/>
      <c r="P24"/>
    </row>
    <row r="25" spans="1:20" x14ac:dyDescent="0.2">
      <c r="A25"/>
      <c r="B25"/>
      <c r="C25"/>
      <c r="D25"/>
      <c r="E25"/>
      <c r="F25"/>
      <c r="G25"/>
      <c r="H25"/>
      <c r="I25"/>
      <c r="J25"/>
      <c r="K25"/>
      <c r="L25"/>
      <c r="M25"/>
      <c r="N25"/>
      <c r="O25"/>
      <c r="P25"/>
    </row>
    <row r="26" spans="1:20" x14ac:dyDescent="0.2">
      <c r="A26" s="87"/>
      <c r="B26" s="87"/>
      <c r="C26" s="87"/>
      <c r="D26" s="87"/>
      <c r="E26" s="87"/>
      <c r="F26" s="87"/>
      <c r="G26" s="87"/>
      <c r="H26" s="87"/>
      <c r="I26" s="310"/>
      <c r="J26" s="397"/>
      <c r="K26" s="397"/>
      <c r="L26" s="397"/>
      <c r="M26" s="87"/>
      <c r="N26" s="87"/>
      <c r="O26" s="87"/>
      <c r="P26" s="310"/>
    </row>
    <row r="27" spans="1:20" x14ac:dyDescent="0.2">
      <c r="A27" s="87"/>
      <c r="B27" s="87"/>
      <c r="C27" s="87"/>
      <c r="D27" s="87"/>
      <c r="E27" s="87"/>
      <c r="F27" s="87"/>
      <c r="G27" s="87"/>
      <c r="H27" s="87"/>
      <c r="I27" s="87"/>
      <c r="J27" s="87"/>
      <c r="K27" s="87"/>
      <c r="L27" s="87"/>
      <c r="M27" s="87"/>
      <c r="N27" s="87"/>
      <c r="O27" s="87"/>
      <c r="P27" s="310"/>
    </row>
    <row r="28" spans="1:20" x14ac:dyDescent="0.2">
      <c r="A28" s="87"/>
      <c r="B28" s="87"/>
      <c r="C28" s="87"/>
      <c r="D28" s="87"/>
      <c r="E28" s="87"/>
      <c r="F28" s="87"/>
      <c r="G28" s="87"/>
      <c r="H28" s="87"/>
      <c r="I28" s="87"/>
      <c r="J28" s="87"/>
      <c r="K28" s="87"/>
      <c r="L28" s="396"/>
      <c r="M28" s="87"/>
      <c r="N28" s="87"/>
      <c r="O28" s="87"/>
      <c r="P28" s="310"/>
    </row>
    <row r="29" spans="1:20" x14ac:dyDescent="0.2">
      <c r="A29" s="310"/>
      <c r="B29" s="310"/>
      <c r="C29" s="310"/>
      <c r="D29" s="310"/>
      <c r="E29" s="310"/>
      <c r="F29" s="310"/>
      <c r="G29" s="310"/>
      <c r="H29" s="310"/>
      <c r="I29" s="310"/>
      <c r="J29" s="310"/>
      <c r="K29" s="310"/>
      <c r="L29" s="310"/>
      <c r="M29" s="310"/>
      <c r="N29" s="310"/>
      <c r="O29" s="310"/>
      <c r="P29" s="310"/>
    </row>
  </sheetData>
  <customSheetViews>
    <customSheetView guid="{E0C60316-4586-4AAF-92CB-FA82BB1EB755}">
      <selection sqref="A1:I1"/>
      <colBreaks count="1" manualBreakCount="1">
        <brk id="10" max="26" man="1"/>
      </colBreaks>
      <pageMargins left="0" right="0" top="0" bottom="0" header="0" footer="0"/>
      <pageSetup scale="83" orientation="portrait" r:id="rId1"/>
    </customSheetView>
    <customSheetView guid="{A8748736-0722-49EB-85B6-C9B52DDCFE0E}" showPageBreaks="1" fitToPage="1" printArea="1">
      <selection activeCell="A22" sqref="A22"/>
      <colBreaks count="1" manualBreakCount="1">
        <brk id="17" max="1048575" man="1"/>
      </colBreaks>
      <pageMargins left="0.7" right="0.7" top="0.75" bottom="0.75" header="0.3" footer="0.3"/>
      <pageSetup scale="55" orientation="portrait" r:id="rId2"/>
    </customSheetView>
  </customSheetViews>
  <mergeCells count="5">
    <mergeCell ref="A4:O4"/>
    <mergeCell ref="A2:T2"/>
    <mergeCell ref="A1:T1"/>
    <mergeCell ref="A3:T3"/>
    <mergeCell ref="A21:T21"/>
  </mergeCells>
  <pageMargins left="0.7" right="0.7" top="0.75" bottom="0.75" header="0.3" footer="0.3"/>
  <pageSetup scale="52" orientation="portrait" r:id="rId3"/>
  <colBreaks count="1" manualBreakCount="1">
    <brk id="1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9"/>
  <sheetViews>
    <sheetView workbookViewId="0"/>
  </sheetViews>
  <sheetFormatPr defaultColWidth="9.140625" defaultRowHeight="12.75" x14ac:dyDescent="0.2"/>
  <cols>
    <col min="1" max="1" width="30.7109375" customWidth="1"/>
    <col min="2" max="9" width="15.7109375" customWidth="1"/>
    <col min="10" max="10" width="11.5703125" bestFit="1" customWidth="1"/>
  </cols>
  <sheetData>
    <row r="1" spans="1:10" x14ac:dyDescent="0.2">
      <c r="A1" s="32"/>
      <c r="B1" s="32"/>
      <c r="C1" s="32"/>
      <c r="D1" s="32"/>
      <c r="E1" s="434" t="s">
        <v>53</v>
      </c>
      <c r="F1" s="32"/>
      <c r="G1" s="32"/>
      <c r="H1" s="32"/>
      <c r="J1" s="434" t="s">
        <v>53</v>
      </c>
    </row>
    <row r="2" spans="1:10" x14ac:dyDescent="0.2">
      <c r="A2" s="29" t="s">
        <v>0</v>
      </c>
      <c r="B2" s="29"/>
      <c r="C2" s="29"/>
      <c r="D2" s="29"/>
      <c r="E2" s="29"/>
      <c r="F2" s="32"/>
      <c r="G2" s="32"/>
      <c r="H2" s="32"/>
      <c r="I2" s="434"/>
    </row>
    <row r="3" spans="1:10" x14ac:dyDescent="0.2">
      <c r="A3" s="29" t="s">
        <v>54</v>
      </c>
      <c r="B3" s="29"/>
      <c r="C3" s="29"/>
      <c r="D3" s="29"/>
      <c r="E3" s="29"/>
      <c r="F3" s="32"/>
      <c r="G3" s="32"/>
      <c r="H3" s="32"/>
      <c r="I3" s="32"/>
    </row>
    <row r="4" spans="1:10" x14ac:dyDescent="0.2">
      <c r="A4" s="29" t="s">
        <v>55</v>
      </c>
      <c r="B4" s="29"/>
      <c r="C4" s="29"/>
      <c r="D4" s="29"/>
      <c r="E4" s="29"/>
      <c r="F4" s="32"/>
      <c r="G4" s="32"/>
      <c r="H4" s="32"/>
      <c r="I4" s="32"/>
    </row>
    <row r="5" spans="1:10" x14ac:dyDescent="0.2">
      <c r="A5" s="32"/>
      <c r="B5" s="32"/>
      <c r="C5" s="32"/>
      <c r="D5" s="32"/>
      <c r="E5" s="32"/>
      <c r="F5" s="32"/>
      <c r="G5" s="32"/>
      <c r="H5" s="32"/>
      <c r="I5" s="32"/>
    </row>
    <row r="6" spans="1:10" x14ac:dyDescent="0.2">
      <c r="A6" s="32"/>
      <c r="B6" s="32"/>
      <c r="C6" s="996" t="s">
        <v>56</v>
      </c>
      <c r="D6" s="996"/>
      <c r="E6" s="996"/>
      <c r="F6" s="996" t="s">
        <v>57</v>
      </c>
      <c r="G6" s="996"/>
      <c r="H6" s="996"/>
      <c r="I6" s="996"/>
      <c r="J6" s="46"/>
    </row>
    <row r="7" spans="1:10" x14ac:dyDescent="0.2">
      <c r="A7" s="32"/>
      <c r="B7" s="32"/>
      <c r="C7" s="32"/>
      <c r="D7" s="32"/>
      <c r="E7" s="32"/>
      <c r="F7" s="995" t="s">
        <v>2</v>
      </c>
      <c r="G7" s="995"/>
      <c r="H7" s="995"/>
      <c r="I7" s="33" t="s">
        <v>3</v>
      </c>
      <c r="J7" s="38"/>
    </row>
    <row r="8" spans="1:10" ht="63.75" customHeight="1" x14ac:dyDescent="0.2">
      <c r="A8" s="47" t="s">
        <v>58</v>
      </c>
      <c r="B8" s="283" t="s">
        <v>59</v>
      </c>
      <c r="C8" s="473" t="s">
        <v>60</v>
      </c>
      <c r="D8" s="473" t="s">
        <v>61</v>
      </c>
      <c r="E8" s="473" t="s">
        <v>62</v>
      </c>
      <c r="F8" s="473" t="s">
        <v>4</v>
      </c>
      <c r="G8" s="473" t="s">
        <v>5</v>
      </c>
      <c r="H8" s="283" t="s">
        <v>6</v>
      </c>
      <c r="I8" s="1" t="s">
        <v>7</v>
      </c>
      <c r="J8" s="1" t="s">
        <v>8</v>
      </c>
    </row>
    <row r="9" spans="1:10" x14ac:dyDescent="0.2">
      <c r="A9" s="32" t="s">
        <v>63</v>
      </c>
      <c r="B9" s="32"/>
      <c r="C9" s="32"/>
      <c r="D9" s="32"/>
      <c r="E9" s="32"/>
      <c r="F9" s="32"/>
      <c r="G9" s="32"/>
      <c r="H9" s="32"/>
      <c r="I9" s="32"/>
    </row>
    <row r="10" spans="1:10" x14ac:dyDescent="0.2">
      <c r="A10" t="s">
        <v>64</v>
      </c>
    </row>
    <row r="11" spans="1:10" x14ac:dyDescent="0.2">
      <c r="A11" s="4" t="s">
        <v>65</v>
      </c>
      <c r="B11" s="317">
        <f>7078711+52578-50585+60357</f>
        <v>7141061</v>
      </c>
      <c r="C11" s="11">
        <v>485657</v>
      </c>
      <c r="D11" s="11">
        <v>0</v>
      </c>
      <c r="E11" s="11">
        <v>0</v>
      </c>
      <c r="F11" s="11">
        <f>SUM(C11:E11)-B11</f>
        <v>-6655404</v>
      </c>
      <c r="G11" s="11">
        <v>0</v>
      </c>
      <c r="H11" s="11">
        <f t="shared" ref="H11:H18" si="0">SUM(F11:G11)</f>
        <v>-6655404</v>
      </c>
      <c r="I11" s="11"/>
    </row>
    <row r="12" spans="1:10" x14ac:dyDescent="0.2">
      <c r="A12" s="4" t="s">
        <v>40</v>
      </c>
      <c r="B12" s="5">
        <v>7275482</v>
      </c>
      <c r="C12" s="5">
        <v>1827892</v>
      </c>
      <c r="D12" s="5">
        <v>141485</v>
      </c>
      <c r="E12" s="5">
        <v>0</v>
      </c>
      <c r="F12" s="5">
        <f t="shared" ref="F12:F18" si="1">SUM(C12:E12)-B12</f>
        <v>-5306105</v>
      </c>
      <c r="G12" s="5">
        <v>0</v>
      </c>
      <c r="H12" s="5">
        <f t="shared" si="0"/>
        <v>-5306105</v>
      </c>
      <c r="I12" s="5"/>
    </row>
    <row r="13" spans="1:10" x14ac:dyDescent="0.2">
      <c r="A13" s="4" t="s">
        <v>66</v>
      </c>
      <c r="B13" s="5">
        <v>1134158</v>
      </c>
      <c r="C13" s="5">
        <v>0</v>
      </c>
      <c r="D13" s="5">
        <v>0</v>
      </c>
      <c r="E13" s="5">
        <v>0</v>
      </c>
      <c r="F13" s="5">
        <f t="shared" si="1"/>
        <v>-1134158</v>
      </c>
      <c r="G13" s="5">
        <v>0</v>
      </c>
      <c r="H13" s="5">
        <f t="shared" si="0"/>
        <v>-1134158</v>
      </c>
      <c r="I13" s="5"/>
    </row>
    <row r="14" spans="1:10" x14ac:dyDescent="0.2">
      <c r="A14" s="4" t="s">
        <v>67</v>
      </c>
      <c r="B14" s="5">
        <v>1136399</v>
      </c>
      <c r="C14" s="5">
        <v>0</v>
      </c>
      <c r="D14" s="5">
        <v>0</v>
      </c>
      <c r="E14" s="5">
        <v>0</v>
      </c>
      <c r="F14" s="5">
        <f t="shared" si="1"/>
        <v>-1136399</v>
      </c>
      <c r="G14" s="5">
        <v>0</v>
      </c>
      <c r="H14" s="5">
        <f t="shared" si="0"/>
        <v>-1136399</v>
      </c>
      <c r="I14" s="5"/>
    </row>
    <row r="15" spans="1:10" x14ac:dyDescent="0.2">
      <c r="A15" s="4" t="s">
        <v>68</v>
      </c>
      <c r="B15" s="5">
        <v>22424065</v>
      </c>
      <c r="C15" s="5">
        <v>100000</v>
      </c>
      <c r="D15" s="5">
        <f>13144196-619059</f>
        <v>12525137</v>
      </c>
      <c r="E15" s="5">
        <v>0</v>
      </c>
      <c r="F15" s="5">
        <f t="shared" si="1"/>
        <v>-9798928</v>
      </c>
      <c r="G15" s="5">
        <v>0</v>
      </c>
      <c r="H15" s="5">
        <f t="shared" si="0"/>
        <v>-9798928</v>
      </c>
      <c r="I15" s="5"/>
    </row>
    <row r="16" spans="1:10" x14ac:dyDescent="0.2">
      <c r="A16" s="4" t="s">
        <v>69</v>
      </c>
      <c r="B16" s="5">
        <v>2353261</v>
      </c>
      <c r="C16" s="5">
        <v>578373</v>
      </c>
      <c r="D16" s="5">
        <v>0</v>
      </c>
      <c r="E16" s="5">
        <v>102832</v>
      </c>
      <c r="F16" s="5">
        <f t="shared" si="1"/>
        <v>-1672056</v>
      </c>
      <c r="G16" s="5">
        <v>0</v>
      </c>
      <c r="H16" s="5">
        <f t="shared" si="0"/>
        <v>-1672056</v>
      </c>
      <c r="I16" s="5"/>
    </row>
    <row r="17" spans="1:10" x14ac:dyDescent="0.2">
      <c r="A17" s="4" t="s">
        <v>41</v>
      </c>
      <c r="B17" s="5">
        <v>43118616</v>
      </c>
      <c r="C17" s="5">
        <v>0</v>
      </c>
      <c r="D17" s="299">
        <v>683529</v>
      </c>
      <c r="E17" s="5">
        <v>0</v>
      </c>
      <c r="F17" s="5">
        <f t="shared" si="1"/>
        <v>-42435087</v>
      </c>
      <c r="G17" s="5">
        <v>0</v>
      </c>
      <c r="H17" s="5">
        <f t="shared" si="0"/>
        <v>-42435087</v>
      </c>
      <c r="I17" s="5"/>
    </row>
    <row r="18" spans="1:10" x14ac:dyDescent="0.2">
      <c r="A18" s="4" t="s">
        <v>70</v>
      </c>
      <c r="B18" s="6">
        <v>695925</v>
      </c>
      <c r="C18" s="6">
        <v>0</v>
      </c>
      <c r="D18" s="6">
        <v>0</v>
      </c>
      <c r="E18" s="6">
        <v>0</v>
      </c>
      <c r="F18" s="6">
        <f t="shared" si="1"/>
        <v>-695925</v>
      </c>
      <c r="G18" s="6">
        <v>0</v>
      </c>
      <c r="H18" s="6">
        <f t="shared" si="0"/>
        <v>-695925</v>
      </c>
      <c r="I18" s="2"/>
    </row>
    <row r="19" spans="1:10" x14ac:dyDescent="0.2">
      <c r="A19" s="41" t="s">
        <v>71</v>
      </c>
      <c r="B19" s="40">
        <f t="shared" ref="B19:G19" si="2">SUM(B11:B18)</f>
        <v>85278967</v>
      </c>
      <c r="C19" s="40">
        <f t="shared" si="2"/>
        <v>2991922</v>
      </c>
      <c r="D19" s="40">
        <f t="shared" si="2"/>
        <v>13350151</v>
      </c>
      <c r="E19" s="40">
        <f t="shared" si="2"/>
        <v>102832</v>
      </c>
      <c r="F19" s="40">
        <f t="shared" si="2"/>
        <v>-68834062</v>
      </c>
      <c r="G19" s="40">
        <f t="shared" si="2"/>
        <v>0</v>
      </c>
      <c r="H19" s="40">
        <f>SUM(F19:G19)</f>
        <v>-68834062</v>
      </c>
      <c r="I19" s="2"/>
    </row>
    <row r="21" spans="1:10" x14ac:dyDescent="0.2">
      <c r="A21" t="s">
        <v>72</v>
      </c>
    </row>
    <row r="22" spans="1:10" x14ac:dyDescent="0.2">
      <c r="A22" s="4" t="s">
        <v>73</v>
      </c>
      <c r="B22" s="5">
        <v>286728</v>
      </c>
      <c r="C22" s="5">
        <v>225995</v>
      </c>
      <c r="D22" s="5">
        <v>100</v>
      </c>
      <c r="E22" s="5">
        <v>0</v>
      </c>
      <c r="F22" s="5">
        <v>0</v>
      </c>
      <c r="G22" s="48">
        <f>SUM(C22:E22)-B22</f>
        <v>-60633</v>
      </c>
      <c r="H22" s="5">
        <f>SUM(F22:G22)</f>
        <v>-60633</v>
      </c>
    </row>
    <row r="23" spans="1:10" x14ac:dyDescent="0.2">
      <c r="A23" s="4" t="s">
        <v>74</v>
      </c>
      <c r="B23" s="6">
        <v>483282</v>
      </c>
      <c r="C23" s="6">
        <f>779108+1000</f>
        <v>780108</v>
      </c>
      <c r="D23" s="6">
        <f>7100+5000</f>
        <v>12100</v>
      </c>
      <c r="E23" s="6">
        <f>125348+530</f>
        <v>125878</v>
      </c>
      <c r="F23" s="6">
        <v>0</v>
      </c>
      <c r="G23" s="2">
        <f>SUM(C23:E23)-B23</f>
        <v>434804</v>
      </c>
      <c r="H23" s="2">
        <f>SUM(F23:G23)</f>
        <v>434804</v>
      </c>
    </row>
    <row r="24" spans="1:10" x14ac:dyDescent="0.2">
      <c r="A24" s="41" t="s">
        <v>75</v>
      </c>
      <c r="B24" s="40">
        <f t="shared" ref="B24:H24" si="3">SUM(B22:B23)</f>
        <v>770010</v>
      </c>
      <c r="C24" s="40">
        <f t="shared" si="3"/>
        <v>1006103</v>
      </c>
      <c r="D24" s="40">
        <f t="shared" si="3"/>
        <v>12200</v>
      </c>
      <c r="E24" s="40">
        <f t="shared" si="3"/>
        <v>125878</v>
      </c>
      <c r="F24" s="40">
        <f t="shared" si="3"/>
        <v>0</v>
      </c>
      <c r="G24" s="40">
        <f t="shared" si="3"/>
        <v>374171</v>
      </c>
      <c r="H24" s="40">
        <f t="shared" si="3"/>
        <v>374171</v>
      </c>
    </row>
    <row r="25" spans="1:10" ht="13.5" thickBot="1" x14ac:dyDescent="0.25">
      <c r="A25" s="87" t="s">
        <v>76</v>
      </c>
      <c r="B25" s="42">
        <f t="shared" ref="B25:H25" si="4">+B19+B24</f>
        <v>86048977</v>
      </c>
      <c r="C25" s="42">
        <f t="shared" si="4"/>
        <v>3998025</v>
      </c>
      <c r="D25" s="42">
        <f t="shared" si="4"/>
        <v>13362351</v>
      </c>
      <c r="E25" s="42">
        <f t="shared" si="4"/>
        <v>228710</v>
      </c>
      <c r="F25" s="320">
        <f t="shared" si="4"/>
        <v>-68834062</v>
      </c>
      <c r="G25" s="40">
        <f t="shared" si="4"/>
        <v>374171</v>
      </c>
      <c r="H25" s="40">
        <f t="shared" si="4"/>
        <v>-68459891</v>
      </c>
      <c r="I25" s="39"/>
    </row>
    <row r="26" spans="1:10" ht="13.5" thickTop="1" x14ac:dyDescent="0.2"/>
    <row r="27" spans="1:10" x14ac:dyDescent="0.2">
      <c r="A27" t="s">
        <v>77</v>
      </c>
    </row>
    <row r="28" spans="1:10" x14ac:dyDescent="0.2">
      <c r="A28" s="4" t="s">
        <v>78</v>
      </c>
      <c r="B28" s="11">
        <f>38441831+2033573+144537</f>
        <v>40619941</v>
      </c>
      <c r="C28" s="11">
        <v>43127674</v>
      </c>
      <c r="D28" s="11">
        <v>1241035</v>
      </c>
      <c r="E28" s="11">
        <v>974775</v>
      </c>
      <c r="I28" s="11">
        <f>SUM(C28:E28)-B28</f>
        <v>4723543</v>
      </c>
      <c r="J28" s="49">
        <v>0</v>
      </c>
    </row>
    <row r="29" spans="1:10" x14ac:dyDescent="0.2">
      <c r="A29" s="4" t="s">
        <v>79</v>
      </c>
      <c r="B29" s="6">
        <f>2532470+2773+127850</f>
        <v>2663093</v>
      </c>
      <c r="C29" s="6">
        <v>2661222</v>
      </c>
      <c r="D29" s="6">
        <v>0</v>
      </c>
      <c r="E29" s="6">
        <v>0</v>
      </c>
      <c r="I29" s="6">
        <v>0</v>
      </c>
      <c r="J29" s="50">
        <f>+SUM(C29:E29)-B29</f>
        <v>-1871</v>
      </c>
    </row>
    <row r="30" spans="1:10" ht="13.5" thickBot="1" x14ac:dyDescent="0.25">
      <c r="A30" t="s">
        <v>80</v>
      </c>
      <c r="B30" s="42">
        <f>SUM(B28:B29)</f>
        <v>43283034</v>
      </c>
      <c r="C30" s="42">
        <f>SUM(C28:C29)</f>
        <v>45788896</v>
      </c>
      <c r="D30" s="42">
        <f>SUM(D28:D29)</f>
        <v>1241035</v>
      </c>
      <c r="E30" s="42">
        <f>SUM(E28:E29)</f>
        <v>974775</v>
      </c>
      <c r="I30" s="40">
        <f>SUM(I28:I29)</f>
        <v>4723543</v>
      </c>
      <c r="J30" s="40">
        <f>SUM(J28:J29)</f>
        <v>-1871</v>
      </c>
    </row>
    <row r="31" spans="1:10" ht="13.5" thickTop="1" x14ac:dyDescent="0.2"/>
    <row r="32" spans="1:10" x14ac:dyDescent="0.2">
      <c r="B32" t="s">
        <v>81</v>
      </c>
    </row>
    <row r="33" spans="2:10" x14ac:dyDescent="0.2">
      <c r="B33" s="4" t="s">
        <v>82</v>
      </c>
      <c r="F33" s="5"/>
      <c r="G33" s="5"/>
      <c r="H33" s="5"/>
      <c r="I33" s="5"/>
    </row>
    <row r="34" spans="2:10" x14ac:dyDescent="0.2">
      <c r="B34" s="41" t="s">
        <v>83</v>
      </c>
      <c r="F34" s="5">
        <f>55714915-10945+210632-421264</f>
        <v>55493338</v>
      </c>
      <c r="G34" s="5">
        <v>0</v>
      </c>
      <c r="H34" s="5">
        <f t="shared" ref="H34:H39" si="5">SUM(F34:G34)</f>
        <v>55493338</v>
      </c>
      <c r="I34" s="5">
        <v>0</v>
      </c>
    </row>
    <row r="35" spans="2:10" x14ac:dyDescent="0.2">
      <c r="B35" s="41" t="s">
        <v>84</v>
      </c>
      <c r="F35" s="5">
        <f>13276224-50000</f>
        <v>13226224</v>
      </c>
      <c r="G35" s="5">
        <v>0</v>
      </c>
      <c r="H35" s="5">
        <f t="shared" si="5"/>
        <v>13226224</v>
      </c>
      <c r="I35" s="5"/>
    </row>
    <row r="36" spans="2:10" x14ac:dyDescent="0.2">
      <c r="B36" s="41" t="s">
        <v>85</v>
      </c>
      <c r="F36" s="5">
        <v>276471</v>
      </c>
      <c r="G36" s="5">
        <v>0</v>
      </c>
      <c r="H36" s="5">
        <f t="shared" si="5"/>
        <v>276471</v>
      </c>
      <c r="I36" s="5">
        <v>0</v>
      </c>
    </row>
    <row r="37" spans="2:10" x14ac:dyDescent="0.2">
      <c r="B37" s="4" t="s">
        <v>86</v>
      </c>
      <c r="F37" s="5">
        <v>145522</v>
      </c>
      <c r="G37" s="5">
        <v>101000</v>
      </c>
      <c r="H37" s="5">
        <f t="shared" si="5"/>
        <v>246522</v>
      </c>
      <c r="I37" s="5">
        <v>0</v>
      </c>
    </row>
    <row r="38" spans="2:10" x14ac:dyDescent="0.2">
      <c r="B38" s="4" t="s">
        <v>87</v>
      </c>
      <c r="F38" s="5">
        <f>1599396-549</f>
        <v>1598847</v>
      </c>
      <c r="G38" s="5">
        <v>5960</v>
      </c>
      <c r="H38" s="5">
        <f t="shared" si="5"/>
        <v>1604807</v>
      </c>
      <c r="I38" s="5">
        <v>636856</v>
      </c>
      <c r="J38" s="5">
        <v>7971</v>
      </c>
    </row>
    <row r="39" spans="2:10" x14ac:dyDescent="0.2">
      <c r="B39" s="4" t="s">
        <v>88</v>
      </c>
      <c r="F39" s="5">
        <f>149594+549</f>
        <v>150143</v>
      </c>
      <c r="G39" s="5">
        <v>0</v>
      </c>
      <c r="H39" s="5">
        <f t="shared" si="5"/>
        <v>150143</v>
      </c>
      <c r="I39" s="5">
        <v>0</v>
      </c>
      <c r="J39" s="5">
        <v>0</v>
      </c>
    </row>
    <row r="40" spans="2:10" x14ac:dyDescent="0.2">
      <c r="B40" s="4" t="s">
        <v>89</v>
      </c>
      <c r="F40" s="320">
        <f>SUM(F34:F39)</f>
        <v>70890545</v>
      </c>
      <c r="G40" s="320">
        <f>SUM(G34:G39)</f>
        <v>106960</v>
      </c>
      <c r="H40" s="320">
        <f>SUM(H34:H39)</f>
        <v>70997505</v>
      </c>
      <c r="I40" s="5"/>
      <c r="J40" s="5"/>
    </row>
    <row r="41" spans="2:10" x14ac:dyDescent="0.2">
      <c r="B41" s="51" t="s">
        <v>90</v>
      </c>
      <c r="F41" s="5">
        <v>27482</v>
      </c>
      <c r="G41" s="5" t="s">
        <v>91</v>
      </c>
      <c r="H41" s="5">
        <f>SUM(F41:G41)</f>
        <v>27482</v>
      </c>
      <c r="I41" s="5">
        <v>0</v>
      </c>
      <c r="J41" s="5">
        <v>0</v>
      </c>
    </row>
    <row r="42" spans="2:10" x14ac:dyDescent="0.2">
      <c r="B42" t="s">
        <v>92</v>
      </c>
      <c r="F42" s="6">
        <v>-100000</v>
      </c>
      <c r="G42" s="6">
        <v>100000</v>
      </c>
      <c r="H42" s="6">
        <f>SUM(F42:G42)</f>
        <v>0</v>
      </c>
      <c r="I42" s="6">
        <v>0</v>
      </c>
      <c r="J42" s="6">
        <v>0</v>
      </c>
    </row>
    <row r="43" spans="2:10" x14ac:dyDescent="0.2">
      <c r="B43" s="44" t="s">
        <v>93</v>
      </c>
      <c r="F43" s="40">
        <f>SUM(F34:F39,F41:F42)</f>
        <v>70818027</v>
      </c>
      <c r="G43" s="40">
        <f>SUM(G34:G39,G41:G42)</f>
        <v>206960</v>
      </c>
      <c r="H43" s="40">
        <f>SUM(H34:H39,H41:H42)</f>
        <v>71024987</v>
      </c>
      <c r="I43" s="40">
        <f>SUM(I34:I42)</f>
        <v>636856</v>
      </c>
      <c r="J43" s="40">
        <f>SUM(J34:J42)</f>
        <v>7971</v>
      </c>
    </row>
    <row r="44" spans="2:10" x14ac:dyDescent="0.2">
      <c r="B44" s="331" t="s">
        <v>94</v>
      </c>
      <c r="C44" s="310"/>
      <c r="D44" s="310"/>
      <c r="F44" s="5">
        <f>+F25+F43</f>
        <v>1983965</v>
      </c>
      <c r="G44" s="5">
        <f>+G25+G43</f>
        <v>581131</v>
      </c>
      <c r="H44" s="5">
        <f>+H25+H43</f>
        <v>2565096</v>
      </c>
      <c r="I44" s="5">
        <f>+I30+I43</f>
        <v>5360399</v>
      </c>
      <c r="J44" s="5">
        <f>+J30+J43</f>
        <v>6100</v>
      </c>
    </row>
    <row r="45" spans="2:10" x14ac:dyDescent="0.2">
      <c r="B45" s="310" t="s">
        <v>95</v>
      </c>
      <c r="C45" s="310"/>
      <c r="D45" s="310"/>
      <c r="F45" s="2">
        <f>16267159+1500000</f>
        <v>17767159</v>
      </c>
      <c r="G45" s="2">
        <f>6641235</f>
        <v>6641235</v>
      </c>
      <c r="H45" s="2">
        <f>SUM(F45:G45)</f>
        <v>24408394</v>
      </c>
      <c r="I45" s="2">
        <v>34459415</v>
      </c>
      <c r="J45" s="2">
        <v>385935</v>
      </c>
    </row>
    <row r="46" spans="2:10" ht="13.5" thickBot="1" x14ac:dyDescent="0.25">
      <c r="B46" s="310" t="s">
        <v>96</v>
      </c>
      <c r="C46" s="310"/>
      <c r="D46" s="310"/>
      <c r="F46" s="42">
        <f>F44+F45</f>
        <v>19751124</v>
      </c>
      <c r="G46" s="42">
        <f>G44+G45</f>
        <v>7222366</v>
      </c>
      <c r="H46" s="42">
        <f>H44+H45</f>
        <v>26973490</v>
      </c>
      <c r="I46" s="42">
        <f>I44+I45</f>
        <v>39819814</v>
      </c>
      <c r="J46" s="42">
        <f>J44+J45</f>
        <v>392035</v>
      </c>
    </row>
    <row r="47" spans="2:10" ht="13.5" thickTop="1" x14ac:dyDescent="0.2"/>
    <row r="48" spans="2:10" x14ac:dyDescent="0.2">
      <c r="E48" s="28"/>
    </row>
    <row r="49" spans="1:1" x14ac:dyDescent="0.2">
      <c r="A49" t="e">
        <f>+#REF!</f>
        <v>#REF!</v>
      </c>
    </row>
  </sheetData>
  <customSheetViews>
    <customSheetView guid="{E0C60316-4586-4AAF-92CB-FA82BB1EB755}" state="hidden" topLeftCell="A31">
      <selection activeCell="A34" sqref="A34"/>
      <colBreaks count="1" manualBreakCount="1">
        <brk id="5" max="1048575" man="1"/>
      </colBreaks>
      <pageMargins left="0" right="0" top="0" bottom="0" header="0" footer="0"/>
      <printOptions horizontalCentered="1"/>
      <pageSetup scale="86" firstPageNumber="28" fitToHeight="0" orientation="portrait" useFirstPageNumber="1" r:id="rId1"/>
      <headerFooter alignWithMargins="0"/>
    </customSheetView>
    <customSheetView guid="{A8748736-0722-49EB-85B6-C9B52DDCFE0E}" state="hidden">
      <colBreaks count="1" manualBreakCount="1">
        <brk id="5" max="1048575" man="1"/>
      </colBreaks>
      <pageMargins left="0.75" right="0.75" top="1" bottom="1" header="0.5" footer="0.5"/>
      <printOptions horizontalCentered="1"/>
      <pageSetup scale="86" firstPageNumber="28" fitToHeight="0" orientation="portrait" useFirstPageNumber="1" r:id="rId2"/>
      <headerFooter alignWithMargins="0"/>
    </customSheetView>
  </customSheetViews>
  <mergeCells count="3">
    <mergeCell ref="F7:H7"/>
    <mergeCell ref="C6:E6"/>
    <mergeCell ref="F6:I6"/>
  </mergeCells>
  <phoneticPr fontId="0" type="noConversion"/>
  <printOptions horizontalCentered="1"/>
  <pageMargins left="0.75" right="0.75" top="1" bottom="1" header="0.5" footer="0.5"/>
  <pageSetup scale="86" firstPageNumber="28" fitToHeight="0" orientation="portrait" useFirstPageNumber="1" r:id="rId3"/>
  <headerFooter alignWithMargins="0"/>
  <colBreaks count="1" manualBreakCount="1">
    <brk id="5" max="1048575" man="1"/>
  </colBreaks>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39997558519241921"/>
    <pageSetUpPr fitToPage="1"/>
  </sheetPr>
  <dimension ref="A1:T40"/>
  <sheetViews>
    <sheetView workbookViewId="0">
      <selection activeCell="D5" sqref="D5"/>
    </sheetView>
  </sheetViews>
  <sheetFormatPr defaultColWidth="8.85546875" defaultRowHeight="12.75" x14ac:dyDescent="0.2"/>
  <cols>
    <col min="1" max="1" width="29.85546875" style="30" bestFit="1" customWidth="1"/>
    <col min="2" max="2" width="10.7109375" style="30" customWidth="1"/>
    <col min="3" max="3" width="1.28515625" style="30" customWidth="1"/>
    <col min="4" max="4" width="10.7109375" style="30" customWidth="1"/>
    <col min="5" max="5" width="1.28515625" style="30" customWidth="1"/>
    <col min="6" max="6" width="10.7109375" style="30" customWidth="1"/>
    <col min="7" max="7" width="1.28515625" style="30" customWidth="1"/>
    <col min="8" max="8" width="10.7109375" style="30" customWidth="1"/>
    <col min="9" max="9" width="1.28515625" style="30" customWidth="1"/>
    <col min="10" max="10" width="10.7109375" style="30" customWidth="1"/>
    <col min="11" max="11" width="1.28515625" style="30" customWidth="1"/>
    <col min="12" max="12" width="10.7109375" style="30" customWidth="1"/>
    <col min="13" max="13" width="1.28515625" style="30" customWidth="1"/>
    <col min="14" max="14" width="10.7109375" style="30" customWidth="1"/>
    <col min="15" max="15" width="1.28515625" style="30" customWidth="1"/>
    <col min="16" max="16" width="10.7109375" style="30" customWidth="1"/>
    <col min="17" max="17" width="1.28515625" style="30" customWidth="1"/>
    <col min="18" max="18" width="10.7109375" style="30" customWidth="1"/>
    <col min="19" max="19" width="1.28515625" style="30" customWidth="1"/>
    <col min="20" max="20" width="10.7109375" style="30" customWidth="1"/>
    <col min="21" max="16384" width="8.85546875" style="30"/>
  </cols>
  <sheetData>
    <row r="1" spans="1:20" x14ac:dyDescent="0.2">
      <c r="A1" s="1056" t="s">
        <v>0</v>
      </c>
      <c r="B1" s="1056"/>
      <c r="C1" s="1056"/>
      <c r="D1" s="1056"/>
      <c r="E1" s="1056"/>
      <c r="F1" s="1056"/>
      <c r="G1" s="1056"/>
      <c r="H1" s="1056"/>
      <c r="I1" s="1056"/>
      <c r="J1" s="1056"/>
      <c r="K1" s="1056"/>
      <c r="L1" s="1056"/>
      <c r="M1" s="1056"/>
      <c r="N1" s="1056"/>
      <c r="O1" s="1056"/>
      <c r="P1" s="1056"/>
      <c r="Q1" s="1056"/>
      <c r="R1" s="1056"/>
      <c r="S1" s="1056"/>
      <c r="T1" s="1056"/>
    </row>
    <row r="2" spans="1:20" x14ac:dyDescent="0.2">
      <c r="A2" s="1057" t="s">
        <v>327</v>
      </c>
      <c r="B2" s="1057"/>
      <c r="C2" s="1057"/>
      <c r="D2" s="1057"/>
      <c r="E2" s="1057"/>
      <c r="F2" s="1057"/>
      <c r="G2" s="1057"/>
      <c r="H2" s="1057"/>
      <c r="I2" s="1057"/>
      <c r="J2" s="1057"/>
      <c r="K2" s="1057"/>
      <c r="L2" s="1057"/>
      <c r="M2" s="1057"/>
      <c r="N2" s="1057"/>
      <c r="O2" s="1057"/>
      <c r="P2" s="1057"/>
      <c r="Q2" s="1057"/>
      <c r="R2" s="1057"/>
      <c r="S2" s="1057"/>
      <c r="T2" s="1057"/>
    </row>
    <row r="3" spans="1:20" x14ac:dyDescent="0.2">
      <c r="A3" s="1057" t="s">
        <v>338</v>
      </c>
      <c r="B3" s="1057"/>
      <c r="C3" s="1057"/>
      <c r="D3" s="1057"/>
      <c r="E3" s="1057"/>
      <c r="F3" s="1057"/>
      <c r="G3" s="1057"/>
      <c r="H3" s="1057"/>
      <c r="I3" s="1057"/>
      <c r="J3" s="1057"/>
      <c r="K3" s="1057"/>
      <c r="L3" s="1057"/>
      <c r="M3" s="1057"/>
      <c r="N3" s="1057"/>
      <c r="O3" s="1057"/>
      <c r="P3" s="1057"/>
      <c r="Q3" s="1057"/>
      <c r="R3" s="1057"/>
      <c r="S3" s="1057"/>
      <c r="T3" s="1057"/>
    </row>
    <row r="4" spans="1:20" x14ac:dyDescent="0.2">
      <c r="A4" s="465"/>
      <c r="B4" s="465"/>
      <c r="C4" s="465"/>
      <c r="D4" s="465"/>
      <c r="E4" s="465"/>
      <c r="F4" s="465"/>
      <c r="G4" s="465"/>
      <c r="H4" s="465"/>
      <c r="I4" s="465"/>
      <c r="J4" s="465"/>
      <c r="K4" s="465"/>
      <c r="L4" s="465"/>
      <c r="M4" s="465"/>
      <c r="N4" s="465"/>
      <c r="O4" s="465"/>
      <c r="P4" s="465"/>
    </row>
    <row r="5" spans="1:20" x14ac:dyDescent="0.2">
      <c r="A5" s="465"/>
      <c r="B5" s="465"/>
      <c r="C5" s="465"/>
      <c r="D5" s="465"/>
      <c r="E5" s="465"/>
      <c r="F5" s="465"/>
      <c r="G5" s="465"/>
      <c r="H5" s="465"/>
      <c r="I5" s="465"/>
      <c r="J5" s="465"/>
      <c r="K5" s="465"/>
      <c r="L5" s="465"/>
      <c r="M5" s="465"/>
      <c r="N5" s="465"/>
      <c r="O5" s="465"/>
      <c r="P5" s="465"/>
    </row>
    <row r="7" spans="1:20" x14ac:dyDescent="0.2">
      <c r="A7" s="310"/>
      <c r="B7" s="887">
        <v>2025</v>
      </c>
      <c r="C7" s="34"/>
      <c r="D7" s="887">
        <f>F7+1</f>
        <v>2024</v>
      </c>
      <c r="E7" s="34"/>
      <c r="F7" s="887">
        <f t="shared" ref="F7" si="0">H7+1</f>
        <v>2023</v>
      </c>
      <c r="G7" s="34"/>
      <c r="H7" s="887">
        <f t="shared" ref="H7" si="1">J7+1</f>
        <v>2022</v>
      </c>
      <c r="I7" s="34"/>
      <c r="J7" s="887">
        <f t="shared" ref="J7" si="2">L7+1</f>
        <v>2021</v>
      </c>
      <c r="K7" s="34"/>
      <c r="L7" s="887">
        <f t="shared" ref="L7" si="3">N7+1</f>
        <v>2020</v>
      </c>
      <c r="M7" s="34"/>
      <c r="N7" s="887">
        <v>2019</v>
      </c>
      <c r="O7" s="465"/>
      <c r="P7" s="887">
        <v>2018</v>
      </c>
      <c r="Q7" s="465"/>
      <c r="R7" s="887">
        <v>2017</v>
      </c>
      <c r="T7" s="283">
        <v>2016</v>
      </c>
    </row>
    <row r="8" spans="1:20" x14ac:dyDescent="0.2">
      <c r="A8" s="310"/>
      <c r="B8" s="310"/>
      <c r="C8" s="310"/>
      <c r="D8" s="310"/>
      <c r="E8" s="310"/>
      <c r="F8" s="310"/>
      <c r="G8" s="310"/>
      <c r="H8" s="310"/>
      <c r="I8" s="310"/>
      <c r="J8" s="310"/>
      <c r="K8" s="310"/>
      <c r="L8" s="465"/>
      <c r="M8" s="465"/>
      <c r="N8" s="465"/>
      <c r="O8" s="465"/>
      <c r="P8" s="465"/>
    </row>
    <row r="9" spans="1:20" x14ac:dyDescent="0.2">
      <c r="A9" s="273" t="s">
        <v>328</v>
      </c>
      <c r="B9" s="271">
        <v>4000</v>
      </c>
      <c r="C9" s="273"/>
      <c r="D9" s="271">
        <v>3200</v>
      </c>
      <c r="E9" s="273"/>
      <c r="F9" s="271">
        <v>3800</v>
      </c>
      <c r="G9" s="273"/>
      <c r="H9" s="271">
        <v>4500</v>
      </c>
      <c r="I9" s="273"/>
      <c r="J9" s="271">
        <v>4000</v>
      </c>
      <c r="K9" s="310"/>
      <c r="L9" s="271">
        <v>3685</v>
      </c>
      <c r="M9" s="310"/>
      <c r="N9" s="271">
        <v>3595</v>
      </c>
      <c r="O9" s="310"/>
      <c r="P9" s="271">
        <v>4635</v>
      </c>
      <c r="R9" s="600">
        <v>4356</v>
      </c>
      <c r="T9" s="871">
        <v>4221</v>
      </c>
    </row>
    <row r="10" spans="1:20" ht="27" customHeight="1" x14ac:dyDescent="0.2">
      <c r="A10" s="278" t="s">
        <v>329</v>
      </c>
      <c r="B10" s="274">
        <v>4000</v>
      </c>
      <c r="C10" s="278"/>
      <c r="D10" s="274">
        <v>3200</v>
      </c>
      <c r="E10" s="278"/>
      <c r="F10" s="274">
        <v>3800</v>
      </c>
      <c r="G10" s="278"/>
      <c r="H10" s="274">
        <v>4500</v>
      </c>
      <c r="I10" s="278"/>
      <c r="J10" s="274">
        <v>4000</v>
      </c>
      <c r="K10" s="310"/>
      <c r="L10" s="274">
        <f>L9</f>
        <v>3685</v>
      </c>
      <c r="M10" s="310"/>
      <c r="N10" s="274">
        <v>3595</v>
      </c>
      <c r="O10" s="310"/>
      <c r="P10" s="274">
        <v>4635</v>
      </c>
      <c r="R10" s="274">
        <v>4356</v>
      </c>
      <c r="T10" s="872">
        <v>4221</v>
      </c>
    </row>
    <row r="11" spans="1:20" ht="13.5" thickBot="1" x14ac:dyDescent="0.25">
      <c r="A11" s="273" t="s">
        <v>330</v>
      </c>
      <c r="B11" s="275">
        <f>B9-B10</f>
        <v>0</v>
      </c>
      <c r="C11" s="273"/>
      <c r="D11" s="275">
        <f>D9-D10</f>
        <v>0</v>
      </c>
      <c r="E11" s="273"/>
      <c r="F11" s="275">
        <f>F9-F10</f>
        <v>0</v>
      </c>
      <c r="G11" s="273"/>
      <c r="H11" s="275">
        <f>H9-H10</f>
        <v>0</v>
      </c>
      <c r="I11" s="273"/>
      <c r="J11" s="275">
        <f>J9-J10</f>
        <v>0</v>
      </c>
      <c r="K11" s="310"/>
      <c r="L11" s="275">
        <f>L9-L10</f>
        <v>0</v>
      </c>
      <c r="M11" s="310"/>
      <c r="N11" s="275">
        <f>N9-N10</f>
        <v>0</v>
      </c>
      <c r="O11" s="310"/>
      <c r="P11" s="275">
        <f>P9-P10</f>
        <v>0</v>
      </c>
      <c r="R11" s="275">
        <f>R9-R10</f>
        <v>0</v>
      </c>
      <c r="T11" s="275">
        <f>T9-T10</f>
        <v>0</v>
      </c>
    </row>
    <row r="12" spans="1:20" ht="13.5" thickTop="1" x14ac:dyDescent="0.2">
      <c r="A12" s="273"/>
      <c r="B12" s="387"/>
      <c r="C12" s="273"/>
      <c r="D12" s="387"/>
      <c r="E12" s="273"/>
      <c r="F12" s="387"/>
      <c r="G12" s="273"/>
      <c r="H12" s="387"/>
      <c r="I12" s="273"/>
      <c r="J12" s="387"/>
      <c r="K12" s="310"/>
      <c r="L12" s="387"/>
      <c r="M12" s="310"/>
      <c r="N12" s="387"/>
      <c r="O12" s="310"/>
      <c r="P12" s="387"/>
      <c r="R12" s="387"/>
      <c r="T12" s="387"/>
    </row>
    <row r="13" spans="1:20" x14ac:dyDescent="0.2">
      <c r="A13" s="273"/>
      <c r="B13" s="387"/>
      <c r="C13" s="273"/>
      <c r="D13" s="387"/>
      <c r="E13" s="273"/>
      <c r="F13" s="387"/>
      <c r="G13" s="273"/>
      <c r="H13" s="387"/>
      <c r="I13" s="273"/>
      <c r="J13" s="387"/>
      <c r="K13" s="310"/>
      <c r="L13" s="387"/>
      <c r="M13" s="310"/>
      <c r="N13" s="387"/>
      <c r="O13" s="310"/>
      <c r="P13" s="387"/>
      <c r="R13" s="387"/>
      <c r="T13" s="387"/>
    </row>
    <row r="14" spans="1:20" x14ac:dyDescent="0.2">
      <c r="A14" s="273"/>
      <c r="B14" s="387"/>
      <c r="C14" s="273"/>
      <c r="D14" s="387"/>
      <c r="E14" s="273"/>
      <c r="F14" s="387"/>
      <c r="G14" s="273"/>
      <c r="H14" s="387"/>
      <c r="I14" s="273"/>
      <c r="J14" s="387"/>
      <c r="K14" s="310"/>
      <c r="L14" s="387"/>
      <c r="M14" s="310"/>
      <c r="N14" s="387"/>
      <c r="O14" s="310"/>
      <c r="P14" s="387"/>
      <c r="R14" s="387"/>
      <c r="T14" s="387"/>
    </row>
    <row r="15" spans="1:20" x14ac:dyDescent="0.2">
      <c r="A15" s="656" t="s">
        <v>982</v>
      </c>
      <c r="B15" s="387"/>
      <c r="C15" s="273"/>
      <c r="D15" s="387"/>
      <c r="E15" s="273"/>
      <c r="F15" s="387"/>
      <c r="G15" s="273"/>
      <c r="H15" s="387"/>
      <c r="I15" s="273"/>
      <c r="J15" s="387"/>
      <c r="K15" s="310"/>
      <c r="L15" s="387"/>
      <c r="M15" s="310"/>
      <c r="N15" s="387"/>
      <c r="O15" s="310"/>
      <c r="P15" s="387"/>
      <c r="R15" s="387"/>
      <c r="T15" s="387"/>
    </row>
    <row r="16" spans="1:20" x14ac:dyDescent="0.2">
      <c r="A16" s="273" t="s">
        <v>1160</v>
      </c>
      <c r="B16" s="387"/>
      <c r="C16" s="273"/>
      <c r="D16" s="387"/>
      <c r="E16" s="273"/>
      <c r="F16" s="387"/>
      <c r="G16" s="273"/>
      <c r="H16" s="387"/>
      <c r="I16" s="273"/>
      <c r="J16" s="387"/>
      <c r="K16" s="310"/>
      <c r="L16" s="387"/>
      <c r="M16" s="310"/>
      <c r="N16" s="387"/>
      <c r="O16" s="310"/>
      <c r="P16" s="387"/>
      <c r="R16" s="387"/>
      <c r="T16" s="387"/>
    </row>
    <row r="17" spans="1:20" x14ac:dyDescent="0.2">
      <c r="A17" s="273"/>
      <c r="B17" s="387"/>
      <c r="C17" s="273"/>
      <c r="D17" s="387"/>
      <c r="E17" s="273"/>
      <c r="F17" s="387"/>
      <c r="G17" s="273"/>
      <c r="H17" s="387"/>
      <c r="I17" s="273"/>
      <c r="J17" s="387"/>
      <c r="K17" s="310"/>
      <c r="L17" s="387"/>
      <c r="M17" s="310"/>
      <c r="N17" s="387"/>
      <c r="O17" s="310"/>
      <c r="P17" s="387"/>
      <c r="R17" s="387"/>
      <c r="T17" s="387"/>
    </row>
    <row r="18" spans="1:20" x14ac:dyDescent="0.2">
      <c r="A18" s="273" t="s">
        <v>1161</v>
      </c>
      <c r="B18" s="387"/>
      <c r="C18" s="273"/>
      <c r="D18" s="387"/>
      <c r="E18" s="273"/>
      <c r="F18" s="387"/>
      <c r="G18" s="273"/>
      <c r="H18" s="387"/>
      <c r="I18" s="273"/>
      <c r="J18" s="387"/>
      <c r="K18" s="310"/>
      <c r="L18" s="387"/>
      <c r="M18" s="310"/>
      <c r="N18" s="387"/>
      <c r="O18" s="310"/>
      <c r="P18" s="387"/>
      <c r="R18" s="387"/>
      <c r="T18" s="387"/>
    </row>
    <row r="19" spans="1:20" x14ac:dyDescent="0.2">
      <c r="A19" s="273"/>
      <c r="B19" s="387"/>
      <c r="C19" s="273"/>
      <c r="D19" s="387"/>
      <c r="E19" s="273"/>
      <c r="F19" s="387"/>
      <c r="G19" s="273"/>
      <c r="H19" s="387"/>
      <c r="I19" s="273"/>
      <c r="J19" s="387"/>
      <c r="K19" s="310"/>
      <c r="L19" s="387"/>
      <c r="M19" s="310"/>
      <c r="N19" s="387"/>
      <c r="O19" s="310"/>
      <c r="P19" s="387"/>
      <c r="R19" s="387"/>
      <c r="T19" s="387"/>
    </row>
    <row r="20" spans="1:20" x14ac:dyDescent="0.2">
      <c r="A20" s="273" t="s">
        <v>1162</v>
      </c>
      <c r="B20" s="387"/>
      <c r="C20" s="273"/>
      <c r="D20" s="387"/>
      <c r="E20" s="273"/>
      <c r="F20" s="387"/>
      <c r="G20" s="273"/>
      <c r="H20" s="387"/>
      <c r="I20" s="273"/>
      <c r="J20" s="387"/>
      <c r="K20" s="310"/>
      <c r="L20" s="387"/>
      <c r="M20" s="310"/>
      <c r="N20" s="387"/>
      <c r="O20" s="310"/>
      <c r="P20" s="387"/>
      <c r="R20" s="387"/>
      <c r="T20" s="387"/>
    </row>
    <row r="21" spans="1:20" x14ac:dyDescent="0.2">
      <c r="A21" s="916" t="s">
        <v>1150</v>
      </c>
      <c r="B21" s="1055" t="s">
        <v>1155</v>
      </c>
      <c r="C21" s="1055"/>
      <c r="D21" s="1055"/>
      <c r="E21" s="1055"/>
      <c r="F21" s="1055"/>
      <c r="G21" s="1055"/>
      <c r="H21" s="1055"/>
      <c r="I21" s="1055"/>
      <c r="J21" s="1055"/>
      <c r="K21" s="1055"/>
      <c r="L21" s="1055"/>
      <c r="M21" s="310"/>
      <c r="N21" s="387"/>
      <c r="O21" s="310"/>
      <c r="P21" s="387"/>
      <c r="R21" s="387"/>
      <c r="T21" s="387"/>
    </row>
    <row r="22" spans="1:20" x14ac:dyDescent="0.2">
      <c r="A22" s="916" t="s">
        <v>1151</v>
      </c>
      <c r="B22" s="1055" t="s">
        <v>1156</v>
      </c>
      <c r="C22" s="1055"/>
      <c r="D22" s="1055"/>
      <c r="E22" s="1055"/>
      <c r="F22" s="1055"/>
      <c r="G22" s="1055"/>
      <c r="H22" s="1055"/>
      <c r="I22" s="1055"/>
      <c r="J22" s="1055"/>
      <c r="K22" s="1055"/>
      <c r="L22" s="1055"/>
      <c r="M22" s="310"/>
      <c r="N22" s="387"/>
      <c r="O22" s="310"/>
      <c r="P22" s="387"/>
      <c r="R22" s="387"/>
      <c r="T22" s="387"/>
    </row>
    <row r="23" spans="1:20" x14ac:dyDescent="0.2">
      <c r="A23" s="916" t="s">
        <v>1152</v>
      </c>
      <c r="B23" s="864"/>
      <c r="C23" s="913"/>
      <c r="D23" s="864"/>
      <c r="E23" s="864"/>
      <c r="F23" s="864"/>
      <c r="G23" s="913"/>
      <c r="H23" s="864"/>
      <c r="I23" s="914"/>
      <c r="J23" s="864"/>
      <c r="K23" s="576"/>
      <c r="L23" s="864"/>
      <c r="M23" s="310"/>
      <c r="N23" s="387"/>
      <c r="O23" s="310"/>
      <c r="P23" s="387"/>
      <c r="R23" s="387"/>
      <c r="T23" s="387"/>
    </row>
    <row r="24" spans="1:20" x14ac:dyDescent="0.2">
      <c r="A24" s="918" t="s">
        <v>386</v>
      </c>
      <c r="B24" s="1055">
        <v>0.03</v>
      </c>
      <c r="C24" s="1055"/>
      <c r="D24" s="1055"/>
      <c r="E24" s="1055"/>
      <c r="F24" s="1055"/>
      <c r="G24" s="1055"/>
      <c r="H24" s="1055"/>
      <c r="I24" s="1055"/>
      <c r="J24" s="1055"/>
      <c r="K24" s="1055"/>
      <c r="L24" s="1055"/>
      <c r="M24" s="310"/>
      <c r="N24" s="387"/>
      <c r="O24" s="310"/>
      <c r="P24" s="387"/>
      <c r="R24" s="387"/>
      <c r="T24" s="387"/>
    </row>
    <row r="25" spans="1:20" x14ac:dyDescent="0.2">
      <c r="A25" s="918" t="s">
        <v>1163</v>
      </c>
      <c r="B25" s="1055">
        <v>3.7499999999999999E-2</v>
      </c>
      <c r="C25" s="1055"/>
      <c r="D25" s="1055"/>
      <c r="E25" s="1055"/>
      <c r="F25" s="1055"/>
      <c r="G25" s="1055"/>
      <c r="H25" s="1055"/>
      <c r="I25" s="1055"/>
      <c r="J25" s="1055"/>
      <c r="K25" s="1055"/>
      <c r="L25" s="1055"/>
      <c r="M25" s="310"/>
      <c r="N25" s="387"/>
      <c r="O25" s="310"/>
      <c r="P25" s="387"/>
      <c r="R25" s="387"/>
      <c r="T25" s="387"/>
    </row>
    <row r="26" spans="1:20" x14ac:dyDescent="0.2">
      <c r="A26" s="918" t="s">
        <v>1153</v>
      </c>
      <c r="B26" s="1055">
        <v>3.7499999999999999E-2</v>
      </c>
      <c r="C26" s="1055"/>
      <c r="D26" s="1055"/>
      <c r="E26" s="1055"/>
      <c r="F26" s="1055"/>
      <c r="G26" s="1055"/>
      <c r="H26" s="1055"/>
      <c r="I26" s="1055"/>
      <c r="J26" s="1055"/>
      <c r="K26" s="1055"/>
      <c r="L26" s="1055"/>
      <c r="M26" s="310"/>
      <c r="N26" s="387"/>
      <c r="O26" s="310"/>
      <c r="P26" s="387"/>
      <c r="R26" s="387"/>
      <c r="T26" s="387"/>
    </row>
    <row r="27" spans="1:20" ht="12" customHeight="1" x14ac:dyDescent="0.2">
      <c r="A27" s="918" t="s">
        <v>1154</v>
      </c>
      <c r="B27" s="1055">
        <v>5.0000000000000001E-3</v>
      </c>
      <c r="C27" s="1055"/>
      <c r="D27" s="1055"/>
      <c r="E27" s="1055"/>
      <c r="F27" s="1055"/>
      <c r="G27" s="1055"/>
      <c r="H27" s="1055"/>
      <c r="I27" s="1055"/>
      <c r="J27" s="1055"/>
      <c r="K27" s="1055"/>
      <c r="L27" s="1055"/>
      <c r="M27" s="310"/>
      <c r="N27" s="387"/>
      <c r="O27" s="310"/>
      <c r="P27" s="387"/>
      <c r="R27" s="387"/>
      <c r="T27" s="387"/>
    </row>
    <row r="28" spans="1:20" ht="12" customHeight="1" x14ac:dyDescent="0.2">
      <c r="A28" s="916" t="s">
        <v>1158</v>
      </c>
      <c r="B28" s="1055" t="s">
        <v>1157</v>
      </c>
      <c r="C28" s="1055"/>
      <c r="D28" s="1055"/>
      <c r="E28" s="1055"/>
      <c r="F28" s="1055"/>
      <c r="G28" s="1055"/>
      <c r="H28" s="1055"/>
      <c r="I28" s="1055"/>
      <c r="J28" s="1055"/>
      <c r="K28" s="1055"/>
      <c r="L28" s="1055"/>
      <c r="M28" s="310"/>
      <c r="N28" s="387"/>
      <c r="O28" s="310"/>
      <c r="P28" s="387"/>
      <c r="R28" s="387"/>
      <c r="T28" s="387"/>
    </row>
    <row r="29" spans="1:20" ht="12" customHeight="1" x14ac:dyDescent="0.2">
      <c r="A29" s="273"/>
      <c r="B29" s="387"/>
      <c r="C29" s="273"/>
      <c r="D29" s="387"/>
      <c r="E29" s="273"/>
      <c r="F29" s="387"/>
      <c r="G29" s="273"/>
      <c r="H29" s="387"/>
      <c r="I29" s="273"/>
      <c r="J29" s="387"/>
      <c r="K29" s="310"/>
      <c r="L29" s="387"/>
      <c r="M29" s="310"/>
      <c r="N29" s="387"/>
      <c r="O29" s="310"/>
      <c r="P29" s="387"/>
      <c r="R29" s="387"/>
      <c r="T29" s="387"/>
    </row>
    <row r="30" spans="1:20" ht="12" customHeight="1" x14ac:dyDescent="0.2">
      <c r="A30" s="273"/>
      <c r="B30" s="273"/>
      <c r="C30" s="273"/>
      <c r="D30" s="273"/>
      <c r="E30" s="273"/>
      <c r="F30" s="273"/>
      <c r="G30" s="273"/>
      <c r="H30" s="273"/>
      <c r="I30" s="273"/>
      <c r="J30" s="273"/>
      <c r="K30" s="273"/>
      <c r="L30" s="273"/>
      <c r="M30" s="310"/>
      <c r="N30" s="273"/>
      <c r="O30" s="310"/>
      <c r="P30" s="310"/>
    </row>
    <row r="31" spans="1:20" ht="12" customHeight="1" thickBot="1" x14ac:dyDescent="0.25">
      <c r="A31" s="273"/>
      <c r="B31" s="273"/>
      <c r="C31" s="273"/>
      <c r="D31" s="273"/>
      <c r="E31" s="273"/>
      <c r="F31" s="273"/>
      <c r="G31" s="273"/>
      <c r="H31" s="273"/>
      <c r="I31" s="273"/>
      <c r="J31" s="273"/>
      <c r="K31" s="273"/>
      <c r="L31" s="273"/>
      <c r="M31" s="310"/>
      <c r="N31" s="273"/>
      <c r="O31" s="310"/>
      <c r="P31" s="310"/>
    </row>
    <row r="32" spans="1:20" ht="81.75" customHeight="1" thickBot="1" x14ac:dyDescent="0.25">
      <c r="A32" s="1064" t="s">
        <v>1165</v>
      </c>
      <c r="B32" s="1065"/>
      <c r="C32" s="1065"/>
      <c r="D32" s="1065"/>
      <c r="E32" s="1065"/>
      <c r="F32" s="1065"/>
      <c r="G32" s="1065"/>
      <c r="H32" s="1065"/>
      <c r="I32" s="1065"/>
      <c r="J32" s="1065"/>
      <c r="K32" s="1065"/>
      <c r="L32" s="1065"/>
      <c r="M32" s="1065"/>
      <c r="N32" s="1065"/>
      <c r="O32" s="1065"/>
      <c r="P32" s="1065"/>
      <c r="Q32" s="1065"/>
      <c r="R32" s="1065"/>
      <c r="S32" s="1065"/>
      <c r="T32" s="1066"/>
    </row>
    <row r="33" spans="1:16" ht="13.5" thickBot="1" x14ac:dyDescent="0.25">
      <c r="A33"/>
      <c r="B33"/>
      <c r="C33"/>
      <c r="D33"/>
      <c r="E33"/>
      <c r="F33"/>
      <c r="G33"/>
      <c r="H33"/>
      <c r="I33"/>
      <c r="J33"/>
      <c r="K33"/>
      <c r="L33"/>
      <c r="M33"/>
      <c r="N33"/>
      <c r="O33"/>
      <c r="P33" s="310"/>
    </row>
    <row r="34" spans="1:16" ht="53.25" customHeight="1" thickBot="1" x14ac:dyDescent="0.25">
      <c r="A34" s="1051" t="s">
        <v>1140</v>
      </c>
      <c r="B34" s="1052"/>
      <c r="C34" s="1052"/>
      <c r="D34" s="1052"/>
      <c r="E34" s="1052"/>
      <c r="F34" s="1052"/>
      <c r="G34" s="1052"/>
      <c r="H34" s="1052"/>
      <c r="I34" s="1052"/>
      <c r="J34" s="1052"/>
      <c r="K34" s="1052"/>
      <c r="L34" s="1052"/>
      <c r="M34" s="1052"/>
      <c r="N34" s="1052"/>
      <c r="O34" s="1052"/>
      <c r="P34" s="1053"/>
    </row>
    <row r="35" spans="1:16" x14ac:dyDescent="0.2">
      <c r="A35"/>
      <c r="B35"/>
      <c r="C35"/>
      <c r="D35"/>
      <c r="E35"/>
      <c r="F35"/>
      <c r="G35"/>
      <c r="H35"/>
      <c r="I35"/>
      <c r="J35"/>
      <c r="K35"/>
      <c r="L35"/>
      <c r="M35"/>
      <c r="N35"/>
      <c r="O35"/>
      <c r="P35" s="310"/>
    </row>
    <row r="36" spans="1:16" x14ac:dyDescent="0.2">
      <c r="A36"/>
      <c r="B36"/>
      <c r="C36"/>
      <c r="D36"/>
      <c r="E36"/>
      <c r="F36"/>
      <c r="G36"/>
      <c r="H36"/>
      <c r="I36"/>
      <c r="J36"/>
      <c r="K36"/>
      <c r="L36"/>
      <c r="M36"/>
      <c r="N36"/>
      <c r="O36"/>
      <c r="P36" s="310"/>
    </row>
    <row r="37" spans="1:16" x14ac:dyDescent="0.2">
      <c r="A37"/>
      <c r="B37"/>
      <c r="C37"/>
      <c r="D37"/>
      <c r="E37"/>
      <c r="F37"/>
      <c r="G37"/>
      <c r="H37"/>
      <c r="I37"/>
      <c r="J37"/>
      <c r="K37"/>
      <c r="L37"/>
      <c r="M37"/>
      <c r="N37"/>
      <c r="O37"/>
      <c r="P37" s="310"/>
    </row>
    <row r="38" spans="1:16" x14ac:dyDescent="0.2">
      <c r="A38"/>
      <c r="B38"/>
      <c r="C38"/>
      <c r="D38"/>
      <c r="E38"/>
      <c r="F38"/>
      <c r="G38"/>
      <c r="H38"/>
      <c r="I38"/>
      <c r="J38"/>
      <c r="K38"/>
      <c r="L38"/>
      <c r="M38"/>
      <c r="N38"/>
      <c r="O38"/>
      <c r="P38" s="310"/>
    </row>
    <row r="39" spans="1:16" x14ac:dyDescent="0.2">
      <c r="A39"/>
      <c r="B39"/>
      <c r="C39"/>
      <c r="D39"/>
      <c r="E39"/>
      <c r="F39"/>
      <c r="G39"/>
      <c r="H39"/>
      <c r="I39"/>
      <c r="J39"/>
      <c r="K39"/>
      <c r="L39"/>
      <c r="M39"/>
      <c r="N39"/>
      <c r="O39"/>
      <c r="P39" s="310"/>
    </row>
    <row r="40" spans="1:16" x14ac:dyDescent="0.2">
      <c r="A40"/>
      <c r="B40"/>
      <c r="C40"/>
      <c r="D40"/>
      <c r="E40"/>
      <c r="F40"/>
      <c r="G40"/>
      <c r="H40"/>
      <c r="I40"/>
      <c r="J40"/>
      <c r="K40"/>
      <c r="L40"/>
      <c r="M40"/>
      <c r="N40"/>
      <c r="O40"/>
      <c r="P40" s="310"/>
    </row>
  </sheetData>
  <customSheetViews>
    <customSheetView guid="{E0C60316-4586-4AAF-92CB-FA82BB1EB755}">
      <selection sqref="A1:I1"/>
      <pageMargins left="0" right="0" top="0" bottom="0" header="0" footer="0"/>
      <pageSetup orientation="portrait" r:id="rId1"/>
    </customSheetView>
    <customSheetView guid="{A8748736-0722-49EB-85B6-C9B52DDCFE0E}" showPageBreaks="1" fitToPage="1" printArea="1">
      <selection activeCell="A19" sqref="A19"/>
      <pageMargins left="0.7" right="0.7" top="0.75" bottom="0.75" header="0.3" footer="0.3"/>
      <pageSetup scale="74" orientation="portrait" r:id="rId2"/>
    </customSheetView>
  </customSheetViews>
  <mergeCells count="12">
    <mergeCell ref="A1:T1"/>
    <mergeCell ref="A2:T2"/>
    <mergeCell ref="A3:T3"/>
    <mergeCell ref="A32:T32"/>
    <mergeCell ref="A34:P34"/>
    <mergeCell ref="B21:L21"/>
    <mergeCell ref="B22:L22"/>
    <mergeCell ref="B24:L24"/>
    <mergeCell ref="B25:L25"/>
    <mergeCell ref="B26:L26"/>
    <mergeCell ref="B27:L27"/>
    <mergeCell ref="B28:L28"/>
  </mergeCells>
  <pageMargins left="0.7" right="0.7" top="0.75" bottom="0.75" header="0.3" footer="0.3"/>
  <pageSetup scale="61"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tint="0.39997558519241921"/>
    <pageSetUpPr fitToPage="1"/>
  </sheetPr>
  <dimension ref="A1:P36"/>
  <sheetViews>
    <sheetView workbookViewId="0">
      <selection activeCell="A5" sqref="A5"/>
    </sheetView>
  </sheetViews>
  <sheetFormatPr defaultRowHeight="12.75" x14ac:dyDescent="0.2"/>
  <cols>
    <col min="1" max="1" width="44.85546875" customWidth="1"/>
    <col min="2" max="2" width="11.85546875" customWidth="1"/>
    <col min="3" max="3" width="1.28515625" customWidth="1"/>
    <col min="4" max="4" width="11.85546875" customWidth="1"/>
    <col min="5" max="5" width="1.28515625" customWidth="1"/>
    <col min="6" max="6" width="11.85546875" customWidth="1"/>
    <col min="7" max="7" width="1.28515625" customWidth="1"/>
    <col min="8" max="8" width="11.85546875" customWidth="1"/>
    <col min="9" max="9" width="1.28515625" customWidth="1"/>
    <col min="10" max="10" width="11.85546875" style="14" customWidth="1"/>
    <col min="11" max="11" width="1.28515625" customWidth="1"/>
    <col min="12" max="12" width="11.85546875" customWidth="1"/>
    <col min="13" max="13" width="1.28515625" customWidth="1"/>
    <col min="14" max="14" width="11.85546875" customWidth="1"/>
  </cols>
  <sheetData>
    <row r="1" spans="1:16" x14ac:dyDescent="0.2">
      <c r="A1" s="990" t="s">
        <v>0</v>
      </c>
      <c r="B1" s="990"/>
      <c r="C1" s="990"/>
      <c r="D1" s="990"/>
      <c r="E1" s="990"/>
      <c r="F1" s="990"/>
      <c r="G1" s="990"/>
      <c r="H1" s="990"/>
      <c r="I1" s="990"/>
      <c r="J1" s="990"/>
      <c r="K1" s="990"/>
      <c r="L1" s="990"/>
      <c r="M1" s="990"/>
      <c r="N1" s="990"/>
    </row>
    <row r="2" spans="1:16" x14ac:dyDescent="0.2">
      <c r="A2" s="990" t="s">
        <v>339</v>
      </c>
      <c r="B2" s="990"/>
      <c r="C2" s="990"/>
      <c r="D2" s="990"/>
      <c r="E2" s="990"/>
      <c r="F2" s="990"/>
      <c r="G2" s="990"/>
      <c r="H2" s="990"/>
      <c r="I2" s="990"/>
      <c r="J2" s="990"/>
      <c r="K2" s="990"/>
      <c r="L2" s="990"/>
      <c r="M2" s="990"/>
      <c r="N2" s="990"/>
    </row>
    <row r="3" spans="1:16" x14ac:dyDescent="0.2">
      <c r="A3" s="990" t="s">
        <v>340</v>
      </c>
      <c r="B3" s="990"/>
      <c r="C3" s="990"/>
      <c r="D3" s="990"/>
      <c r="E3" s="990"/>
      <c r="F3" s="990"/>
      <c r="G3" s="990"/>
      <c r="H3" s="990"/>
      <c r="I3" s="990"/>
      <c r="J3" s="990"/>
      <c r="K3" s="990"/>
      <c r="L3" s="990"/>
      <c r="M3" s="990"/>
      <c r="N3" s="990"/>
    </row>
    <row r="4" spans="1:16" x14ac:dyDescent="0.2">
      <c r="A4" s="1046"/>
      <c r="B4" s="1046"/>
      <c r="C4" s="1046"/>
      <c r="D4" s="1046"/>
      <c r="E4" s="1046"/>
      <c r="F4" s="1046"/>
      <c r="G4" s="1046"/>
      <c r="H4" s="1046"/>
      <c r="I4" s="1046"/>
      <c r="J4" s="1046"/>
      <c r="K4" s="310"/>
      <c r="L4" s="310"/>
      <c r="M4" s="310"/>
      <c r="N4" s="310"/>
      <c r="O4" s="310"/>
      <c r="P4" s="310"/>
    </row>
    <row r="5" spans="1:16" x14ac:dyDescent="0.2">
      <c r="A5" s="465"/>
      <c r="B5" s="465"/>
      <c r="C5" s="465"/>
      <c r="D5" s="465"/>
      <c r="E5" s="465"/>
      <c r="F5" s="465"/>
      <c r="G5" s="465"/>
      <c r="H5" s="465"/>
      <c r="I5" s="465"/>
      <c r="J5" s="465"/>
      <c r="K5" s="310"/>
      <c r="L5" s="310"/>
      <c r="M5" s="310"/>
      <c r="N5" s="310"/>
      <c r="O5" s="310"/>
      <c r="P5" s="310"/>
    </row>
    <row r="6" spans="1:16" x14ac:dyDescent="0.2">
      <c r="A6" s="34"/>
      <c r="B6" s="34"/>
      <c r="C6" s="34"/>
      <c r="D6" s="34"/>
      <c r="E6" s="34"/>
      <c r="F6" s="34"/>
      <c r="G6" s="34"/>
      <c r="H6" s="34"/>
      <c r="I6" s="34"/>
      <c r="J6" s="34"/>
    </row>
    <row r="7" spans="1:16" x14ac:dyDescent="0.2">
      <c r="A7" s="310"/>
      <c r="B7" s="887">
        <f>D7+1</f>
        <v>2025</v>
      </c>
      <c r="C7" s="310"/>
      <c r="D7" s="887">
        <f>F7+1</f>
        <v>2024</v>
      </c>
      <c r="E7" s="310"/>
      <c r="F7" s="887">
        <f>H7+1</f>
        <v>2023</v>
      </c>
      <c r="G7" s="310"/>
      <c r="H7" s="887">
        <f>J7+1</f>
        <v>2022</v>
      </c>
      <c r="I7" s="310"/>
      <c r="J7" s="887">
        <f>L7+1</f>
        <v>2021</v>
      </c>
      <c r="L7" s="887">
        <v>2020</v>
      </c>
      <c r="N7" s="283">
        <v>2019</v>
      </c>
    </row>
    <row r="8" spans="1:16" x14ac:dyDescent="0.2">
      <c r="A8" s="352" t="s">
        <v>341</v>
      </c>
      <c r="B8" s="313">
        <f>+D16</f>
        <v>218891.34588499996</v>
      </c>
      <c r="C8" s="352"/>
      <c r="D8" s="313">
        <f>+F16</f>
        <v>201631.93050499997</v>
      </c>
      <c r="E8" s="313"/>
      <c r="F8" s="313">
        <f>+H16</f>
        <v>215553</v>
      </c>
      <c r="G8" s="310"/>
      <c r="H8" s="313">
        <f>+J16</f>
        <v>218226</v>
      </c>
      <c r="I8" s="310"/>
      <c r="J8" s="313">
        <f>+L16</f>
        <v>216975</v>
      </c>
      <c r="L8" s="313">
        <f>+N16</f>
        <v>215741</v>
      </c>
      <c r="N8" s="458">
        <v>214221</v>
      </c>
    </row>
    <row r="9" spans="1:16" x14ac:dyDescent="0.2">
      <c r="A9" s="352" t="s">
        <v>342</v>
      </c>
      <c r="B9" s="299">
        <f>0.5*(7090461)*0.00203</f>
        <v>7196.8179150000005</v>
      </c>
      <c r="C9" s="352"/>
      <c r="D9" s="311">
        <f>0.5*5778581*0.00203</f>
        <v>5865.2597150000001</v>
      </c>
      <c r="E9" s="311"/>
      <c r="F9" s="324">
        <f>4662+2017</f>
        <v>6679</v>
      </c>
      <c r="G9" s="310"/>
      <c r="H9" s="324">
        <v>7324.1913999999997</v>
      </c>
      <c r="I9" s="310"/>
      <c r="J9" s="324">
        <v>6944</v>
      </c>
      <c r="L9" s="324">
        <v>6473</v>
      </c>
      <c r="N9" s="613">
        <v>6321</v>
      </c>
    </row>
    <row r="10" spans="1:16" x14ac:dyDescent="0.2">
      <c r="A10" s="352" t="s">
        <v>343</v>
      </c>
      <c r="B10" s="400">
        <f>0.5*(6721102)*0.00203</f>
        <v>6821.9185300000008</v>
      </c>
      <c r="C10" s="352"/>
      <c r="D10" s="400">
        <f>0.5*5328296*0.00203</f>
        <v>5408.2204400000001</v>
      </c>
      <c r="E10" s="400"/>
      <c r="F10" s="324">
        <f>0.5*7313608*0.00203-1</f>
        <v>7422.3121200000005</v>
      </c>
      <c r="G10" s="310"/>
      <c r="H10" s="324">
        <v>6816</v>
      </c>
      <c r="I10" s="310"/>
      <c r="J10" s="324">
        <v>7211</v>
      </c>
      <c r="L10" s="324">
        <v>7107</v>
      </c>
      <c r="N10" s="613">
        <v>7101</v>
      </c>
    </row>
    <row r="11" spans="1:16" x14ac:dyDescent="0.2">
      <c r="A11" s="310" t="s">
        <v>344</v>
      </c>
      <c r="B11" s="402">
        <v>0</v>
      </c>
      <c r="C11" s="310"/>
      <c r="D11" s="402">
        <f>0.5*18621115*0.00203</f>
        <v>18900.431725000002</v>
      </c>
      <c r="E11" s="402"/>
      <c r="F11" s="324">
        <v>0</v>
      </c>
      <c r="G11" s="310"/>
      <c r="H11" s="324">
        <v>0</v>
      </c>
      <c r="I11" s="310"/>
      <c r="J11" s="324">
        <v>0</v>
      </c>
      <c r="L11" s="324">
        <v>0</v>
      </c>
      <c r="N11" s="613">
        <v>0</v>
      </c>
    </row>
    <row r="12" spans="1:16" ht="26.25" customHeight="1" x14ac:dyDescent="0.2">
      <c r="A12" s="422" t="s">
        <v>345</v>
      </c>
      <c r="B12" s="403">
        <f>0.5*(893502)*0.00203</f>
        <v>906.90453000000002</v>
      </c>
      <c r="C12" s="439"/>
      <c r="D12" s="403">
        <f>0.5*8581482*0.00203</f>
        <v>8710.2042300000012</v>
      </c>
      <c r="E12" s="403"/>
      <c r="F12" s="324">
        <f>0.5*3249924*0.00203</f>
        <v>3298.6728600000001</v>
      </c>
      <c r="G12" s="310"/>
      <c r="H12" s="324">
        <v>3553</v>
      </c>
      <c r="I12" s="310"/>
      <c r="J12" s="324">
        <v>7352</v>
      </c>
      <c r="L12" s="315">
        <v>7125</v>
      </c>
      <c r="N12" s="877">
        <v>7101</v>
      </c>
    </row>
    <row r="13" spans="1:16" x14ac:dyDescent="0.2">
      <c r="A13" s="310" t="s">
        <v>346</v>
      </c>
      <c r="B13" s="402">
        <f>0.5*(5051096)*0.00203</f>
        <v>5126.8624399999999</v>
      </c>
      <c r="C13" s="310"/>
      <c r="D13" s="402">
        <f>0-0.5*(5674582)*0.00203</f>
        <v>-5759.7007300000005</v>
      </c>
      <c r="E13" s="402"/>
      <c r="F13" s="324">
        <f>-1005965*0.00203*0.5</f>
        <v>-1021.054475</v>
      </c>
      <c r="G13" s="310"/>
      <c r="H13" s="324">
        <v>-4968</v>
      </c>
      <c r="I13" s="310"/>
      <c r="J13" s="324">
        <v>-3669</v>
      </c>
      <c r="L13" s="324">
        <v>-3486</v>
      </c>
      <c r="N13" s="613">
        <v>-3078</v>
      </c>
      <c r="O13" s="411"/>
    </row>
    <row r="14" spans="1:16" x14ac:dyDescent="0.2">
      <c r="A14" s="310" t="s">
        <v>310</v>
      </c>
      <c r="B14" s="402">
        <f>-0.5*(16031418)*0.00203</f>
        <v>-16271.889270000001</v>
      </c>
      <c r="C14" s="310"/>
      <c r="D14" s="402">
        <f>-15300-16497+15932</f>
        <v>-15865</v>
      </c>
      <c r="E14" s="402"/>
      <c r="F14" s="324">
        <f>-15300-15000</f>
        <v>-30300</v>
      </c>
      <c r="G14" s="310"/>
      <c r="H14" s="324">
        <v>-15951</v>
      </c>
      <c r="I14" s="310"/>
      <c r="J14" s="324">
        <v>-16587</v>
      </c>
      <c r="L14" s="324">
        <v>-15985</v>
      </c>
      <c r="N14" s="613">
        <v>-15925</v>
      </c>
    </row>
    <row r="15" spans="1:16" x14ac:dyDescent="0.2">
      <c r="A15" s="310" t="s">
        <v>347</v>
      </c>
      <c r="B15" s="402">
        <v>0</v>
      </c>
      <c r="C15" s="310"/>
      <c r="D15" s="401">
        <v>0</v>
      </c>
      <c r="E15" s="401"/>
      <c r="F15" s="324">
        <v>0</v>
      </c>
      <c r="G15" s="310"/>
      <c r="H15" s="324">
        <v>0</v>
      </c>
      <c r="I15" s="310"/>
      <c r="J15" s="324">
        <v>0</v>
      </c>
      <c r="L15" s="324">
        <v>0</v>
      </c>
      <c r="N15" s="613">
        <v>0</v>
      </c>
    </row>
    <row r="16" spans="1:16" ht="13.5" thickBot="1" x14ac:dyDescent="0.25">
      <c r="A16" s="310" t="s">
        <v>348</v>
      </c>
      <c r="B16" s="442">
        <f>SUM(B8:B15)</f>
        <v>222671.96002999993</v>
      </c>
      <c r="C16" s="310"/>
      <c r="D16" s="442">
        <f>SUM(D8:D15)</f>
        <v>218891.34588499996</v>
      </c>
      <c r="E16" s="456"/>
      <c r="F16" s="442">
        <f>SUM(F8:F15)</f>
        <v>201631.93050499997</v>
      </c>
      <c r="G16" s="310"/>
      <c r="H16" s="442">
        <v>215553</v>
      </c>
      <c r="I16" s="310"/>
      <c r="J16" s="442">
        <f>SUM(J8:J15)</f>
        <v>218226</v>
      </c>
      <c r="K16" s="14"/>
      <c r="L16" s="442">
        <f>SUM(L8:L15)</f>
        <v>216975</v>
      </c>
      <c r="N16" s="878">
        <f>SUM(N8:N15)</f>
        <v>215741</v>
      </c>
    </row>
    <row r="17" spans="1:16" ht="13.5" thickTop="1" x14ac:dyDescent="0.2">
      <c r="A17" s="405"/>
      <c r="B17" s="405"/>
      <c r="C17" s="405"/>
      <c r="D17" s="405"/>
      <c r="E17" s="405"/>
      <c r="F17" s="404"/>
      <c r="G17" s="285"/>
      <c r="H17" s="399"/>
      <c r="I17" s="285"/>
      <c r="J17" s="324"/>
      <c r="K17" s="290"/>
      <c r="L17" s="49"/>
      <c r="M17" s="49"/>
      <c r="O17" s="49"/>
    </row>
    <row r="18" spans="1:16" x14ac:dyDescent="0.2">
      <c r="A18" s="405"/>
      <c r="B18" s="405"/>
      <c r="C18" s="405"/>
      <c r="D18" s="405"/>
      <c r="E18" s="405"/>
      <c r="F18" s="404"/>
      <c r="G18" s="285"/>
      <c r="H18" s="399"/>
      <c r="I18" s="285"/>
      <c r="J18" s="324"/>
      <c r="K18" s="290"/>
      <c r="L18" s="49"/>
      <c r="M18" s="49"/>
      <c r="P18" s="37"/>
    </row>
    <row r="19" spans="1:16" x14ac:dyDescent="0.2">
      <c r="A19" s="405"/>
      <c r="B19" s="405"/>
      <c r="C19" s="405"/>
      <c r="D19" s="405"/>
      <c r="E19" s="405"/>
      <c r="F19" s="404"/>
      <c r="G19" s="285"/>
      <c r="H19" s="399"/>
      <c r="I19" s="285"/>
      <c r="J19" s="324"/>
      <c r="K19" s="290"/>
      <c r="L19" s="49"/>
      <c r="M19" s="49"/>
      <c r="P19" s="37"/>
    </row>
    <row r="20" spans="1:16" x14ac:dyDescent="0.2">
      <c r="A20" s="656" t="s">
        <v>982</v>
      </c>
      <c r="B20" s="405"/>
      <c r="C20" s="405"/>
      <c r="D20" s="405"/>
      <c r="E20" s="405"/>
      <c r="F20" s="404"/>
      <c r="G20" s="285"/>
      <c r="H20" s="399"/>
      <c r="I20" s="285"/>
      <c r="J20" s="324"/>
      <c r="K20" s="290"/>
      <c r="L20" s="49"/>
      <c r="M20" s="49"/>
      <c r="P20" s="37"/>
    </row>
    <row r="21" spans="1:16" x14ac:dyDescent="0.2">
      <c r="A21" s="657" t="s">
        <v>349</v>
      </c>
      <c r="B21" s="273"/>
      <c r="C21" s="273"/>
      <c r="D21" s="273"/>
      <c r="E21" s="273"/>
      <c r="F21" s="273"/>
      <c r="G21" s="273"/>
      <c r="H21" s="273"/>
      <c r="I21" s="273"/>
      <c r="J21" s="324"/>
      <c r="K21" s="49"/>
    </row>
    <row r="22" spans="1:16" x14ac:dyDescent="0.2">
      <c r="A22" s="26" t="s">
        <v>980</v>
      </c>
      <c r="B22" s="285"/>
      <c r="C22" s="285"/>
      <c r="D22" s="285"/>
      <c r="E22" s="285"/>
      <c r="F22" s="285"/>
      <c r="G22" s="285"/>
      <c r="H22" s="402"/>
      <c r="I22" s="285"/>
      <c r="J22" s="324"/>
      <c r="L22" s="37"/>
    </row>
    <row r="23" spans="1:16" x14ac:dyDescent="0.2">
      <c r="A23" s="626" t="s">
        <v>1168</v>
      </c>
      <c r="B23" s="921"/>
      <c r="C23" s="921"/>
      <c r="D23" s="921"/>
      <c r="E23" s="921"/>
      <c r="F23" s="921"/>
      <c r="G23" s="921"/>
      <c r="H23" s="922"/>
      <c r="I23" s="285"/>
      <c r="J23" s="324"/>
      <c r="L23" s="37"/>
    </row>
    <row r="24" spans="1:16" x14ac:dyDescent="0.2">
      <c r="A24" s="919" t="s">
        <v>1139</v>
      </c>
      <c r="B24" s="285"/>
      <c r="C24" s="285"/>
      <c r="D24" s="285"/>
      <c r="E24" s="285"/>
      <c r="F24" s="285"/>
      <c r="G24" s="285"/>
      <c r="H24" s="402"/>
      <c r="I24" s="285"/>
      <c r="J24" s="324"/>
      <c r="L24" s="37"/>
    </row>
    <row r="25" spans="1:16" x14ac:dyDescent="0.2">
      <c r="A25" s="26"/>
      <c r="B25" s="285"/>
      <c r="C25" s="285"/>
      <c r="D25" s="285"/>
      <c r="E25" s="285"/>
      <c r="F25" s="285"/>
      <c r="G25" s="285"/>
      <c r="H25" s="402"/>
      <c r="I25" s="285"/>
      <c r="J25" s="324"/>
      <c r="L25" s="37"/>
    </row>
    <row r="26" spans="1:16" x14ac:dyDescent="0.2">
      <c r="A26" s="26"/>
      <c r="B26" s="285"/>
      <c r="C26" s="285"/>
      <c r="D26" s="285"/>
      <c r="E26" s="285"/>
      <c r="F26" s="285"/>
      <c r="G26" s="285"/>
      <c r="H26" s="402"/>
      <c r="I26" s="285"/>
      <c r="J26" s="324"/>
      <c r="L26" s="37"/>
    </row>
    <row r="27" spans="1:16" ht="12.75" customHeight="1" thickBot="1" x14ac:dyDescent="0.25">
      <c r="A27" s="36"/>
      <c r="B27" s="36"/>
      <c r="C27" s="36"/>
      <c r="D27" s="36"/>
      <c r="E27" s="36"/>
      <c r="F27" s="36"/>
      <c r="G27" s="36"/>
      <c r="H27" s="36"/>
      <c r="I27" s="36"/>
      <c r="J27" s="457"/>
      <c r="L27" s="37"/>
    </row>
    <row r="28" spans="1:16" ht="28.5" customHeight="1" thickBot="1" x14ac:dyDescent="0.25">
      <c r="A28" s="1067" t="s">
        <v>350</v>
      </c>
      <c r="B28" s="1068"/>
      <c r="C28" s="1068"/>
      <c r="D28" s="1068"/>
      <c r="E28" s="1068"/>
      <c r="F28" s="1068"/>
      <c r="G28" s="1068"/>
      <c r="H28" s="1068"/>
      <c r="I28" s="1068"/>
      <c r="J28" s="1068"/>
      <c r="K28" s="1068"/>
      <c r="L28" s="1068"/>
      <c r="M28" s="1068"/>
      <c r="N28" s="1069"/>
    </row>
    <row r="29" spans="1:16" ht="13.5" thickBot="1" x14ac:dyDescent="0.25">
      <c r="A29" s="36"/>
      <c r="B29" s="36"/>
      <c r="C29" s="36"/>
      <c r="D29" s="36"/>
      <c r="E29" s="36"/>
      <c r="F29" s="36"/>
      <c r="G29" s="36"/>
      <c r="H29" s="36"/>
      <c r="I29" s="36"/>
      <c r="J29" s="324"/>
    </row>
    <row r="30" spans="1:16" ht="54.75" customHeight="1" thickBot="1" x14ac:dyDescent="0.25">
      <c r="A30" s="1064" t="s">
        <v>1166</v>
      </c>
      <c r="B30" s="1065"/>
      <c r="C30" s="1065"/>
      <c r="D30" s="1065"/>
      <c r="E30" s="1065"/>
      <c r="F30" s="1065"/>
      <c r="G30" s="1065"/>
      <c r="H30" s="1065"/>
      <c r="I30" s="1065"/>
      <c r="J30" s="1065"/>
      <c r="K30" s="1065"/>
      <c r="L30" s="1065"/>
      <c r="M30" s="1065"/>
      <c r="N30" s="1066"/>
    </row>
    <row r="31" spans="1:16" x14ac:dyDescent="0.2">
      <c r="A31" s="285"/>
      <c r="B31" s="285"/>
      <c r="C31" s="285"/>
      <c r="D31" s="285"/>
      <c r="E31" s="285"/>
      <c r="F31" s="406"/>
      <c r="G31" s="285"/>
      <c r="H31" s="285"/>
      <c r="I31" s="285"/>
    </row>
    <row r="32" spans="1:16" x14ac:dyDescent="0.2">
      <c r="A32" s="286"/>
      <c r="B32" s="286"/>
      <c r="C32" s="286"/>
      <c r="D32" s="286"/>
      <c r="E32" s="286"/>
      <c r="F32" s="286"/>
      <c r="G32" s="286"/>
      <c r="H32" s="286"/>
      <c r="I32" s="286"/>
    </row>
    <row r="36" spans="6:6" x14ac:dyDescent="0.2">
      <c r="F36" s="315"/>
    </row>
  </sheetData>
  <customSheetViews>
    <customSheetView guid="{E0C60316-4586-4AAF-92CB-FA82BB1EB755}">
      <selection activeCell="E19" sqref="E19"/>
      <pageMargins left="0" right="0" top="0" bottom="0" header="0" footer="0"/>
      <pageSetup orientation="portrait" r:id="rId1"/>
    </customSheetView>
    <customSheetView guid="{A8748736-0722-49EB-85B6-C9B52DDCFE0E}" fitToPage="1" hiddenColumns="1">
      <selection activeCell="A26" sqref="A26"/>
      <pageMargins left="0.7" right="0.7" top="0.75" bottom="0.75" header="0.3" footer="0.3"/>
      <pageSetup scale="77" orientation="portrait" r:id="rId2"/>
    </customSheetView>
  </customSheetViews>
  <mergeCells count="6">
    <mergeCell ref="A30:N30"/>
    <mergeCell ref="A4:J4"/>
    <mergeCell ref="A1:N1"/>
    <mergeCell ref="A2:N2"/>
    <mergeCell ref="A3:N3"/>
    <mergeCell ref="A28:N28"/>
  </mergeCells>
  <pageMargins left="0.7" right="0.7" top="0.75" bottom="0.75" header="0.3" footer="0.3"/>
  <pageSetup scale="67"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tint="0.39997558519241921"/>
    <pageSetUpPr fitToPage="1"/>
  </sheetPr>
  <dimension ref="A1:N28"/>
  <sheetViews>
    <sheetView workbookViewId="0">
      <selection activeCell="A4" sqref="A4"/>
    </sheetView>
  </sheetViews>
  <sheetFormatPr defaultRowHeight="12.75" x14ac:dyDescent="0.2"/>
  <cols>
    <col min="1" max="1" width="48.28515625" customWidth="1"/>
    <col min="2" max="2" width="12.28515625" customWidth="1"/>
    <col min="3" max="3" width="1.28515625" customWidth="1"/>
    <col min="4" max="4" width="12.28515625" customWidth="1"/>
    <col min="5" max="5" width="1.28515625" customWidth="1"/>
    <col min="6" max="6" width="12.28515625" customWidth="1"/>
    <col min="7" max="7" width="1.28515625" customWidth="1"/>
    <col min="8" max="8" width="12.28515625" customWidth="1"/>
    <col min="9" max="9" width="1.28515625" customWidth="1"/>
    <col min="10" max="10" width="12.28515625" customWidth="1"/>
    <col min="11" max="11" width="1.28515625" customWidth="1"/>
    <col min="12" max="12" width="12.28515625" customWidth="1"/>
    <col min="13" max="13" width="1.28515625" customWidth="1"/>
    <col min="14" max="14" width="12.28515625" customWidth="1"/>
  </cols>
  <sheetData>
    <row r="1" spans="1:14" x14ac:dyDescent="0.2">
      <c r="A1" s="990" t="s">
        <v>0</v>
      </c>
      <c r="B1" s="990"/>
      <c r="C1" s="990"/>
      <c r="D1" s="990"/>
      <c r="E1" s="990"/>
      <c r="F1" s="990"/>
      <c r="G1" s="990"/>
      <c r="H1" s="990"/>
      <c r="I1" s="990"/>
      <c r="J1" s="990"/>
      <c r="K1" s="990"/>
      <c r="L1" s="990"/>
      <c r="M1" s="990"/>
      <c r="N1" s="990"/>
    </row>
    <row r="2" spans="1:14" ht="13.5" customHeight="1" x14ac:dyDescent="0.2">
      <c r="A2" s="1073" t="s">
        <v>351</v>
      </c>
      <c r="B2" s="1073"/>
      <c r="C2" s="1073"/>
      <c r="D2" s="1073"/>
      <c r="E2" s="1073"/>
      <c r="F2" s="1073"/>
      <c r="G2" s="1073"/>
      <c r="H2" s="1073"/>
      <c r="I2" s="1073"/>
      <c r="J2" s="1073"/>
      <c r="K2" s="1073"/>
      <c r="L2" s="1073"/>
      <c r="M2" s="1073"/>
      <c r="N2" s="1073"/>
    </row>
    <row r="3" spans="1:14" x14ac:dyDescent="0.2">
      <c r="A3" s="990" t="s">
        <v>352</v>
      </c>
      <c r="B3" s="990"/>
      <c r="C3" s="990"/>
      <c r="D3" s="990"/>
      <c r="E3" s="990"/>
      <c r="F3" s="990"/>
      <c r="G3" s="990"/>
      <c r="H3" s="990"/>
      <c r="I3" s="990"/>
      <c r="J3" s="990"/>
      <c r="K3" s="990"/>
      <c r="L3" s="990"/>
      <c r="M3" s="990"/>
      <c r="N3" s="990"/>
    </row>
    <row r="4" spans="1:14" x14ac:dyDescent="0.2">
      <c r="A4" s="34"/>
      <c r="B4" s="34"/>
      <c r="C4" s="34"/>
      <c r="D4" s="34"/>
      <c r="E4" s="34"/>
      <c r="F4" s="34"/>
      <c r="G4" s="34"/>
      <c r="H4" s="34"/>
      <c r="I4" s="34"/>
      <c r="J4" s="34"/>
    </row>
    <row r="5" spans="1:14" x14ac:dyDescent="0.2">
      <c r="A5" s="1046"/>
      <c r="B5" s="1046"/>
      <c r="C5" s="1046"/>
      <c r="D5" s="1046"/>
      <c r="E5" s="1046"/>
      <c r="F5" s="1046"/>
      <c r="G5" s="1046"/>
      <c r="H5" s="1046"/>
      <c r="I5" s="1046"/>
      <c r="J5" s="1046"/>
      <c r="K5" s="310"/>
    </row>
    <row r="6" spans="1:14" x14ac:dyDescent="0.2">
      <c r="A6" s="34"/>
      <c r="B6" s="34"/>
      <c r="C6" s="34"/>
      <c r="D6" s="34"/>
      <c r="E6" s="34"/>
      <c r="F6" s="34"/>
      <c r="G6" s="34"/>
      <c r="H6" s="34"/>
      <c r="I6" s="34"/>
      <c r="J6" s="34"/>
    </row>
    <row r="7" spans="1:14" x14ac:dyDescent="0.2">
      <c r="B7" s="887">
        <v>2025</v>
      </c>
      <c r="D7" s="887">
        <v>2024</v>
      </c>
      <c r="F7" s="887">
        <v>2023</v>
      </c>
      <c r="H7" s="887">
        <v>2022</v>
      </c>
      <c r="J7" s="887">
        <v>2021</v>
      </c>
      <c r="L7" s="887">
        <v>2020</v>
      </c>
      <c r="N7" s="283">
        <v>2019</v>
      </c>
    </row>
    <row r="8" spans="1:14" x14ac:dyDescent="0.2">
      <c r="D8" s="32"/>
    </row>
    <row r="9" spans="1:14" x14ac:dyDescent="0.2">
      <c r="A9" s="310" t="s">
        <v>353</v>
      </c>
      <c r="B9" s="317">
        <f>'RSI - LEO 1'!B16</f>
        <v>222671.96002999993</v>
      </c>
      <c r="C9" s="310"/>
      <c r="D9" s="293">
        <f>'RSI - LEO 1'!D16</f>
        <v>218891.34588499996</v>
      </c>
      <c r="E9" s="293"/>
      <c r="F9" s="293">
        <f>'RSI - LEO 1'!F16</f>
        <v>201631.93050499997</v>
      </c>
      <c r="H9" s="49">
        <v>215553</v>
      </c>
      <c r="J9" s="49">
        <v>218226</v>
      </c>
      <c r="L9" s="49">
        <v>214279</v>
      </c>
      <c r="N9" s="879">
        <v>212313</v>
      </c>
    </row>
    <row r="10" spans="1:14" x14ac:dyDescent="0.2">
      <c r="A10" s="310" t="s">
        <v>354</v>
      </c>
      <c r="B10" s="299">
        <f>D10*1.02</f>
        <v>783560.94000000006</v>
      </c>
      <c r="C10" s="310"/>
      <c r="D10" s="311">
        <v>768197</v>
      </c>
      <c r="E10" s="311"/>
      <c r="F10" s="14">
        <v>817231</v>
      </c>
      <c r="H10" s="14">
        <v>816944</v>
      </c>
      <c r="J10" s="14">
        <v>818471</v>
      </c>
      <c r="L10" s="14">
        <v>811471</v>
      </c>
      <c r="N10" s="880">
        <v>809477</v>
      </c>
    </row>
    <row r="11" spans="1:14" x14ac:dyDescent="0.2">
      <c r="A11" s="310" t="s">
        <v>355</v>
      </c>
      <c r="B11" s="357">
        <f>B9/B10</f>
        <v>0.28417950495337341</v>
      </c>
      <c r="C11" s="310"/>
      <c r="D11" s="287">
        <f>D9/D10</f>
        <v>0.28494168277798526</v>
      </c>
      <c r="E11" s="287"/>
      <c r="F11" s="287">
        <f>F9/F10</f>
        <v>0.24672574890697974</v>
      </c>
      <c r="H11" s="287">
        <f>H9/H10</f>
        <v>0.26385284670675102</v>
      </c>
      <c r="J11" s="287">
        <f>J9/J10</f>
        <v>0.26662642903658162</v>
      </c>
      <c r="L11" s="287">
        <f>L9/L10</f>
        <v>0.26406242490489495</v>
      </c>
      <c r="N11" s="881">
        <f>N9/N10</f>
        <v>0.26228416619619827</v>
      </c>
    </row>
    <row r="12" spans="1:14" x14ac:dyDescent="0.2">
      <c r="A12" s="310"/>
      <c r="B12" s="310"/>
      <c r="C12" s="310"/>
      <c r="D12" s="357"/>
      <c r="E12" s="310"/>
      <c r="F12" s="287"/>
      <c r="G12" s="287"/>
      <c r="H12" s="287"/>
      <c r="J12" s="287"/>
    </row>
    <row r="13" spans="1:14" x14ac:dyDescent="0.2">
      <c r="A13" s="310"/>
      <c r="B13" s="310"/>
      <c r="C13" s="310"/>
      <c r="D13" s="357"/>
      <c r="E13" s="310"/>
      <c r="F13" s="287"/>
      <c r="G13" s="287"/>
      <c r="H13" s="287"/>
      <c r="J13" s="287"/>
    </row>
    <row r="14" spans="1:14" x14ac:dyDescent="0.2">
      <c r="J14" s="398"/>
    </row>
    <row r="15" spans="1:14" x14ac:dyDescent="0.2">
      <c r="A15" s="656" t="s">
        <v>982</v>
      </c>
      <c r="K15" s="291"/>
    </row>
    <row r="16" spans="1:14" x14ac:dyDescent="0.2">
      <c r="A16" s="26" t="s">
        <v>980</v>
      </c>
      <c r="H16" s="273"/>
    </row>
    <row r="17" spans="1:14" x14ac:dyDescent="0.2">
      <c r="A17" s="626" t="s">
        <v>1168</v>
      </c>
      <c r="B17" s="804"/>
      <c r="C17" s="804"/>
      <c r="D17" s="804"/>
      <c r="E17" s="804"/>
      <c r="F17" s="804"/>
      <c r="G17" s="804"/>
      <c r="H17" s="804"/>
    </row>
    <row r="18" spans="1:14" x14ac:dyDescent="0.2">
      <c r="A18" s="914" t="s">
        <v>1169</v>
      </c>
      <c r="B18" s="804"/>
      <c r="C18" s="804"/>
      <c r="D18" s="804"/>
      <c r="E18" s="804"/>
      <c r="F18" s="804"/>
      <c r="G18" s="804"/>
      <c r="H18" s="804"/>
      <c r="I18" s="804"/>
      <c r="J18" s="804"/>
      <c r="K18" s="804"/>
      <c r="L18" s="804"/>
      <c r="M18" s="804"/>
      <c r="N18" s="804"/>
    </row>
    <row r="19" spans="1:14" x14ac:dyDescent="0.2">
      <c r="A19" s="464" t="s">
        <v>1170</v>
      </c>
      <c r="B19" s="804"/>
      <c r="C19" s="804"/>
      <c r="D19" s="804"/>
      <c r="E19" s="804"/>
      <c r="F19" s="804"/>
      <c r="G19" s="804"/>
      <c r="H19" s="804"/>
      <c r="I19" s="804"/>
      <c r="J19" s="804"/>
      <c r="K19" s="804"/>
      <c r="L19" s="804"/>
      <c r="M19" s="804"/>
      <c r="N19" s="804"/>
    </row>
    <row r="20" spans="1:14" x14ac:dyDescent="0.2">
      <c r="A20" s="464" t="s">
        <v>1171</v>
      </c>
      <c r="B20" s="804"/>
      <c r="C20" s="804"/>
      <c r="D20" s="804"/>
      <c r="E20" s="804"/>
      <c r="F20" s="804"/>
      <c r="G20" s="804"/>
      <c r="H20" s="804"/>
      <c r="I20" s="804"/>
      <c r="J20" s="804"/>
      <c r="K20" s="804"/>
      <c r="L20" s="804"/>
      <c r="M20" s="804"/>
      <c r="N20" s="804"/>
    </row>
    <row r="21" spans="1:14" x14ac:dyDescent="0.2">
      <c r="A21" s="783"/>
      <c r="B21" s="770"/>
      <c r="C21" s="770"/>
      <c r="D21" s="770"/>
      <c r="E21" s="770"/>
      <c r="F21" s="770"/>
      <c r="G21" s="770"/>
      <c r="H21" s="770"/>
    </row>
    <row r="22" spans="1:14" x14ac:dyDescent="0.2">
      <c r="A22" s="26"/>
    </row>
    <row r="23" spans="1:14" ht="13.5" thickBot="1" x14ac:dyDescent="0.25"/>
    <row r="24" spans="1:14" ht="27" customHeight="1" thickBot="1" x14ac:dyDescent="0.25">
      <c r="A24" s="1067" t="s">
        <v>356</v>
      </c>
      <c r="B24" s="1068"/>
      <c r="C24" s="1068"/>
      <c r="D24" s="1068"/>
      <c r="E24" s="1068"/>
      <c r="F24" s="1068"/>
      <c r="G24" s="1068"/>
      <c r="H24" s="1068"/>
      <c r="I24" s="1068"/>
      <c r="J24" s="1068"/>
      <c r="K24" s="1068"/>
      <c r="L24" s="1068"/>
      <c r="M24" s="1068"/>
      <c r="N24" s="1069"/>
    </row>
    <row r="25" spans="1:14" ht="13.5" thickBot="1" x14ac:dyDescent="0.25"/>
    <row r="26" spans="1:14" ht="57" customHeight="1" thickBot="1" x14ac:dyDescent="0.25">
      <c r="A26" s="1064" t="s">
        <v>1167</v>
      </c>
      <c r="B26" s="1065"/>
      <c r="C26" s="1065"/>
      <c r="D26" s="1065"/>
      <c r="E26" s="1065"/>
      <c r="F26" s="1065"/>
      <c r="G26" s="1065"/>
      <c r="H26" s="1065"/>
      <c r="I26" s="1065"/>
      <c r="J26" s="1065"/>
      <c r="K26" s="1065"/>
      <c r="L26" s="1065"/>
      <c r="M26" s="1065"/>
      <c r="N26" s="1066"/>
    </row>
    <row r="27" spans="1:14" ht="13.5" thickBot="1" x14ac:dyDescent="0.25"/>
    <row r="28" spans="1:14" ht="13.5" thickBot="1" x14ac:dyDescent="0.25">
      <c r="A28" s="1070" t="s">
        <v>1172</v>
      </c>
      <c r="B28" s="1071"/>
      <c r="C28" s="1071"/>
      <c r="D28" s="1071"/>
      <c r="E28" s="1071"/>
      <c r="F28" s="1071"/>
      <c r="G28" s="1071"/>
      <c r="H28" s="1071"/>
      <c r="I28" s="1071"/>
      <c r="J28" s="1071"/>
      <c r="K28" s="1071"/>
      <c r="L28" s="1071"/>
      <c r="M28" s="1071"/>
      <c r="N28" s="1072"/>
    </row>
  </sheetData>
  <customSheetViews>
    <customSheetView guid="{E0C60316-4586-4AAF-92CB-FA82BB1EB755}">
      <selection activeCell="E36" sqref="E36"/>
      <pageMargins left="0" right="0" top="0" bottom="0" header="0" footer="0"/>
      <pageSetup orientation="portrait" r:id="rId1"/>
    </customSheetView>
    <customSheetView guid="{A8748736-0722-49EB-85B6-C9B52DDCFE0E}" fitToPage="1">
      <selection activeCell="A26" sqref="A26"/>
      <pageMargins left="0.7" right="0.7" top="0.75" bottom="0.75" header="0.3" footer="0.3"/>
      <pageSetup scale="73" orientation="portrait" r:id="rId2"/>
    </customSheetView>
  </customSheetViews>
  <mergeCells count="7">
    <mergeCell ref="A28:N28"/>
    <mergeCell ref="A26:N26"/>
    <mergeCell ref="A1:N1"/>
    <mergeCell ref="A2:N2"/>
    <mergeCell ref="A3:N3"/>
    <mergeCell ref="A5:J5"/>
    <mergeCell ref="A24:N24"/>
  </mergeCells>
  <pageMargins left="0.7" right="0.7" top="0.75" bottom="0.75" header="0.3" footer="0.3"/>
  <pageSetup scale="64" orientation="portrait"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39997558519241921"/>
    <pageSetUpPr fitToPage="1"/>
  </sheetPr>
  <dimension ref="A1:P44"/>
  <sheetViews>
    <sheetView workbookViewId="0">
      <selection activeCell="A5" sqref="A5"/>
    </sheetView>
  </sheetViews>
  <sheetFormatPr defaultRowHeight="12.75" x14ac:dyDescent="0.2"/>
  <cols>
    <col min="1" max="1" width="38.85546875" customWidth="1"/>
    <col min="2" max="2" width="12.85546875" customWidth="1"/>
    <col min="3" max="3" width="1.28515625" customWidth="1"/>
    <col min="4" max="4" width="12.85546875" customWidth="1"/>
    <col min="5" max="5" width="1.28515625" customWidth="1"/>
    <col min="6" max="6" width="12.85546875" customWidth="1"/>
    <col min="7" max="7" width="1.28515625" customWidth="1"/>
    <col min="8" max="8" width="12.85546875" customWidth="1"/>
    <col min="9" max="9" width="1.28515625" customWidth="1"/>
    <col min="10" max="10" width="12.85546875" customWidth="1"/>
    <col min="11" max="11" width="1.28515625" customWidth="1"/>
    <col min="12" max="12" width="12.85546875" customWidth="1"/>
    <col min="13" max="13" width="1.28515625" customWidth="1"/>
    <col min="14" max="14" width="12.85546875" customWidth="1"/>
    <col min="15" max="15" width="10.28515625" bestFit="1" customWidth="1"/>
  </cols>
  <sheetData>
    <row r="1" spans="1:16" x14ac:dyDescent="0.2">
      <c r="A1" s="990" t="s">
        <v>0</v>
      </c>
      <c r="B1" s="990"/>
      <c r="C1" s="990"/>
      <c r="D1" s="990"/>
      <c r="E1" s="990"/>
      <c r="F1" s="990"/>
      <c r="G1" s="990"/>
      <c r="H1" s="990"/>
      <c r="I1" s="990"/>
      <c r="J1" s="990"/>
      <c r="K1" s="990"/>
      <c r="L1" s="990"/>
      <c r="M1" s="990"/>
      <c r="N1" s="990"/>
    </row>
    <row r="2" spans="1:16" x14ac:dyDescent="0.2">
      <c r="A2" s="990" t="s">
        <v>357</v>
      </c>
      <c r="B2" s="990"/>
      <c r="C2" s="990"/>
      <c r="D2" s="990"/>
      <c r="E2" s="990"/>
      <c r="F2" s="990"/>
      <c r="G2" s="990"/>
      <c r="H2" s="990"/>
      <c r="I2" s="990"/>
      <c r="J2" s="990"/>
      <c r="K2" s="990"/>
      <c r="L2" s="990"/>
      <c r="M2" s="990"/>
      <c r="N2" s="990"/>
    </row>
    <row r="3" spans="1:16" x14ac:dyDescent="0.2">
      <c r="A3" s="990" t="s">
        <v>358</v>
      </c>
      <c r="B3" s="990"/>
      <c r="C3" s="990"/>
      <c r="D3" s="990"/>
      <c r="E3" s="990"/>
      <c r="F3" s="990"/>
      <c r="G3" s="990"/>
      <c r="H3" s="990"/>
      <c r="I3" s="990"/>
      <c r="J3" s="990"/>
      <c r="K3" s="990"/>
      <c r="L3" s="990"/>
      <c r="M3" s="990"/>
      <c r="N3" s="990"/>
    </row>
    <row r="4" spans="1:16" x14ac:dyDescent="0.2">
      <c r="A4" s="34"/>
      <c r="B4" s="34"/>
      <c r="C4" s="34"/>
      <c r="D4" s="34"/>
      <c r="E4" s="34"/>
      <c r="F4" s="34"/>
      <c r="G4" s="34"/>
      <c r="H4" s="34"/>
      <c r="I4" s="34"/>
    </row>
    <row r="6" spans="1:16" x14ac:dyDescent="0.2">
      <c r="H6" s="310" t="s">
        <v>112</v>
      </c>
    </row>
    <row r="7" spans="1:16" x14ac:dyDescent="0.2">
      <c r="B7" s="887">
        <v>2025</v>
      </c>
      <c r="D7" s="887">
        <v>2024</v>
      </c>
      <c r="F7" s="887">
        <f>H7+1</f>
        <v>2023</v>
      </c>
      <c r="H7" s="887">
        <f>J7+1</f>
        <v>2022</v>
      </c>
      <c r="J7" s="887">
        <f>L7+1</f>
        <v>2021</v>
      </c>
      <c r="L7" s="887">
        <v>2020</v>
      </c>
      <c r="M7" s="34"/>
      <c r="N7" s="887">
        <v>2019</v>
      </c>
    </row>
    <row r="8" spans="1:16" x14ac:dyDescent="0.2">
      <c r="A8" s="32" t="s">
        <v>1093</v>
      </c>
      <c r="B8" s="32"/>
      <c r="C8" s="32"/>
      <c r="D8" s="32"/>
      <c r="F8" s="32"/>
      <c r="H8" s="32"/>
      <c r="J8" s="32"/>
      <c r="K8" s="32"/>
      <c r="L8" s="32"/>
      <c r="M8" s="32"/>
      <c r="N8" s="32"/>
    </row>
    <row r="9" spans="1:16" x14ac:dyDescent="0.2">
      <c r="A9" s="310" t="s">
        <v>359</v>
      </c>
      <c r="B9" s="313">
        <v>34270</v>
      </c>
      <c r="D9" s="313">
        <v>35800</v>
      </c>
      <c r="E9" s="313"/>
      <c r="F9" s="313">
        <v>32667</v>
      </c>
      <c r="G9" s="313"/>
      <c r="H9" s="313">
        <v>31877</v>
      </c>
      <c r="I9" s="313"/>
      <c r="J9" s="313">
        <v>35640</v>
      </c>
      <c r="K9" s="408"/>
      <c r="L9" s="313">
        <v>33740</v>
      </c>
      <c r="M9" s="296"/>
      <c r="N9" s="458">
        <v>33200</v>
      </c>
    </row>
    <row r="10" spans="1:16" x14ac:dyDescent="0.2">
      <c r="A10" s="310" t="s">
        <v>159</v>
      </c>
      <c r="B10" s="311">
        <f>32000+4032</f>
        <v>36032</v>
      </c>
      <c r="D10" s="288">
        <f>33467</f>
        <v>33467</v>
      </c>
      <c r="F10" s="311">
        <v>32113</v>
      </c>
      <c r="H10" s="311">
        <v>30899</v>
      </c>
      <c r="J10" s="311">
        <v>33699</v>
      </c>
      <c r="K10" s="408"/>
      <c r="L10" s="311">
        <v>31549</v>
      </c>
      <c r="M10" s="296"/>
      <c r="N10" s="459">
        <v>21201</v>
      </c>
    </row>
    <row r="11" spans="1:16" x14ac:dyDescent="0.2">
      <c r="A11" s="310" t="s">
        <v>344</v>
      </c>
      <c r="B11" s="311">
        <v>0</v>
      </c>
      <c r="D11" s="288">
        <v>0</v>
      </c>
      <c r="F11" s="311">
        <v>0</v>
      </c>
      <c r="H11" s="311">
        <v>0</v>
      </c>
      <c r="J11" s="311">
        <v>0</v>
      </c>
      <c r="K11" s="408"/>
      <c r="L11" s="311">
        <v>0</v>
      </c>
      <c r="M11" s="296"/>
      <c r="N11" s="459">
        <v>0</v>
      </c>
      <c r="O11" s="37"/>
      <c r="P11" s="37"/>
    </row>
    <row r="12" spans="1:16" ht="24.75" customHeight="1" x14ac:dyDescent="0.2">
      <c r="A12" s="439" t="s">
        <v>360</v>
      </c>
      <c r="B12" s="311">
        <v>-200000</v>
      </c>
      <c r="D12" s="288">
        <f>-137364+1225</f>
        <v>-136139</v>
      </c>
      <c r="F12" s="311">
        <v>-124589</v>
      </c>
      <c r="H12" s="311">
        <v>-122558</v>
      </c>
      <c r="J12" s="311">
        <v>-126871</v>
      </c>
      <c r="K12" s="408"/>
      <c r="L12" s="311">
        <v>-123654</v>
      </c>
      <c r="M12" s="296"/>
      <c r="N12" s="459">
        <v>-121154</v>
      </c>
      <c r="P12" s="315"/>
    </row>
    <row r="13" spans="1:16" x14ac:dyDescent="0.2">
      <c r="A13" s="310" t="s">
        <v>361</v>
      </c>
      <c r="B13" s="311">
        <f>318880-4302+7349</f>
        <v>321927</v>
      </c>
      <c r="D13" s="296">
        <v>-406032</v>
      </c>
      <c r="F13" s="311">
        <f>-218982+738309-37747</f>
        <v>481580</v>
      </c>
      <c r="H13" s="311">
        <v>443211</v>
      </c>
      <c r="J13" s="311">
        <v>452643</v>
      </c>
      <c r="K13" s="408"/>
      <c r="L13" s="311">
        <v>452643</v>
      </c>
      <c r="M13" s="296"/>
      <c r="N13" s="459">
        <v>451151</v>
      </c>
    </row>
    <row r="14" spans="1:16" x14ac:dyDescent="0.2">
      <c r="A14" s="310" t="s">
        <v>310</v>
      </c>
      <c r="B14" s="312">
        <f>-43000-7349</f>
        <v>-50349</v>
      </c>
      <c r="D14" s="289">
        <f>-43000-1225</f>
        <v>-44225</v>
      </c>
      <c r="F14" s="312">
        <v>-46522</v>
      </c>
      <c r="H14" s="312">
        <v>-46227</v>
      </c>
      <c r="J14" s="312">
        <v>-45874</v>
      </c>
      <c r="K14" s="408"/>
      <c r="L14" s="312">
        <v>-43248</v>
      </c>
      <c r="M14" s="296"/>
      <c r="N14" s="461">
        <v>-42887</v>
      </c>
      <c r="O14" s="37"/>
    </row>
    <row r="15" spans="1:16" x14ac:dyDescent="0.2">
      <c r="A15" s="32" t="s">
        <v>362</v>
      </c>
      <c r="B15" s="407">
        <f>SUM(B9:B14)</f>
        <v>141880</v>
      </c>
      <c r="D15" s="407">
        <f>SUM(D9:D14)</f>
        <v>-517129</v>
      </c>
      <c r="F15" s="407">
        <f>SUM(F9:G14)</f>
        <v>375249</v>
      </c>
      <c r="H15" s="407">
        <f>SUM(H9:H14)</f>
        <v>337202</v>
      </c>
      <c r="J15" s="407">
        <f>SUM(J9:J14)</f>
        <v>349237</v>
      </c>
      <c r="K15" s="493"/>
      <c r="L15" s="407">
        <f>SUM(L9:L14)</f>
        <v>351030</v>
      </c>
      <c r="M15" s="493"/>
      <c r="N15" s="882">
        <f>SUM(N9:N14)</f>
        <v>341511</v>
      </c>
      <c r="P15" s="37"/>
    </row>
    <row r="16" spans="1:16" x14ac:dyDescent="0.2">
      <c r="A16" s="32" t="s">
        <v>363</v>
      </c>
      <c r="B16" s="311">
        <f>+D17</f>
        <v>2392898</v>
      </c>
      <c r="D16" s="288">
        <f>+F17</f>
        <v>2910027</v>
      </c>
      <c r="F16" s="311">
        <f>+H17</f>
        <v>2534778</v>
      </c>
      <c r="H16" s="311">
        <f>+J17</f>
        <v>2197576</v>
      </c>
      <c r="J16" s="311">
        <f>+L17</f>
        <v>1848339</v>
      </c>
      <c r="K16" s="408"/>
      <c r="L16" s="311">
        <f>+N17</f>
        <v>1497309</v>
      </c>
      <c r="M16" s="296"/>
      <c r="N16" s="459">
        <v>1155798</v>
      </c>
      <c r="O16" s="37"/>
    </row>
    <row r="17" spans="1:16" ht="13.5" thickBot="1" x14ac:dyDescent="0.25">
      <c r="A17" s="32" t="s">
        <v>364</v>
      </c>
      <c r="B17" s="294">
        <f>B16+B15</f>
        <v>2534778</v>
      </c>
      <c r="D17" s="294">
        <f>D16+D15</f>
        <v>2392898</v>
      </c>
      <c r="E17" s="294"/>
      <c r="F17" s="294">
        <f>F16+F15</f>
        <v>2910027</v>
      </c>
      <c r="G17" s="294"/>
      <c r="H17" s="294">
        <f>H16+H15</f>
        <v>2534778</v>
      </c>
      <c r="I17" s="294"/>
      <c r="J17" s="294">
        <f>J16+J15</f>
        <v>2197576</v>
      </c>
      <c r="K17" s="296"/>
      <c r="L17" s="294">
        <f>L16+L15</f>
        <v>1848339</v>
      </c>
      <c r="M17" s="296"/>
      <c r="N17" s="883">
        <f>N16+N15</f>
        <v>1497309</v>
      </c>
      <c r="O17" s="14"/>
      <c r="P17" s="14"/>
    </row>
    <row r="18" spans="1:16" ht="12.75" customHeight="1" thickTop="1" x14ac:dyDescent="0.2">
      <c r="D18" s="288"/>
      <c r="M18" s="296"/>
      <c r="O18" s="14"/>
    </row>
    <row r="19" spans="1:16" x14ac:dyDescent="0.2">
      <c r="A19" s="32" t="s">
        <v>365</v>
      </c>
      <c r="B19" s="32"/>
      <c r="D19" s="288"/>
      <c r="F19" s="32"/>
      <c r="H19" s="32"/>
      <c r="J19" s="32"/>
      <c r="K19" s="32"/>
      <c r="L19" s="32"/>
      <c r="M19" s="296"/>
      <c r="N19" s="32"/>
      <c r="O19" s="14"/>
    </row>
    <row r="20" spans="1:16" x14ac:dyDescent="0.2">
      <c r="A20" s="310" t="s">
        <v>366</v>
      </c>
      <c r="B20" s="313">
        <v>43000</v>
      </c>
      <c r="D20" s="313">
        <v>36876</v>
      </c>
      <c r="F20" s="313">
        <f>42289+1530+3420</f>
        <v>47239</v>
      </c>
      <c r="H20" s="313">
        <v>45850</v>
      </c>
      <c r="J20" s="313">
        <v>46251</v>
      </c>
      <c r="K20" s="391"/>
      <c r="L20" s="313">
        <v>45651</v>
      </c>
      <c r="M20" s="391"/>
      <c r="N20" s="458">
        <v>45651</v>
      </c>
      <c r="O20" s="14"/>
    </row>
    <row r="21" spans="1:16" x14ac:dyDescent="0.2">
      <c r="A21" s="310" t="s">
        <v>367</v>
      </c>
      <c r="B21" s="48">
        <f>7349-4302</f>
        <v>3047</v>
      </c>
      <c r="D21" s="288">
        <f>2500+547-1500</f>
        <v>1547</v>
      </c>
      <c r="F21" s="48">
        <v>2344</v>
      </c>
      <c r="H21" s="48">
        <v>2250</v>
      </c>
      <c r="J21" s="48">
        <v>3165</v>
      </c>
      <c r="K21" s="391"/>
      <c r="L21" s="48">
        <v>2978</v>
      </c>
      <c r="M21" s="296"/>
      <c r="N21" s="884">
        <v>2978</v>
      </c>
    </row>
    <row r="22" spans="1:16" x14ac:dyDescent="0.2">
      <c r="A22" s="310" t="s">
        <v>310</v>
      </c>
      <c r="B22" s="288">
        <v>-50349</v>
      </c>
      <c r="D22" s="288">
        <f>D14</f>
        <v>-44225</v>
      </c>
      <c r="F22" s="288">
        <f>F14</f>
        <v>-46522</v>
      </c>
      <c r="H22" s="288">
        <f>H14</f>
        <v>-46227</v>
      </c>
      <c r="J22" s="288">
        <f>J14</f>
        <v>-45874</v>
      </c>
      <c r="K22" s="296"/>
      <c r="L22" s="288">
        <f>L14</f>
        <v>-43248</v>
      </c>
      <c r="M22" s="296"/>
      <c r="N22" s="884">
        <f>N14</f>
        <v>-42887</v>
      </c>
    </row>
    <row r="23" spans="1:16" hidden="1" x14ac:dyDescent="0.2">
      <c r="A23" s="310" t="s">
        <v>311</v>
      </c>
      <c r="B23" s="289">
        <v>0</v>
      </c>
      <c r="D23" s="289">
        <v>0</v>
      </c>
      <c r="F23" s="289">
        <v>0</v>
      </c>
      <c r="H23" s="289">
        <v>0</v>
      </c>
      <c r="J23" s="289">
        <v>0</v>
      </c>
      <c r="K23" s="296"/>
      <c r="L23" s="289">
        <v>0</v>
      </c>
      <c r="M23" s="296"/>
      <c r="N23" s="885">
        <v>0</v>
      </c>
      <c r="P23" s="391"/>
    </row>
    <row r="24" spans="1:16" x14ac:dyDescent="0.2">
      <c r="A24" s="32" t="s">
        <v>368</v>
      </c>
      <c r="B24" s="324">
        <f>SUM(B20:B23)</f>
        <v>-4302</v>
      </c>
      <c r="D24" s="324">
        <f>SUM(D20:D23)</f>
        <v>-5802</v>
      </c>
      <c r="F24" s="324">
        <f>SUM(F20:F23)</f>
        <v>3061</v>
      </c>
      <c r="H24" s="324">
        <f>SUM(H20:H23)</f>
        <v>1873</v>
      </c>
      <c r="J24" s="324">
        <f>SUM(J20:J23)</f>
        <v>3542</v>
      </c>
      <c r="K24" s="324"/>
      <c r="L24" s="324">
        <f>SUM(L20:L23)</f>
        <v>5381</v>
      </c>
      <c r="M24" s="324"/>
      <c r="N24" s="613">
        <f>SUM(N20:N23)</f>
        <v>5742</v>
      </c>
      <c r="P24" s="14"/>
    </row>
    <row r="25" spans="1:16" x14ac:dyDescent="0.2">
      <c r="A25" s="32" t="s">
        <v>369</v>
      </c>
      <c r="B25" s="329">
        <v>918540</v>
      </c>
      <c r="D25" s="329">
        <v>924342</v>
      </c>
      <c r="F25" s="329">
        <v>921281</v>
      </c>
      <c r="H25" s="329">
        <v>919408</v>
      </c>
      <c r="J25" s="329">
        <v>915866</v>
      </c>
      <c r="K25" s="324"/>
      <c r="L25" s="329">
        <f>915866-5381</f>
        <v>910485</v>
      </c>
      <c r="M25" s="324"/>
      <c r="N25" s="614">
        <v>904743</v>
      </c>
      <c r="O25" s="14"/>
      <c r="P25" s="14"/>
    </row>
    <row r="26" spans="1:16" ht="13.5" thickBot="1" x14ac:dyDescent="0.25">
      <c r="A26" s="32" t="s">
        <v>370</v>
      </c>
      <c r="B26" s="442">
        <f>SUM(B24:B25)</f>
        <v>914238</v>
      </c>
      <c r="D26" s="442">
        <f>SUM(D24:D25)</f>
        <v>918540</v>
      </c>
      <c r="E26" s="442"/>
      <c r="F26" s="442">
        <f>SUM(F24:F25)</f>
        <v>924342</v>
      </c>
      <c r="G26" s="442"/>
      <c r="H26" s="442">
        <f>SUM(H24:H25)</f>
        <v>921281</v>
      </c>
      <c r="I26" s="442"/>
      <c r="J26" s="442">
        <f>SUM(J24:J25)</f>
        <v>919408</v>
      </c>
      <c r="K26" s="324"/>
      <c r="L26" s="442">
        <f>SUM(L24:L25)</f>
        <v>915866</v>
      </c>
      <c r="M26" s="324"/>
      <c r="N26" s="878">
        <f>SUM(N24:N25)</f>
        <v>910485</v>
      </c>
      <c r="P26" s="14"/>
    </row>
    <row r="27" spans="1:16" ht="12.75" customHeight="1" thickTop="1" x14ac:dyDescent="0.2"/>
    <row r="28" spans="1:16" ht="13.5" thickBot="1" x14ac:dyDescent="0.25">
      <c r="A28" s="32" t="s">
        <v>371</v>
      </c>
      <c r="B28" s="447">
        <f>B17-B26</f>
        <v>1620540</v>
      </c>
      <c r="D28" s="447">
        <f>D17-D26</f>
        <v>1474358</v>
      </c>
      <c r="E28" s="447"/>
      <c r="F28" s="447">
        <f>F17-F26</f>
        <v>1985685</v>
      </c>
      <c r="G28" s="447"/>
      <c r="H28" s="447">
        <f>H17-H26</f>
        <v>1613497</v>
      </c>
      <c r="I28" s="447"/>
      <c r="J28" s="447">
        <f>J17-J26</f>
        <v>1278168</v>
      </c>
      <c r="K28" s="14"/>
      <c r="L28" s="447">
        <f>L17-L26</f>
        <v>932473</v>
      </c>
      <c r="M28" s="14"/>
      <c r="N28" s="886">
        <f>N17-N26</f>
        <v>586824</v>
      </c>
    </row>
    <row r="29" spans="1:16" ht="12.75" customHeight="1" thickTop="1" x14ac:dyDescent="0.2"/>
    <row r="30" spans="1:16" ht="25.5" x14ac:dyDescent="0.2">
      <c r="A30" s="467" t="s">
        <v>372</v>
      </c>
      <c r="B30" s="287">
        <f>B26/B17</f>
        <v>0.3606777398257362</v>
      </c>
      <c r="D30" s="287">
        <f>D26/D17</f>
        <v>0.38386090840478782</v>
      </c>
      <c r="F30" s="287">
        <f>F26/F17</f>
        <v>0.31764035179055039</v>
      </c>
      <c r="H30" s="287">
        <f>H26/H17</f>
        <v>0.36345628690165371</v>
      </c>
      <c r="J30" s="287">
        <f>J26/J17</f>
        <v>0.41837369902110327</v>
      </c>
      <c r="K30" s="409"/>
      <c r="L30" s="287">
        <f>L26/L17</f>
        <v>0.49550758816429236</v>
      </c>
      <c r="M30" s="409"/>
      <c r="N30" s="881">
        <f>N26/N17</f>
        <v>0.60808089712945024</v>
      </c>
    </row>
    <row r="31" spans="1:16" x14ac:dyDescent="0.2">
      <c r="L31" s="14"/>
    </row>
    <row r="32" spans="1:16" x14ac:dyDescent="0.2">
      <c r="L32" s="14"/>
    </row>
    <row r="33" spans="1:14" x14ac:dyDescent="0.2">
      <c r="L33" s="14"/>
    </row>
    <row r="34" spans="1:14" x14ac:dyDescent="0.2">
      <c r="A34" s="656" t="s">
        <v>982</v>
      </c>
      <c r="L34" s="14"/>
    </row>
    <row r="35" spans="1:14" x14ac:dyDescent="0.2">
      <c r="A35" s="310" t="s">
        <v>983</v>
      </c>
      <c r="L35" s="310"/>
    </row>
    <row r="36" spans="1:14" x14ac:dyDescent="0.2">
      <c r="A36" s="26" t="s">
        <v>980</v>
      </c>
      <c r="L36" s="310"/>
    </row>
    <row r="37" spans="1:14" x14ac:dyDescent="0.2">
      <c r="A37" s="26"/>
      <c r="L37" s="310"/>
    </row>
    <row r="38" spans="1:14" x14ac:dyDescent="0.2">
      <c r="A38" s="26"/>
      <c r="L38" s="310"/>
    </row>
    <row r="39" spans="1:14" ht="13.5" thickBot="1" x14ac:dyDescent="0.25">
      <c r="L39" s="310"/>
    </row>
    <row r="40" spans="1:14" ht="33.75" customHeight="1" thickBot="1" x14ac:dyDescent="0.25">
      <c r="A40" s="1067" t="s">
        <v>356</v>
      </c>
      <c r="B40" s="1068"/>
      <c r="C40" s="1068"/>
      <c r="D40" s="1068"/>
      <c r="E40" s="1068"/>
      <c r="F40" s="1068"/>
      <c r="G40" s="1068"/>
      <c r="H40" s="1068"/>
      <c r="I40" s="1068"/>
      <c r="J40" s="1068"/>
      <c r="K40" s="1068"/>
      <c r="L40" s="1068"/>
      <c r="M40" s="1068"/>
      <c r="N40" s="1069"/>
    </row>
    <row r="41" spans="1:14" ht="13.5" thickBot="1" x14ac:dyDescent="0.25">
      <c r="A41" s="410"/>
      <c r="B41" s="410"/>
      <c r="C41" s="410"/>
      <c r="D41" s="410"/>
      <c r="E41" s="410"/>
      <c r="F41" s="410"/>
      <c r="G41" s="410"/>
      <c r="H41" s="410"/>
      <c r="L41" s="291"/>
    </row>
    <row r="42" spans="1:14" ht="84.75" customHeight="1" thickBot="1" x14ac:dyDescent="0.25">
      <c r="A42" s="1064" t="s">
        <v>1094</v>
      </c>
      <c r="B42" s="1065"/>
      <c r="C42" s="1065"/>
      <c r="D42" s="1065"/>
      <c r="E42" s="1065"/>
      <c r="F42" s="1065"/>
      <c r="G42" s="1065"/>
      <c r="H42" s="1065"/>
      <c r="I42" s="1065"/>
      <c r="J42" s="1065"/>
      <c r="K42" s="1065"/>
      <c r="L42" s="1065"/>
      <c r="M42" s="1065"/>
      <c r="N42" s="1066"/>
    </row>
    <row r="43" spans="1:14" x14ac:dyDescent="0.2">
      <c r="A43" s="310"/>
      <c r="B43" s="310"/>
      <c r="C43" s="310"/>
    </row>
    <row r="44" spans="1:14" x14ac:dyDescent="0.2">
      <c r="L44" s="291"/>
      <c r="N44" s="291"/>
    </row>
  </sheetData>
  <customSheetViews>
    <customSheetView guid="{E0C60316-4586-4AAF-92CB-FA82BB1EB755}">
      <selection activeCell="B25" sqref="B25"/>
      <pageMargins left="0" right="0" top="0" bottom="0" header="0" footer="0"/>
      <pageSetup orientation="portrait" r:id="rId1"/>
    </customSheetView>
    <customSheetView guid="{A8748736-0722-49EB-85B6-C9B52DDCFE0E}" fitToPage="1" topLeftCell="A9">
      <selection activeCell="A39" sqref="A39"/>
      <pageMargins left="0.7" right="0.7" top="0.75" bottom="0.75" header="0.3" footer="0.3"/>
      <pageSetup scale="65" orientation="portrait" r:id="rId2"/>
    </customSheetView>
  </customSheetViews>
  <mergeCells count="5">
    <mergeCell ref="A1:N1"/>
    <mergeCell ref="A2:N2"/>
    <mergeCell ref="A3:N3"/>
    <mergeCell ref="A40:N40"/>
    <mergeCell ref="A42:N42"/>
  </mergeCells>
  <pageMargins left="0.7" right="0.7" top="0.75" bottom="0.75" header="0.3" footer="0.3"/>
  <pageSetup scale="67"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7" tint="0.39997558519241921"/>
    <pageSetUpPr fitToPage="1"/>
  </sheetPr>
  <dimension ref="A1:N39"/>
  <sheetViews>
    <sheetView workbookViewId="0">
      <selection activeCell="A6" sqref="A6"/>
    </sheetView>
  </sheetViews>
  <sheetFormatPr defaultRowHeight="12.75" x14ac:dyDescent="0.2"/>
  <cols>
    <col min="1" max="1" width="54.7109375" customWidth="1"/>
    <col min="2" max="2" width="12.140625" customWidth="1"/>
    <col min="3" max="3" width="1.28515625" customWidth="1"/>
    <col min="4" max="4" width="12.140625" customWidth="1"/>
    <col min="5" max="5" width="1.28515625" customWidth="1"/>
    <col min="6" max="6" width="12.140625" customWidth="1"/>
    <col min="7" max="7" width="1.28515625" customWidth="1"/>
    <col min="8" max="8" width="12.140625" customWidth="1"/>
    <col min="9" max="9" width="1.28515625" customWidth="1"/>
    <col min="10" max="10" width="12.140625" customWidth="1"/>
    <col min="11" max="11" width="1.28515625" customWidth="1"/>
    <col min="12" max="12" width="12.140625" customWidth="1"/>
    <col min="13" max="13" width="1.28515625" customWidth="1"/>
    <col min="14" max="14" width="12.140625" customWidth="1"/>
  </cols>
  <sheetData>
    <row r="1" spans="1:14" x14ac:dyDescent="0.2">
      <c r="A1" s="990" t="s">
        <v>0</v>
      </c>
      <c r="B1" s="990"/>
      <c r="C1" s="990"/>
      <c r="D1" s="990"/>
      <c r="E1" s="990"/>
      <c r="F1" s="990"/>
      <c r="G1" s="990"/>
      <c r="H1" s="990"/>
      <c r="I1" s="990"/>
      <c r="J1" s="990"/>
      <c r="K1" s="990"/>
      <c r="L1" s="990"/>
      <c r="M1" s="990"/>
      <c r="N1" s="990"/>
    </row>
    <row r="2" spans="1:14" x14ac:dyDescent="0.2">
      <c r="A2" s="1074" t="s">
        <v>1096</v>
      </c>
      <c r="B2" s="1074"/>
      <c r="C2" s="1074"/>
      <c r="D2" s="1074"/>
      <c r="E2" s="1074"/>
      <c r="F2" s="1074"/>
      <c r="G2" s="1074"/>
      <c r="H2" s="1074"/>
      <c r="I2" s="1074"/>
      <c r="J2" s="1074"/>
      <c r="K2" s="1074"/>
      <c r="L2" s="1074"/>
      <c r="M2" s="1074"/>
      <c r="N2" s="1074"/>
    </row>
    <row r="3" spans="1:14" x14ac:dyDescent="0.2">
      <c r="A3" s="1075" t="s">
        <v>1097</v>
      </c>
      <c r="B3" s="1075"/>
      <c r="C3" s="1075"/>
      <c r="D3" s="1075"/>
      <c r="E3" s="1075"/>
      <c r="F3" s="1075"/>
      <c r="G3" s="1075"/>
      <c r="H3" s="1075"/>
      <c r="I3" s="1075"/>
      <c r="J3" s="1075"/>
      <c r="K3" s="1075"/>
      <c r="L3" s="1075"/>
      <c r="M3" s="1075"/>
      <c r="N3" s="1075"/>
    </row>
    <row r="4" spans="1:14" x14ac:dyDescent="0.2">
      <c r="A4" s="990"/>
      <c r="B4" s="990"/>
      <c r="C4" s="990"/>
      <c r="D4" s="990"/>
      <c r="E4" s="990"/>
      <c r="F4" s="990"/>
      <c r="G4" s="990"/>
      <c r="H4" s="990"/>
      <c r="I4" s="990"/>
      <c r="J4" s="990"/>
    </row>
    <row r="5" spans="1:14" x14ac:dyDescent="0.2">
      <c r="A5" s="34"/>
      <c r="B5" s="34"/>
      <c r="C5" s="34"/>
      <c r="D5" s="34"/>
      <c r="E5" s="34"/>
      <c r="F5" s="34"/>
      <c r="G5" s="34"/>
      <c r="H5" s="34"/>
      <c r="I5" s="34"/>
      <c r="J5" s="34"/>
    </row>
    <row r="7" spans="1:14" x14ac:dyDescent="0.2">
      <c r="B7" s="887">
        <v>2025</v>
      </c>
      <c r="D7" s="887">
        <v>2024</v>
      </c>
      <c r="F7" s="887">
        <v>2023</v>
      </c>
      <c r="H7" s="887">
        <v>2022</v>
      </c>
      <c r="J7" s="887">
        <v>2021</v>
      </c>
      <c r="L7" s="887">
        <v>2020</v>
      </c>
      <c r="N7" s="283">
        <v>2019</v>
      </c>
    </row>
    <row r="9" spans="1:14" x14ac:dyDescent="0.2">
      <c r="A9" s="310" t="s">
        <v>373</v>
      </c>
      <c r="B9" s="313">
        <f>D9*1.02</f>
        <v>1391312.6400000001</v>
      </c>
      <c r="C9" s="313"/>
      <c r="D9" s="328">
        <v>1364032</v>
      </c>
      <c r="E9" s="313"/>
      <c r="F9" s="328">
        <v>1364032</v>
      </c>
      <c r="H9" s="328">
        <f>F9+29000</f>
        <v>1393032</v>
      </c>
      <c r="J9" s="328">
        <v>1385854</v>
      </c>
      <c r="L9" s="328">
        <v>1298585</v>
      </c>
      <c r="N9" s="612">
        <v>1274321</v>
      </c>
    </row>
    <row r="11" spans="1:14" x14ac:dyDescent="0.2">
      <c r="A11" s="310" t="s">
        <v>374</v>
      </c>
      <c r="B11" s="324">
        <v>43000</v>
      </c>
      <c r="C11" s="324"/>
      <c r="D11" s="324">
        <v>36876</v>
      </c>
      <c r="E11" s="324"/>
      <c r="F11" s="324">
        <v>47239</v>
      </c>
      <c r="H11" s="324">
        <f>F11-8300</f>
        <v>38939</v>
      </c>
      <c r="J11" s="324">
        <v>46251</v>
      </c>
      <c r="L11" s="324">
        <v>42651</v>
      </c>
      <c r="N11" s="613">
        <v>40217</v>
      </c>
    </row>
    <row r="12" spans="1:14" ht="13.5" thickBot="1" x14ac:dyDescent="0.25">
      <c r="A12" s="310" t="s">
        <v>330</v>
      </c>
      <c r="B12" s="292">
        <f>B9-B11</f>
        <v>1348312.6400000001</v>
      </c>
      <c r="C12" s="13"/>
      <c r="D12" s="292">
        <f>D9-D11</f>
        <v>1327156</v>
      </c>
      <c r="E12" s="13"/>
      <c r="F12" s="292">
        <f>F9-F11</f>
        <v>1316793</v>
      </c>
      <c r="H12" s="292">
        <f>H9-H11</f>
        <v>1354093</v>
      </c>
      <c r="J12" s="292">
        <f>J9-J11</f>
        <v>1339603</v>
      </c>
      <c r="L12" s="292">
        <f>L9-L11</f>
        <v>1255934</v>
      </c>
      <c r="N12" s="890">
        <f>N9-N11</f>
        <v>1234104</v>
      </c>
    </row>
    <row r="13" spans="1:14" ht="13.5" thickTop="1" x14ac:dyDescent="0.2"/>
    <row r="14" spans="1:14" ht="12.75" customHeight="1" x14ac:dyDescent="0.2">
      <c r="A14" s="460" t="s">
        <v>396</v>
      </c>
      <c r="B14" s="881">
        <v>0.04</v>
      </c>
      <c r="D14" s="881">
        <v>4.1000000000000002E-2</v>
      </c>
      <c r="F14" s="881">
        <v>4.4999999999999998E-2</v>
      </c>
      <c r="H14" s="881">
        <v>4.2000000000000003E-2</v>
      </c>
      <c r="J14" s="881">
        <v>4.2599999999999999E-2</v>
      </c>
      <c r="L14" s="881">
        <v>4.1599999999999998E-2</v>
      </c>
      <c r="N14" s="881">
        <v>3.5000000000000003E-2</v>
      </c>
    </row>
    <row r="15" spans="1:14" x14ac:dyDescent="0.2">
      <c r="J15" s="316">
        <f>950813/2728064</f>
        <v>0.34853031307183407</v>
      </c>
    </row>
    <row r="16" spans="1:14" x14ac:dyDescent="0.2">
      <c r="J16" s="316"/>
    </row>
    <row r="17" spans="1:11" x14ac:dyDescent="0.2">
      <c r="J17" s="316"/>
    </row>
    <row r="18" spans="1:11" x14ac:dyDescent="0.2">
      <c r="A18" s="656" t="s">
        <v>982</v>
      </c>
      <c r="B18" s="26"/>
      <c r="C18" s="26"/>
      <c r="D18" s="26"/>
      <c r="E18" s="26"/>
      <c r="F18" s="26"/>
      <c r="G18" s="26"/>
      <c r="H18" s="26"/>
      <c r="I18" s="26"/>
      <c r="J18" s="26"/>
    </row>
    <row r="19" spans="1:11" x14ac:dyDescent="0.2">
      <c r="A19" s="1078" t="s">
        <v>376</v>
      </c>
      <c r="B19" s="1078"/>
      <c r="C19" s="1078"/>
      <c r="D19" s="1078"/>
      <c r="E19" s="1078"/>
      <c r="F19" s="1078"/>
      <c r="G19" s="1078"/>
      <c r="H19" s="1078"/>
      <c r="I19" s="1078"/>
      <c r="J19" s="1078"/>
    </row>
    <row r="20" spans="1:11" x14ac:dyDescent="0.2">
      <c r="A20" s="26" t="s">
        <v>980</v>
      </c>
      <c r="B20" s="107"/>
      <c r="C20" s="107"/>
      <c r="D20" s="107"/>
      <c r="E20" s="107"/>
      <c r="F20" s="107"/>
      <c r="G20" s="107"/>
      <c r="H20" s="107"/>
      <c r="I20" s="107"/>
      <c r="J20" s="107"/>
    </row>
    <row r="21" spans="1:11" x14ac:dyDescent="0.2">
      <c r="A21" s="26"/>
      <c r="B21" s="26"/>
      <c r="C21" s="26"/>
      <c r="D21" s="26"/>
      <c r="E21" s="26"/>
      <c r="F21" s="26"/>
      <c r="G21" s="26"/>
      <c r="H21" s="26"/>
      <c r="I21" s="26"/>
      <c r="J21" s="26"/>
    </row>
    <row r="22" spans="1:11" x14ac:dyDescent="0.2">
      <c r="A22" s="658" t="s">
        <v>377</v>
      </c>
      <c r="B22" s="26"/>
      <c r="C22" s="26"/>
      <c r="D22" s="26"/>
      <c r="E22" s="26"/>
      <c r="F22" s="26"/>
      <c r="G22" s="26"/>
      <c r="H22" s="26"/>
      <c r="I22" s="26"/>
      <c r="J22" s="26"/>
    </row>
    <row r="23" spans="1:11" x14ac:dyDescent="0.2">
      <c r="A23" s="26" t="s">
        <v>984</v>
      </c>
      <c r="B23" s="1077">
        <v>45657</v>
      </c>
      <c r="C23" s="1077"/>
      <c r="D23" s="1077"/>
      <c r="E23" s="1077"/>
      <c r="F23" s="783"/>
      <c r="G23" s="783"/>
      <c r="H23" s="783"/>
      <c r="I23" s="783"/>
      <c r="J23" s="26"/>
    </row>
    <row r="24" spans="1:11" x14ac:dyDescent="0.2">
      <c r="A24" s="89" t="s">
        <v>378</v>
      </c>
      <c r="B24" s="659" t="s">
        <v>379</v>
      </c>
      <c r="C24" s="26"/>
      <c r="D24" s="26"/>
      <c r="E24" s="26"/>
      <c r="F24" s="26"/>
      <c r="G24" s="26"/>
      <c r="H24" s="26"/>
      <c r="I24" s="26"/>
      <c r="J24" s="26"/>
    </row>
    <row r="25" spans="1:11" x14ac:dyDescent="0.2">
      <c r="A25" s="89" t="s">
        <v>380</v>
      </c>
      <c r="B25" s="659" t="s">
        <v>381</v>
      </c>
      <c r="C25" s="26"/>
      <c r="D25" s="26"/>
      <c r="E25" s="26"/>
      <c r="F25" s="26"/>
      <c r="G25" s="26"/>
      <c r="H25" s="26"/>
      <c r="I25" s="26"/>
      <c r="J25" s="26"/>
    </row>
    <row r="26" spans="1:11" x14ac:dyDescent="0.2">
      <c r="A26" s="89" t="s">
        <v>382</v>
      </c>
      <c r="B26" s="659" t="s">
        <v>383</v>
      </c>
      <c r="C26" s="26"/>
      <c r="D26" s="26"/>
      <c r="E26" s="26"/>
      <c r="F26" s="26"/>
      <c r="G26" s="26"/>
      <c r="H26" s="26"/>
      <c r="I26" s="26"/>
      <c r="J26" s="26"/>
    </row>
    <row r="27" spans="1:11" x14ac:dyDescent="0.2">
      <c r="A27" s="89" t="s">
        <v>384</v>
      </c>
      <c r="B27" s="659" t="s">
        <v>385</v>
      </c>
      <c r="C27" s="26"/>
      <c r="D27" s="26"/>
      <c r="E27" s="26"/>
      <c r="F27" s="26"/>
      <c r="G27" s="26"/>
      <c r="H27" s="26"/>
      <c r="I27" s="26"/>
      <c r="J27" s="26"/>
    </row>
    <row r="28" spans="1:11" x14ac:dyDescent="0.2">
      <c r="A28" s="89" t="s">
        <v>386</v>
      </c>
      <c r="B28" s="659" t="s">
        <v>387</v>
      </c>
      <c r="C28" s="26"/>
      <c r="D28" s="26"/>
      <c r="E28" s="26"/>
      <c r="F28" s="26"/>
      <c r="G28" s="26"/>
      <c r="H28" s="26"/>
      <c r="I28" s="26"/>
      <c r="J28" s="26"/>
    </row>
    <row r="29" spans="1:11" x14ac:dyDescent="0.2">
      <c r="A29" s="89" t="s">
        <v>388</v>
      </c>
      <c r="B29" s="659" t="s">
        <v>389</v>
      </c>
      <c r="C29" s="26"/>
      <c r="D29" s="26"/>
      <c r="E29" s="26"/>
      <c r="F29" s="26"/>
      <c r="G29" s="26"/>
      <c r="H29" s="26"/>
      <c r="I29" s="26"/>
      <c r="J29" s="26"/>
    </row>
    <row r="30" spans="1:11" x14ac:dyDescent="0.2">
      <c r="A30" s="89" t="s">
        <v>390</v>
      </c>
      <c r="B30" s="659" t="s">
        <v>391</v>
      </c>
      <c r="C30" s="26"/>
      <c r="D30" s="26"/>
      <c r="E30" s="26"/>
      <c r="F30" s="26"/>
      <c r="G30" s="26"/>
      <c r="H30" s="26"/>
      <c r="I30" s="26"/>
      <c r="J30" s="26"/>
    </row>
    <row r="31" spans="1:11" ht="12.75" customHeight="1" x14ac:dyDescent="0.2">
      <c r="A31" s="89" t="s">
        <v>392</v>
      </c>
      <c r="B31" s="659" t="s">
        <v>393</v>
      </c>
      <c r="C31" s="26"/>
      <c r="D31" s="26"/>
      <c r="E31" s="26"/>
      <c r="F31" s="26"/>
      <c r="G31" s="26"/>
      <c r="H31" s="26"/>
      <c r="I31" s="26"/>
      <c r="J31" s="26"/>
    </row>
    <row r="32" spans="1:11" ht="48.75" customHeight="1" x14ac:dyDescent="0.2">
      <c r="A32" s="660" t="s">
        <v>394</v>
      </c>
      <c r="B32" s="1076" t="s">
        <v>952</v>
      </c>
      <c r="C32" s="1076"/>
      <c r="D32" s="1076"/>
      <c r="E32" s="1076"/>
      <c r="F32" s="1076"/>
      <c r="G32" s="1076"/>
      <c r="H32" s="1076"/>
      <c r="I32" s="1076"/>
      <c r="J32" s="1076"/>
      <c r="K32" s="384"/>
    </row>
    <row r="33" spans="1:14" ht="39.75" customHeight="1" x14ac:dyDescent="0.2">
      <c r="A33" s="660" t="s">
        <v>395</v>
      </c>
      <c r="B33" s="1076" t="s">
        <v>953</v>
      </c>
      <c r="C33" s="1076"/>
      <c r="D33" s="1076"/>
      <c r="E33" s="1076"/>
      <c r="F33" s="1076"/>
      <c r="G33" s="1076"/>
      <c r="H33" s="1076"/>
      <c r="I33" s="1076"/>
      <c r="J33" s="1076"/>
      <c r="K33" s="384"/>
    </row>
    <row r="36" spans="1:14" ht="13.5" thickBot="1" x14ac:dyDescent="0.25"/>
    <row r="37" spans="1:14" ht="26.25" customHeight="1" thickBot="1" x14ac:dyDescent="0.25">
      <c r="A37" s="1067" t="s">
        <v>375</v>
      </c>
      <c r="B37" s="1068"/>
      <c r="C37" s="1068"/>
      <c r="D37" s="1068"/>
      <c r="E37" s="1068"/>
      <c r="F37" s="1068"/>
      <c r="G37" s="1068"/>
      <c r="H37" s="1068"/>
      <c r="I37" s="1068"/>
      <c r="J37" s="1068"/>
      <c r="K37" s="1068"/>
      <c r="L37" s="1068"/>
      <c r="M37" s="1068"/>
      <c r="N37" s="1069"/>
    </row>
    <row r="38" spans="1:14" ht="13.5" thickBot="1" x14ac:dyDescent="0.25"/>
    <row r="39" spans="1:14" ht="78.75" customHeight="1" thickBot="1" x14ac:dyDescent="0.25">
      <c r="A39" s="1064" t="s">
        <v>1095</v>
      </c>
      <c r="B39" s="1065"/>
      <c r="C39" s="1065"/>
      <c r="D39" s="1065"/>
      <c r="E39" s="1065"/>
      <c r="F39" s="1065"/>
      <c r="G39" s="1065"/>
      <c r="H39" s="1065"/>
      <c r="I39" s="1065"/>
      <c r="J39" s="1065"/>
      <c r="K39" s="1065"/>
      <c r="L39" s="1065"/>
      <c r="M39" s="1065"/>
      <c r="N39" s="1066"/>
    </row>
  </sheetData>
  <customSheetViews>
    <customSheetView guid="{E0C60316-4586-4AAF-92CB-FA82BB1EB755}" fitToPage="1">
      <selection activeCell="H24" sqref="H24"/>
      <pageMargins left="0" right="0" top="0" bottom="0" header="0" footer="0"/>
      <pageSetup scale="70" fitToHeight="0" orientation="landscape" r:id="rId1"/>
    </customSheetView>
    <customSheetView guid="{A8748736-0722-49EB-85B6-C9B52DDCFE0E}" showPageBreaks="1" fitToPage="1" printArea="1" hiddenRows="1">
      <selection activeCell="A18" sqref="A18"/>
      <pageMargins left="0.7" right="0.7" top="0.75" bottom="0.75" header="0.3" footer="0.3"/>
      <pageSetup scale="62" fitToHeight="0" orientation="portrait" r:id="rId2"/>
    </customSheetView>
  </customSheetViews>
  <mergeCells count="10">
    <mergeCell ref="A37:N37"/>
    <mergeCell ref="A39:N39"/>
    <mergeCell ref="A1:N1"/>
    <mergeCell ref="A2:N2"/>
    <mergeCell ref="A3:N3"/>
    <mergeCell ref="B32:J32"/>
    <mergeCell ref="B33:J33"/>
    <mergeCell ref="B23:E23"/>
    <mergeCell ref="A19:J19"/>
    <mergeCell ref="A4:J4"/>
  </mergeCells>
  <pageMargins left="0.7" right="0.7" top="0.75" bottom="0.75" header="0.3" footer="0.3"/>
  <pageSetup scale="61"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tint="0.39997558519241921"/>
    <pageSetUpPr fitToPage="1"/>
  </sheetPr>
  <dimension ref="A1:Q465"/>
  <sheetViews>
    <sheetView zoomScaleNormal="100" workbookViewId="0">
      <pane ySplit="10" topLeftCell="A11" activePane="bottomLeft" state="frozen"/>
      <selection sqref="A1:N1"/>
      <selection pane="bottomLeft" activeCell="D7" sqref="D7"/>
    </sheetView>
  </sheetViews>
  <sheetFormatPr defaultColWidth="9.140625" defaultRowHeight="12.75" x14ac:dyDescent="0.2"/>
  <cols>
    <col min="1" max="1" width="2.140625" style="310" customWidth="1"/>
    <col min="2" max="2" width="1.5703125" style="310" customWidth="1"/>
    <col min="3" max="3" width="1.85546875" style="310" customWidth="1"/>
    <col min="4" max="4" width="35.28515625" style="310" customWidth="1"/>
    <col min="5" max="5" width="14.42578125" style="310" customWidth="1"/>
    <col min="6" max="6" width="2.5703125" style="310" customWidth="1"/>
    <col min="7" max="7" width="15.28515625" style="310" customWidth="1"/>
    <col min="8" max="8" width="2.7109375" style="310" customWidth="1"/>
    <col min="9" max="9" width="11.85546875" style="310" customWidth="1"/>
    <col min="10" max="10" width="12.28515625" style="310" hidden="1" customWidth="1"/>
    <col min="11" max="11" width="11.5703125" style="310" hidden="1" customWidth="1"/>
    <col min="12" max="12" width="12.42578125" style="310" bestFit="1" customWidth="1"/>
    <col min="13" max="13" width="11.42578125" style="310" bestFit="1" customWidth="1"/>
    <col min="14" max="14" width="10.28515625" style="310" bestFit="1" customWidth="1"/>
    <col min="15" max="16384" width="9.140625" style="310"/>
  </cols>
  <sheetData>
    <row r="1" spans="1:13" x14ac:dyDescent="0.2">
      <c r="A1" s="29" t="s">
        <v>0</v>
      </c>
      <c r="B1" s="344"/>
      <c r="C1" s="344"/>
      <c r="D1" s="344"/>
      <c r="E1" s="344"/>
      <c r="F1" s="344"/>
      <c r="G1" s="344"/>
      <c r="H1" s="344"/>
      <c r="I1" s="344"/>
    </row>
    <row r="2" spans="1:13" x14ac:dyDescent="0.2">
      <c r="A2" s="29" t="s">
        <v>140</v>
      </c>
      <c r="B2" s="344"/>
      <c r="C2" s="344"/>
      <c r="D2" s="344"/>
      <c r="E2" s="344"/>
      <c r="F2" s="344"/>
      <c r="G2" s="344"/>
      <c r="H2" s="344"/>
      <c r="I2" s="344"/>
    </row>
    <row r="3" spans="1:13" x14ac:dyDescent="0.2">
      <c r="A3" s="29" t="s">
        <v>397</v>
      </c>
      <c r="B3" s="344"/>
      <c r="C3" s="344"/>
      <c r="D3" s="344"/>
      <c r="E3" s="344"/>
      <c r="F3" s="344"/>
      <c r="G3" s="344"/>
      <c r="H3" s="344"/>
      <c r="I3" s="344"/>
    </row>
    <row r="4" spans="1:13" x14ac:dyDescent="0.2">
      <c r="A4" s="29" t="s">
        <v>398</v>
      </c>
      <c r="B4" s="344"/>
      <c r="C4" s="344"/>
      <c r="D4" s="344"/>
      <c r="E4" s="344"/>
      <c r="F4" s="344"/>
      <c r="G4" s="344"/>
      <c r="H4" s="344"/>
      <c r="I4" s="344"/>
    </row>
    <row r="5" spans="1:13" x14ac:dyDescent="0.2">
      <c r="A5" s="29" t="str">
        <f>'GWStmtAct 68 Exh 2'!A3</f>
        <v>For the Year Ended June 30, 2025</v>
      </c>
      <c r="B5" s="344"/>
      <c r="C5" s="344"/>
      <c r="D5" s="344"/>
      <c r="E5" s="344"/>
      <c r="F5" s="344"/>
      <c r="G5" s="344"/>
      <c r="H5" s="344"/>
      <c r="I5" s="344"/>
    </row>
    <row r="6" spans="1:13" x14ac:dyDescent="0.2">
      <c r="A6" s="29"/>
      <c r="B6" s="344"/>
      <c r="C6" s="344"/>
      <c r="D6" s="344"/>
      <c r="E6" s="344"/>
      <c r="F6" s="344"/>
      <c r="G6" s="344"/>
      <c r="H6" s="344"/>
      <c r="I6" s="344"/>
    </row>
    <row r="7" spans="1:13" ht="13.5" thickBot="1" x14ac:dyDescent="0.25">
      <c r="A7" s="81"/>
      <c r="B7" s="81"/>
      <c r="C7" s="81"/>
      <c r="D7" s="81"/>
      <c r="E7" s="81"/>
      <c r="F7" s="81"/>
      <c r="G7" s="81"/>
      <c r="H7" s="81"/>
      <c r="I7" s="81"/>
    </row>
    <row r="8" spans="1:13" x14ac:dyDescent="0.2">
      <c r="I8" s="465" t="s">
        <v>399</v>
      </c>
    </row>
    <row r="9" spans="1:13" x14ac:dyDescent="0.2">
      <c r="E9" s="465" t="s">
        <v>189</v>
      </c>
      <c r="I9" s="749" t="s">
        <v>1053</v>
      </c>
    </row>
    <row r="10" spans="1:13" x14ac:dyDescent="0.2">
      <c r="E10" s="360" t="s">
        <v>190</v>
      </c>
      <c r="G10" s="360" t="s">
        <v>191</v>
      </c>
      <c r="I10" s="750" t="s">
        <v>1054</v>
      </c>
    </row>
    <row r="11" spans="1:13" x14ac:dyDescent="0.2">
      <c r="C11" s="36" t="s">
        <v>192</v>
      </c>
    </row>
    <row r="12" spans="1:13" x14ac:dyDescent="0.2">
      <c r="A12" s="36" t="s">
        <v>400</v>
      </c>
      <c r="E12" s="361"/>
      <c r="F12" s="361"/>
      <c r="G12" s="361"/>
      <c r="H12" s="361"/>
      <c r="I12" s="361"/>
    </row>
    <row r="13" spans="1:13" x14ac:dyDescent="0.2">
      <c r="B13" s="352" t="s">
        <v>401</v>
      </c>
      <c r="E13" s="362"/>
      <c r="F13" s="332"/>
      <c r="G13" s="363">
        <f>55122410+261-329403</f>
        <v>54793268</v>
      </c>
      <c r="H13" s="332"/>
      <c r="I13" s="362"/>
    </row>
    <row r="14" spans="1:13" x14ac:dyDescent="0.2">
      <c r="B14" s="352" t="s">
        <v>159</v>
      </c>
      <c r="E14" s="364"/>
      <c r="F14" s="361"/>
      <c r="G14" s="365">
        <f>350571-10945</f>
        <v>339626</v>
      </c>
      <c r="H14" s="361"/>
      <c r="I14" s="364"/>
    </row>
    <row r="15" spans="1:13" x14ac:dyDescent="0.2">
      <c r="C15" s="352" t="s">
        <v>402</v>
      </c>
      <c r="E15" s="366">
        <f>54812398-620000+880000+300000</f>
        <v>55372398</v>
      </c>
      <c r="F15" s="361"/>
      <c r="G15" s="365">
        <f>SUM(G13:G14)</f>
        <v>55132894</v>
      </c>
      <c r="H15" s="361"/>
      <c r="I15" s="366">
        <f>G15-E15</f>
        <v>-239504</v>
      </c>
      <c r="J15" s="302"/>
      <c r="M15" s="302"/>
    </row>
    <row r="16" spans="1:13" ht="12.75" customHeight="1" x14ac:dyDescent="0.2">
      <c r="E16" s="367"/>
      <c r="F16" s="361"/>
      <c r="G16" s="367"/>
      <c r="H16" s="361"/>
      <c r="I16" s="367"/>
    </row>
    <row r="17" spans="1:11" x14ac:dyDescent="0.2">
      <c r="A17" s="36" t="s">
        <v>403</v>
      </c>
      <c r="E17" s="367"/>
      <c r="F17" s="361"/>
      <c r="G17" s="367"/>
      <c r="H17" s="361"/>
      <c r="I17" s="367"/>
      <c r="K17" s="332"/>
    </row>
    <row r="18" spans="1:11" x14ac:dyDescent="0.2">
      <c r="B18" s="352" t="s">
        <v>404</v>
      </c>
      <c r="E18" s="368"/>
      <c r="F18" s="361"/>
      <c r="G18" s="367">
        <f>7261867+10945-1256003+69084-1012416</f>
        <v>5073477</v>
      </c>
      <c r="H18" s="361"/>
      <c r="I18" s="368"/>
    </row>
    <row r="19" spans="1:11" x14ac:dyDescent="0.2">
      <c r="B19" s="352" t="s">
        <v>405</v>
      </c>
      <c r="E19" s="368"/>
      <c r="F19" s="361"/>
      <c r="G19" s="367">
        <f>3214428+210632-50000</f>
        <v>3375060</v>
      </c>
      <c r="H19" s="361"/>
      <c r="I19" s="368"/>
    </row>
    <row r="20" spans="1:11" x14ac:dyDescent="0.2">
      <c r="B20" s="352" t="s">
        <v>406</v>
      </c>
      <c r="E20" s="368"/>
      <c r="F20" s="361"/>
      <c r="G20" s="367">
        <f>3214368</f>
        <v>3214368</v>
      </c>
      <c r="H20" s="361"/>
      <c r="I20" s="368"/>
    </row>
    <row r="21" spans="1:11" x14ac:dyDescent="0.2">
      <c r="B21" s="352" t="s">
        <v>407</v>
      </c>
      <c r="E21" s="368"/>
      <c r="F21" s="361"/>
      <c r="G21" s="367">
        <f>1256003-69084</f>
        <v>1186919</v>
      </c>
      <c r="H21" s="361"/>
      <c r="I21" s="368"/>
    </row>
    <row r="22" spans="1:11" x14ac:dyDescent="0.2">
      <c r="C22" s="352" t="s">
        <v>6</v>
      </c>
      <c r="E22" s="369">
        <f>13235000-1012420+650000</f>
        <v>12872580</v>
      </c>
      <c r="F22" s="361"/>
      <c r="G22" s="369">
        <f>SUM(G18:G21)</f>
        <v>12849824</v>
      </c>
      <c r="H22" s="361"/>
      <c r="I22" s="369">
        <f>G22-E22</f>
        <v>-22756</v>
      </c>
    </row>
    <row r="23" spans="1:11" ht="12.75" customHeight="1" x14ac:dyDescent="0.2">
      <c r="E23" s="367"/>
      <c r="F23" s="361"/>
      <c r="G23" s="367"/>
      <c r="H23" s="361"/>
      <c r="I23" s="367"/>
    </row>
    <row r="24" spans="1:11" x14ac:dyDescent="0.2">
      <c r="A24" s="36" t="s">
        <v>408</v>
      </c>
      <c r="E24" s="367"/>
      <c r="F24" s="361"/>
      <c r="G24" s="370"/>
      <c r="H24" s="361"/>
      <c r="I24" s="367"/>
    </row>
    <row r="25" spans="1:11" x14ac:dyDescent="0.2">
      <c r="B25" s="352" t="s">
        <v>409</v>
      </c>
      <c r="E25" s="368"/>
      <c r="G25" s="367">
        <f>125717+25000</f>
        <v>150717</v>
      </c>
      <c r="I25" s="368"/>
    </row>
    <row r="26" spans="1:11" x14ac:dyDescent="0.2">
      <c r="B26" s="352" t="s">
        <v>410</v>
      </c>
      <c r="E26" s="368"/>
      <c r="F26" s="361"/>
      <c r="G26" s="367">
        <f>54643+25000</f>
        <v>79643</v>
      </c>
      <c r="H26" s="361"/>
      <c r="I26" s="368"/>
    </row>
    <row r="27" spans="1:11" x14ac:dyDescent="0.2">
      <c r="C27" s="352" t="s">
        <v>6</v>
      </c>
      <c r="E27" s="369">
        <f>248469-46111</f>
        <v>202358</v>
      </c>
      <c r="F27" s="361"/>
      <c r="G27" s="369">
        <f>SUM(G25:G26)</f>
        <v>230360</v>
      </c>
      <c r="H27" s="361"/>
      <c r="I27" s="369">
        <f>+G27-E27</f>
        <v>28002</v>
      </c>
    </row>
    <row r="28" spans="1:11" ht="12.75" customHeight="1" x14ac:dyDescent="0.2">
      <c r="E28" s="367"/>
      <c r="F28" s="361"/>
      <c r="G28" s="367"/>
      <c r="H28" s="361"/>
      <c r="I28" s="367"/>
    </row>
    <row r="29" spans="1:11" x14ac:dyDescent="0.2">
      <c r="A29" s="36" t="s">
        <v>411</v>
      </c>
      <c r="E29" s="367"/>
      <c r="F29" s="361"/>
      <c r="G29" s="367"/>
      <c r="H29" s="361"/>
      <c r="I29" s="367"/>
    </row>
    <row r="30" spans="1:11" ht="12.75" customHeight="1" x14ac:dyDescent="0.2">
      <c r="B30" s="1015" t="s">
        <v>412</v>
      </c>
      <c r="C30" s="1033"/>
      <c r="D30" s="1033"/>
      <c r="E30" s="368"/>
      <c r="F30" s="361"/>
      <c r="G30" s="367">
        <v>24928</v>
      </c>
      <c r="H30" s="361"/>
      <c r="I30" s="368"/>
    </row>
    <row r="31" spans="1:11" x14ac:dyDescent="0.2">
      <c r="B31" s="352" t="s">
        <v>413</v>
      </c>
      <c r="E31" s="368"/>
      <c r="F31" s="361"/>
      <c r="G31" s="367">
        <v>91850</v>
      </c>
      <c r="H31" s="361"/>
      <c r="I31" s="368"/>
    </row>
    <row r="32" spans="1:11" x14ac:dyDescent="0.2">
      <c r="B32" s="352" t="s">
        <v>414</v>
      </c>
      <c r="E32" s="371"/>
      <c r="F32" s="361"/>
      <c r="G32" s="372">
        <v>28744</v>
      </c>
      <c r="H32" s="361"/>
      <c r="I32" s="371"/>
    </row>
    <row r="33" spans="1:9" x14ac:dyDescent="0.2">
      <c r="C33" s="352" t="s">
        <v>6</v>
      </c>
      <c r="E33" s="365">
        <v>150642</v>
      </c>
      <c r="F33" s="361"/>
      <c r="G33" s="365">
        <f>SUM(G30:G32)</f>
        <v>145522</v>
      </c>
      <c r="H33" s="361"/>
      <c r="I33" s="365">
        <f>+G33-E33</f>
        <v>-5120</v>
      </c>
    </row>
    <row r="34" spans="1:9" ht="12.75" customHeight="1" x14ac:dyDescent="0.2">
      <c r="E34" s="367"/>
      <c r="F34" s="361"/>
      <c r="G34" s="367"/>
      <c r="H34" s="361"/>
      <c r="I34" s="367"/>
    </row>
    <row r="35" spans="1:9" x14ac:dyDescent="0.2">
      <c r="A35" s="36" t="s">
        <v>415</v>
      </c>
      <c r="E35" s="367"/>
      <c r="F35" s="361"/>
      <c r="G35" s="367"/>
      <c r="H35" s="361"/>
      <c r="I35" s="367"/>
    </row>
    <row r="36" spans="1:9" x14ac:dyDescent="0.2">
      <c r="B36" s="352" t="s">
        <v>416</v>
      </c>
      <c r="E36" s="368"/>
      <c r="F36" s="361"/>
      <c r="G36" s="367">
        <f>7738242-619059</f>
        <v>7119183</v>
      </c>
      <c r="H36" s="361"/>
      <c r="I36" s="368"/>
    </row>
    <row r="37" spans="1:9" x14ac:dyDescent="0.2">
      <c r="B37" s="352" t="s">
        <v>417</v>
      </c>
      <c r="E37" s="368"/>
      <c r="F37" s="361"/>
      <c r="G37" s="367">
        <v>5383804</v>
      </c>
      <c r="H37" s="361"/>
      <c r="I37" s="368"/>
    </row>
    <row r="38" spans="1:9" x14ac:dyDescent="0.2">
      <c r="B38" s="352" t="s">
        <v>418</v>
      </c>
      <c r="E38" s="368"/>
      <c r="G38" s="367">
        <v>48250</v>
      </c>
      <c r="I38" s="373"/>
    </row>
    <row r="39" spans="1:9" x14ac:dyDescent="0.2">
      <c r="B39" s="352" t="s">
        <v>419</v>
      </c>
      <c r="E39" s="368"/>
      <c r="F39" s="361"/>
      <c r="G39" s="367">
        <f>1448163-3380</f>
        <v>1444783</v>
      </c>
      <c r="H39" s="361"/>
      <c r="I39" s="368"/>
    </row>
    <row r="40" spans="1:9" x14ac:dyDescent="0.2">
      <c r="B40" s="352" t="s">
        <v>420</v>
      </c>
      <c r="E40" s="368"/>
      <c r="F40" s="361"/>
      <c r="G40" s="367">
        <v>1192</v>
      </c>
      <c r="H40" s="361"/>
      <c r="I40" s="368"/>
    </row>
    <row r="41" spans="1:9" x14ac:dyDescent="0.2">
      <c r="B41" s="352" t="s">
        <v>421</v>
      </c>
      <c r="E41" s="368"/>
      <c r="F41" s="361"/>
      <c r="G41" s="367">
        <v>36000</v>
      </c>
      <c r="H41" s="361"/>
      <c r="I41" s="368"/>
    </row>
    <row r="42" spans="1:9" x14ac:dyDescent="0.2">
      <c r="B42" s="352" t="s">
        <v>422</v>
      </c>
      <c r="E42" s="368"/>
      <c r="G42" s="365">
        <f>22150+2188</f>
        <v>24338</v>
      </c>
      <c r="I42" s="364"/>
    </row>
    <row r="43" spans="1:9" x14ac:dyDescent="0.2">
      <c r="C43" s="352" t="s">
        <v>6</v>
      </c>
      <c r="E43" s="369">
        <f>13941456+81250</f>
        <v>14022706</v>
      </c>
      <c r="F43" s="361"/>
      <c r="G43" s="365">
        <f>SUM(G36:G42)</f>
        <v>14057550</v>
      </c>
      <c r="H43" s="361"/>
      <c r="I43" s="365">
        <f>+G43-E43</f>
        <v>34844</v>
      </c>
    </row>
    <row r="44" spans="1:9" ht="12.75" customHeight="1" x14ac:dyDescent="0.2">
      <c r="C44" s="352"/>
      <c r="E44" s="374"/>
      <c r="F44" s="361"/>
      <c r="G44" s="374"/>
      <c r="H44" s="361"/>
      <c r="I44" s="374"/>
    </row>
    <row r="45" spans="1:9" x14ac:dyDescent="0.2">
      <c r="A45" s="36" t="s">
        <v>423</v>
      </c>
      <c r="E45" s="367"/>
      <c r="F45" s="361"/>
      <c r="G45" s="367"/>
      <c r="H45" s="361"/>
      <c r="I45" s="367"/>
    </row>
    <row r="46" spans="1:9" x14ac:dyDescent="0.2">
      <c r="B46" s="352" t="s">
        <v>424</v>
      </c>
      <c r="E46" s="368"/>
      <c r="F46" s="361"/>
      <c r="G46" s="367">
        <v>13948</v>
      </c>
      <c r="H46" s="361"/>
      <c r="I46" s="368"/>
    </row>
    <row r="47" spans="1:9" x14ac:dyDescent="0.2">
      <c r="B47" s="352" t="s">
        <v>425</v>
      </c>
      <c r="E47" s="368"/>
      <c r="G47" s="367">
        <v>12145</v>
      </c>
      <c r="I47" s="368"/>
    </row>
    <row r="48" spans="1:9" x14ac:dyDescent="0.2">
      <c r="B48" s="352" t="s">
        <v>426</v>
      </c>
      <c r="E48" s="368"/>
      <c r="F48" s="361"/>
      <c r="G48" s="374">
        <v>372845</v>
      </c>
      <c r="H48" s="361"/>
      <c r="I48" s="375"/>
    </row>
    <row r="49" spans="1:12" x14ac:dyDescent="0.2">
      <c r="B49" s="352" t="s">
        <v>427</v>
      </c>
      <c r="E49" s="368"/>
      <c r="F49" s="361"/>
      <c r="G49" s="365">
        <v>46111</v>
      </c>
      <c r="H49" s="361"/>
      <c r="I49" s="364"/>
    </row>
    <row r="50" spans="1:12" x14ac:dyDescent="0.2">
      <c r="A50" s="376" t="s">
        <v>428</v>
      </c>
      <c r="C50" s="352" t="s">
        <v>6</v>
      </c>
      <c r="E50" s="369">
        <f>354069+46111</f>
        <v>400180</v>
      </c>
      <c r="F50" s="361"/>
      <c r="G50" s="365">
        <f>SUM(G46:G49)</f>
        <v>445049</v>
      </c>
      <c r="H50" s="361"/>
      <c r="I50" s="365">
        <f>+G50-E50</f>
        <v>44869</v>
      </c>
    </row>
    <row r="52" spans="1:12" x14ac:dyDescent="0.2">
      <c r="I52" s="322" t="s">
        <v>277</v>
      </c>
    </row>
    <row r="53" spans="1:12" x14ac:dyDescent="0.2">
      <c r="A53" s="36" t="s">
        <v>429</v>
      </c>
      <c r="E53" s="367"/>
      <c r="F53" s="361"/>
      <c r="G53" s="367"/>
      <c r="H53" s="361"/>
      <c r="I53" s="367"/>
    </row>
    <row r="54" spans="1:12" x14ac:dyDescent="0.2">
      <c r="B54" s="352" t="s">
        <v>430</v>
      </c>
      <c r="E54" s="368"/>
      <c r="F54" s="361"/>
      <c r="G54" s="367">
        <f>773382+20605</f>
        <v>793987</v>
      </c>
      <c r="H54" s="361"/>
      <c r="I54" s="368"/>
    </row>
    <row r="55" spans="1:12" x14ac:dyDescent="0.2">
      <c r="B55" s="352" t="s">
        <v>431</v>
      </c>
      <c r="E55" s="368"/>
      <c r="F55" s="361"/>
      <c r="G55" s="367">
        <v>31650</v>
      </c>
      <c r="H55" s="361"/>
      <c r="I55" s="368"/>
    </row>
    <row r="56" spans="1:12" x14ac:dyDescent="0.2">
      <c r="B56" s="352" t="s">
        <v>432</v>
      </c>
      <c r="E56" s="368"/>
      <c r="F56" s="361"/>
      <c r="G56" s="367">
        <v>121986</v>
      </c>
      <c r="H56" s="361"/>
      <c r="I56" s="368"/>
    </row>
    <row r="57" spans="1:12" x14ac:dyDescent="0.2">
      <c r="B57" s="352" t="s">
        <v>433</v>
      </c>
      <c r="E57" s="368"/>
      <c r="F57" s="361"/>
      <c r="G57" s="367">
        <f>204991</f>
        <v>204991</v>
      </c>
      <c r="H57" s="361"/>
      <c r="I57" s="368"/>
    </row>
    <row r="58" spans="1:12" x14ac:dyDescent="0.2">
      <c r="B58" s="352" t="s">
        <v>434</v>
      </c>
      <c r="E58" s="368"/>
      <c r="F58" s="361"/>
      <c r="G58" s="365">
        <v>12812</v>
      </c>
      <c r="H58" s="361"/>
      <c r="I58" s="364"/>
    </row>
    <row r="59" spans="1:12" x14ac:dyDescent="0.2">
      <c r="C59" s="352" t="s">
        <v>6</v>
      </c>
      <c r="E59" s="369">
        <f>1038700+100000+4000</f>
        <v>1142700</v>
      </c>
      <c r="F59" s="361"/>
      <c r="G59" s="365">
        <f>SUM(G54:G58)</f>
        <v>1165426</v>
      </c>
      <c r="H59" s="361"/>
      <c r="I59" s="365">
        <f>+G59-E59</f>
        <v>22726</v>
      </c>
    </row>
    <row r="60" spans="1:12" x14ac:dyDescent="0.2">
      <c r="E60" s="367"/>
      <c r="F60" s="361"/>
      <c r="G60" s="367"/>
      <c r="H60" s="361"/>
      <c r="I60" s="322"/>
    </row>
    <row r="61" spans="1:12" x14ac:dyDescent="0.2">
      <c r="A61" s="36" t="s">
        <v>148</v>
      </c>
      <c r="E61" s="365">
        <f>1032500+401131+100000</f>
        <v>1533631</v>
      </c>
      <c r="F61" s="361"/>
      <c r="G61" s="365">
        <f>1511018+12147+38984</f>
        <v>1562149</v>
      </c>
      <c r="H61" s="361"/>
      <c r="I61" s="365">
        <f>+G61-E61</f>
        <v>28518</v>
      </c>
      <c r="K61" s="302"/>
      <c r="L61" s="302"/>
    </row>
    <row r="62" spans="1:12" x14ac:dyDescent="0.2">
      <c r="E62" s="367"/>
      <c r="F62" s="361"/>
      <c r="G62" s="367"/>
      <c r="H62" s="361"/>
      <c r="I62" s="367"/>
    </row>
    <row r="63" spans="1:12" x14ac:dyDescent="0.2">
      <c r="A63" s="36" t="s">
        <v>435</v>
      </c>
      <c r="E63" s="367"/>
      <c r="F63" s="361"/>
      <c r="G63" s="367"/>
      <c r="H63" s="361"/>
      <c r="I63" s="367"/>
    </row>
    <row r="64" spans="1:12" x14ac:dyDescent="0.2">
      <c r="B64" s="352" t="s">
        <v>436</v>
      </c>
      <c r="E64" s="368"/>
      <c r="F64" s="361"/>
      <c r="G64" s="367">
        <v>91000</v>
      </c>
      <c r="H64" s="361"/>
      <c r="I64" s="368"/>
    </row>
    <row r="65" spans="1:17" x14ac:dyDescent="0.2">
      <c r="B65" s="352" t="s">
        <v>437</v>
      </c>
      <c r="E65" s="368"/>
      <c r="G65" s="367">
        <v>4190</v>
      </c>
      <c r="I65" s="368"/>
    </row>
    <row r="66" spans="1:17" x14ac:dyDescent="0.2">
      <c r="B66" s="352" t="s">
        <v>438</v>
      </c>
      <c r="E66" s="371"/>
      <c r="F66" s="361"/>
      <c r="G66" s="365">
        <f>500000+21094+16257</f>
        <v>537351</v>
      </c>
      <c r="H66" s="361"/>
      <c r="I66" s="364"/>
      <c r="Q66" s="355"/>
    </row>
    <row r="67" spans="1:17" x14ac:dyDescent="0.2">
      <c r="C67" s="352" t="s">
        <v>6</v>
      </c>
      <c r="E67" s="365">
        <f>61703+500000+100000</f>
        <v>661703</v>
      </c>
      <c r="F67" s="361"/>
      <c r="G67" s="365">
        <f>SUM(G64:G66)</f>
        <v>632541</v>
      </c>
      <c r="H67" s="361"/>
      <c r="I67" s="365">
        <f>G67-E67</f>
        <v>-29162</v>
      </c>
    </row>
    <row r="68" spans="1:17" x14ac:dyDescent="0.2">
      <c r="D68" s="352" t="s">
        <v>150</v>
      </c>
      <c r="E68" s="365">
        <f>E67+E61+E59+E50+E43+E33+E27+E22+E15</f>
        <v>86358898</v>
      </c>
      <c r="F68" s="361"/>
      <c r="G68" s="365">
        <f>G67+G61+G59+G43+G50+G33+G27+G15+G22</f>
        <v>86221315</v>
      </c>
      <c r="H68" s="361"/>
      <c r="I68" s="365">
        <f>+G68-E68</f>
        <v>-137583</v>
      </c>
      <c r="J68" s="302">
        <f>I68-I67-I61-I59-I50-I43-I33-I27-I22-I15</f>
        <v>0</v>
      </c>
      <c r="K68" s="302"/>
      <c r="L68" s="302"/>
    </row>
    <row r="69" spans="1:17" x14ac:dyDescent="0.2">
      <c r="D69" s="352"/>
      <c r="E69" s="374"/>
      <c r="F69" s="361"/>
      <c r="G69" s="374"/>
      <c r="H69" s="361"/>
      <c r="I69" s="374"/>
    </row>
    <row r="70" spans="1:17" x14ac:dyDescent="0.2">
      <c r="E70" s="370"/>
      <c r="G70" s="370"/>
      <c r="I70" s="370"/>
    </row>
    <row r="71" spans="1:17" x14ac:dyDescent="0.2">
      <c r="C71" s="36" t="s">
        <v>439</v>
      </c>
      <c r="E71" s="370"/>
      <c r="G71" s="370"/>
      <c r="I71" s="370"/>
    </row>
    <row r="72" spans="1:17" x14ac:dyDescent="0.2">
      <c r="A72" s="36" t="s">
        <v>440</v>
      </c>
      <c r="E72" s="370"/>
      <c r="G72" s="370"/>
      <c r="I72" s="370"/>
    </row>
    <row r="73" spans="1:17" x14ac:dyDescent="0.2">
      <c r="B73" s="352" t="s">
        <v>441</v>
      </c>
      <c r="E73" s="370"/>
      <c r="G73" s="370"/>
      <c r="I73" s="370"/>
      <c r="L73" s="591"/>
      <c r="M73" s="302"/>
    </row>
    <row r="74" spans="1:17" x14ac:dyDescent="0.2">
      <c r="C74" s="352" t="s">
        <v>442</v>
      </c>
      <c r="E74" s="375"/>
      <c r="G74" s="367">
        <f>30473+3800+3200-3800+2456</f>
        <v>36129</v>
      </c>
      <c r="I74" s="375"/>
      <c r="L74" s="303"/>
    </row>
    <row r="75" spans="1:17" x14ac:dyDescent="0.2">
      <c r="C75" s="352" t="s">
        <v>443</v>
      </c>
      <c r="E75" s="375"/>
      <c r="G75" s="367">
        <v>41600</v>
      </c>
      <c r="I75" s="375"/>
    </row>
    <row r="76" spans="1:17" x14ac:dyDescent="0.2">
      <c r="C76" s="352" t="s">
        <v>444</v>
      </c>
      <c r="E76" s="375"/>
      <c r="G76" s="365">
        <v>62169</v>
      </c>
      <c r="I76" s="375"/>
    </row>
    <row r="77" spans="1:17" x14ac:dyDescent="0.2">
      <c r="D77" s="352" t="s">
        <v>6</v>
      </c>
      <c r="E77" s="375"/>
      <c r="G77" s="365">
        <f>SUM(G74:G76)</f>
        <v>139898</v>
      </c>
      <c r="I77" s="375"/>
    </row>
    <row r="78" spans="1:17" x14ac:dyDescent="0.2">
      <c r="E78" s="377"/>
      <c r="G78" s="367"/>
      <c r="I78" s="377"/>
    </row>
    <row r="79" spans="1:17" x14ac:dyDescent="0.2">
      <c r="B79" s="352" t="s">
        <v>445</v>
      </c>
      <c r="E79" s="377"/>
      <c r="G79" s="367"/>
      <c r="I79" s="377"/>
    </row>
    <row r="80" spans="1:17" x14ac:dyDescent="0.2">
      <c r="C80" s="352" t="s">
        <v>442</v>
      </c>
      <c r="E80" s="375"/>
      <c r="G80" s="367">
        <f>222146+16203</f>
        <v>238349</v>
      </c>
      <c r="I80" s="375"/>
      <c r="L80" s="303"/>
    </row>
    <row r="81" spans="2:12" x14ac:dyDescent="0.2">
      <c r="C81" s="352" t="s">
        <v>443</v>
      </c>
      <c r="E81" s="375"/>
      <c r="G81" s="365">
        <v>98711</v>
      </c>
      <c r="I81" s="375"/>
    </row>
    <row r="82" spans="2:12" x14ac:dyDescent="0.2">
      <c r="D82" s="352" t="s">
        <v>6</v>
      </c>
      <c r="E82" s="375"/>
      <c r="G82" s="365">
        <f>SUM(G80:G81)</f>
        <v>337060</v>
      </c>
      <c r="I82" s="375"/>
    </row>
    <row r="83" spans="2:12" x14ac:dyDescent="0.2">
      <c r="D83" s="352"/>
      <c r="E83" s="375"/>
      <c r="G83" s="374"/>
      <c r="I83" s="375"/>
    </row>
    <row r="84" spans="2:12" x14ac:dyDescent="0.2">
      <c r="B84" s="352" t="s">
        <v>446</v>
      </c>
      <c r="E84" s="377"/>
      <c r="G84" s="367"/>
      <c r="I84" s="377"/>
    </row>
    <row r="85" spans="2:12" x14ac:dyDescent="0.2">
      <c r="C85" s="352" t="s">
        <v>442</v>
      </c>
      <c r="E85" s="375"/>
      <c r="G85" s="367">
        <f>230126+16785</f>
        <v>246911</v>
      </c>
      <c r="I85" s="375"/>
      <c r="L85" s="303"/>
    </row>
    <row r="86" spans="2:12" x14ac:dyDescent="0.2">
      <c r="C86" s="352" t="s">
        <v>443</v>
      </c>
      <c r="E86" s="375"/>
      <c r="G86" s="367">
        <f>136974-17000</f>
        <v>119974</v>
      </c>
      <c r="I86" s="375"/>
    </row>
    <row r="87" spans="2:12" x14ac:dyDescent="0.2">
      <c r="C87" s="352" t="s">
        <v>156</v>
      </c>
      <c r="E87" s="375"/>
      <c r="G87" s="365">
        <v>17000</v>
      </c>
      <c r="I87" s="375"/>
    </row>
    <row r="88" spans="2:12" x14ac:dyDescent="0.2">
      <c r="D88" s="352" t="s">
        <v>6</v>
      </c>
      <c r="E88" s="375"/>
      <c r="G88" s="365">
        <f>SUM(G85:G87)</f>
        <v>383885</v>
      </c>
      <c r="I88" s="375"/>
    </row>
    <row r="89" spans="2:12" x14ac:dyDescent="0.2">
      <c r="E89" s="377"/>
      <c r="G89" s="367"/>
    </row>
    <row r="90" spans="2:12" x14ac:dyDescent="0.2">
      <c r="I90" s="322" t="s">
        <v>277</v>
      </c>
    </row>
    <row r="91" spans="2:12" x14ac:dyDescent="0.2">
      <c r="B91" s="352" t="s">
        <v>447</v>
      </c>
      <c r="E91" s="377"/>
      <c r="G91" s="367"/>
      <c r="I91" s="377"/>
    </row>
    <row r="92" spans="2:12" x14ac:dyDescent="0.2">
      <c r="C92" s="352" t="s">
        <v>442</v>
      </c>
      <c r="E92" s="375"/>
      <c r="G92" s="744">
        <f>421299+231250+0.95*(1221075)+132205-200000</f>
        <v>1744775.25</v>
      </c>
      <c r="I92" s="375"/>
      <c r="L92" s="303"/>
    </row>
    <row r="93" spans="2:12" x14ac:dyDescent="0.2">
      <c r="C93" s="352" t="s">
        <v>443</v>
      </c>
      <c r="E93" s="375"/>
      <c r="G93" s="744">
        <v>262522</v>
      </c>
      <c r="I93" s="375"/>
    </row>
    <row r="94" spans="2:12" x14ac:dyDescent="0.2">
      <c r="C94" s="352" t="s">
        <v>156</v>
      </c>
      <c r="E94" s="375"/>
      <c r="G94" s="743">
        <f>136515+48781</f>
        <v>185296</v>
      </c>
      <c r="I94" s="375"/>
    </row>
    <row r="95" spans="2:12" x14ac:dyDescent="0.2">
      <c r="D95" s="352" t="s">
        <v>6</v>
      </c>
      <c r="E95" s="375"/>
      <c r="G95" s="743">
        <f>SUM(G92:G94)</f>
        <v>2192593.25</v>
      </c>
      <c r="I95" s="375"/>
    </row>
    <row r="96" spans="2:12" x14ac:dyDescent="0.2">
      <c r="G96" s="745"/>
    </row>
    <row r="97" spans="2:12" x14ac:dyDescent="0.2">
      <c r="B97" s="352" t="s">
        <v>82</v>
      </c>
      <c r="E97" s="377"/>
      <c r="G97" s="744"/>
      <c r="I97" s="377"/>
    </row>
    <row r="98" spans="2:12" x14ac:dyDescent="0.2">
      <c r="C98" s="352" t="s">
        <v>442</v>
      </c>
      <c r="E98" s="375"/>
      <c r="G98" s="744">
        <f>1110727+910000*0.95-231750+0.95*1001000+0.95*(43000)-0.95*910000+0.05*(1221075)+140903-240000</f>
        <v>1832733.75</v>
      </c>
      <c r="I98" s="375"/>
      <c r="L98" s="303"/>
    </row>
    <row r="99" spans="2:12" x14ac:dyDescent="0.2">
      <c r="C99" s="352" t="s">
        <v>443</v>
      </c>
      <c r="E99" s="375"/>
      <c r="G99" s="367">
        <v>501796</v>
      </c>
      <c r="I99" s="375"/>
    </row>
    <row r="100" spans="2:12" x14ac:dyDescent="0.2">
      <c r="C100" s="352" t="s">
        <v>448</v>
      </c>
      <c r="E100" s="375"/>
      <c r="G100" s="367">
        <v>25609</v>
      </c>
      <c r="I100" s="375"/>
    </row>
    <row r="101" spans="2:12" x14ac:dyDescent="0.2">
      <c r="C101" s="352" t="s">
        <v>156</v>
      </c>
      <c r="E101" s="375"/>
      <c r="G101" s="365">
        <v>4869</v>
      </c>
      <c r="I101" s="375"/>
    </row>
    <row r="102" spans="2:12" x14ac:dyDescent="0.2">
      <c r="D102" s="352" t="s">
        <v>6</v>
      </c>
      <c r="E102" s="375"/>
      <c r="G102" s="365">
        <f>SUM(G98:G101)</f>
        <v>2365007.75</v>
      </c>
      <c r="I102" s="375"/>
    </row>
    <row r="103" spans="2:12" x14ac:dyDescent="0.2">
      <c r="E103" s="374"/>
      <c r="G103" s="367"/>
    </row>
    <row r="104" spans="2:12" x14ac:dyDescent="0.2">
      <c r="B104" s="352" t="s">
        <v>449</v>
      </c>
      <c r="E104" s="377"/>
      <c r="G104" s="367"/>
      <c r="I104" s="377"/>
    </row>
    <row r="105" spans="2:12" x14ac:dyDescent="0.2">
      <c r="C105" s="352" t="s">
        <v>450</v>
      </c>
      <c r="E105" s="375"/>
      <c r="G105" s="365">
        <v>49650</v>
      </c>
      <c r="I105" s="375"/>
    </row>
    <row r="106" spans="2:12" x14ac:dyDescent="0.2">
      <c r="E106" s="377"/>
      <c r="G106" s="367"/>
      <c r="I106" s="377"/>
    </row>
    <row r="107" spans="2:12" x14ac:dyDescent="0.2">
      <c r="B107" s="352" t="s">
        <v>451</v>
      </c>
      <c r="E107" s="377"/>
      <c r="G107" s="367"/>
      <c r="I107" s="377"/>
    </row>
    <row r="108" spans="2:12" x14ac:dyDescent="0.2">
      <c r="C108" s="352" t="s">
        <v>442</v>
      </c>
      <c r="E108" s="375"/>
      <c r="F108" s="361"/>
      <c r="G108" s="367">
        <f>230642+500+(4000)+17151</f>
        <v>252293</v>
      </c>
      <c r="H108" s="361"/>
      <c r="I108" s="375"/>
      <c r="L108" s="303"/>
    </row>
    <row r="109" spans="2:12" x14ac:dyDescent="0.2">
      <c r="C109" s="352" t="s">
        <v>443</v>
      </c>
      <c r="E109" s="375"/>
      <c r="F109" s="361"/>
      <c r="G109" s="367">
        <v>141294</v>
      </c>
      <c r="H109" s="361"/>
      <c r="I109" s="375"/>
    </row>
    <row r="110" spans="2:12" x14ac:dyDescent="0.2">
      <c r="C110" s="352" t="s">
        <v>156</v>
      </c>
      <c r="E110" s="375"/>
      <c r="G110" s="365">
        <v>20000</v>
      </c>
      <c r="I110" s="375"/>
    </row>
    <row r="111" spans="2:12" x14ac:dyDescent="0.2">
      <c r="D111" s="352" t="s">
        <v>6</v>
      </c>
      <c r="E111" s="375"/>
      <c r="G111" s="365">
        <f>SUM(G108:G110)</f>
        <v>413587</v>
      </c>
      <c r="I111" s="375"/>
    </row>
    <row r="112" spans="2:12" x14ac:dyDescent="0.2">
      <c r="E112" s="377"/>
      <c r="G112" s="367"/>
    </row>
    <row r="113" spans="2:15" x14ac:dyDescent="0.2">
      <c r="B113" s="352" t="s">
        <v>452</v>
      </c>
      <c r="E113" s="377"/>
      <c r="G113" s="367"/>
      <c r="I113" s="377"/>
    </row>
    <row r="114" spans="2:15" x14ac:dyDescent="0.2">
      <c r="C114" s="352" t="s">
        <v>442</v>
      </c>
      <c r="E114" s="375"/>
      <c r="F114" s="361"/>
      <c r="G114" s="367">
        <f>715131+52160</f>
        <v>767291</v>
      </c>
      <c r="I114" s="375"/>
      <c r="L114" s="303"/>
    </row>
    <row r="115" spans="2:15" x14ac:dyDescent="0.2">
      <c r="C115" s="352" t="s">
        <v>443</v>
      </c>
      <c r="E115" s="375"/>
      <c r="G115" s="365">
        <v>301266</v>
      </c>
      <c r="I115" s="375"/>
    </row>
    <row r="116" spans="2:15" x14ac:dyDescent="0.2">
      <c r="D116" s="352" t="s">
        <v>6</v>
      </c>
      <c r="E116" s="375"/>
      <c r="G116" s="365">
        <f>SUM(G114:G115)</f>
        <v>1068557</v>
      </c>
      <c r="I116" s="375"/>
    </row>
    <row r="117" spans="2:15" x14ac:dyDescent="0.2">
      <c r="E117" s="377"/>
      <c r="G117" s="367"/>
      <c r="I117" s="377"/>
    </row>
    <row r="118" spans="2:15" x14ac:dyDescent="0.2">
      <c r="B118" s="352" t="s">
        <v>453</v>
      </c>
      <c r="E118" s="377"/>
      <c r="G118" s="367"/>
      <c r="I118" s="377"/>
    </row>
    <row r="119" spans="2:15" x14ac:dyDescent="0.2">
      <c r="C119" s="352" t="s">
        <v>442</v>
      </c>
      <c r="E119" s="375"/>
      <c r="F119" s="361"/>
      <c r="G119" s="367">
        <f>819418+59766</f>
        <v>879184</v>
      </c>
      <c r="I119" s="375"/>
      <c r="L119" s="303"/>
    </row>
    <row r="120" spans="2:15" x14ac:dyDescent="0.2">
      <c r="C120" s="352" t="s">
        <v>443</v>
      </c>
      <c r="E120" s="375"/>
      <c r="G120" s="365">
        <v>544323</v>
      </c>
      <c r="I120" s="375"/>
    </row>
    <row r="121" spans="2:15" x14ac:dyDescent="0.2">
      <c r="D121" s="352" t="s">
        <v>6</v>
      </c>
      <c r="E121" s="375"/>
      <c r="G121" s="365">
        <f>SUM(G119:G120)</f>
        <v>1423507</v>
      </c>
      <c r="I121" s="375"/>
    </row>
    <row r="122" spans="2:15" x14ac:dyDescent="0.2">
      <c r="D122" s="352"/>
      <c r="E122" s="375"/>
      <c r="G122" s="374"/>
      <c r="I122" s="375"/>
    </row>
    <row r="123" spans="2:15" x14ac:dyDescent="0.2">
      <c r="B123" s="352" t="s">
        <v>454</v>
      </c>
      <c r="E123" s="377"/>
      <c r="G123" s="367"/>
      <c r="I123" s="377"/>
    </row>
    <row r="124" spans="2:15" x14ac:dyDescent="0.2">
      <c r="C124" s="352" t="s">
        <v>442</v>
      </c>
      <c r="E124" s="375"/>
      <c r="G124" s="367">
        <f>32510+2371</f>
        <v>34881</v>
      </c>
      <c r="I124" s="375"/>
      <c r="L124" s="303"/>
    </row>
    <row r="125" spans="2:15" x14ac:dyDescent="0.2">
      <c r="C125" s="352" t="s">
        <v>443</v>
      </c>
      <c r="E125" s="375"/>
      <c r="G125" s="365">
        <v>124252</v>
      </c>
      <c r="I125" s="375"/>
      <c r="O125" s="302"/>
    </row>
    <row r="126" spans="2:15" x14ac:dyDescent="0.2">
      <c r="D126" s="352" t="s">
        <v>6</v>
      </c>
      <c r="E126" s="364"/>
      <c r="G126" s="365">
        <f>SUM(G124:G125)</f>
        <v>159133</v>
      </c>
      <c r="I126" s="364"/>
    </row>
    <row r="127" spans="2:15" x14ac:dyDescent="0.2">
      <c r="D127" s="352" t="s">
        <v>455</v>
      </c>
      <c r="E127" s="743">
        <f>6378901+100000+4000+1281131+500000+(4000)+(1221075)-725075-631</f>
        <v>8763401</v>
      </c>
      <c r="G127" s="743">
        <f>+G77+G82+G88+G95+G102+G105+G111+G116+G121+G126</f>
        <v>8532878</v>
      </c>
      <c r="I127" s="365">
        <f>+E127-G127</f>
        <v>230523</v>
      </c>
      <c r="J127" s="302" t="e">
        <f>G127-#REF!</f>
        <v>#REF!</v>
      </c>
      <c r="M127" s="302"/>
    </row>
    <row r="128" spans="2:15" x14ac:dyDescent="0.2">
      <c r="E128" s="370"/>
      <c r="G128" s="370"/>
      <c r="I128" s="370"/>
      <c r="L128" s="302"/>
    </row>
    <row r="129" spans="1:9" x14ac:dyDescent="0.2">
      <c r="E129" s="370"/>
      <c r="G129" s="370"/>
      <c r="I129" s="322" t="s">
        <v>277</v>
      </c>
    </row>
    <row r="130" spans="1:9" x14ac:dyDescent="0.2">
      <c r="A130" s="36" t="s">
        <v>456</v>
      </c>
      <c r="E130" s="367"/>
      <c r="G130" s="367"/>
      <c r="I130" s="367"/>
    </row>
    <row r="131" spans="1:9" x14ac:dyDescent="0.2">
      <c r="B131" s="352" t="s">
        <v>457</v>
      </c>
      <c r="E131" s="367"/>
      <c r="G131" s="367"/>
      <c r="I131" s="367"/>
    </row>
    <row r="132" spans="1:9" x14ac:dyDescent="0.2">
      <c r="C132" s="352" t="s">
        <v>442</v>
      </c>
      <c r="E132" s="368"/>
      <c r="G132" s="367">
        <f>2862642-101424+16585+15300+200-15300-200+32902+17279</f>
        <v>2827984</v>
      </c>
      <c r="I132" s="368"/>
    </row>
    <row r="133" spans="1:9" x14ac:dyDescent="0.2">
      <c r="C133" s="352" t="s">
        <v>443</v>
      </c>
      <c r="E133" s="368"/>
      <c r="G133" s="367">
        <f>1039414+438+941</f>
        <v>1040793</v>
      </c>
      <c r="I133" s="368"/>
    </row>
    <row r="134" spans="1:9" x14ac:dyDescent="0.2">
      <c r="C134" s="352" t="s">
        <v>156</v>
      </c>
      <c r="E134" s="375"/>
      <c r="G134" s="365">
        <f>96524+179755</f>
        <v>276279</v>
      </c>
      <c r="I134" s="375"/>
    </row>
    <row r="135" spans="1:9" x14ac:dyDescent="0.2">
      <c r="D135" s="352" t="s">
        <v>6</v>
      </c>
      <c r="E135" s="375"/>
      <c r="G135" s="365">
        <f>SUM(G132:G134)</f>
        <v>4145056</v>
      </c>
      <c r="I135" s="375"/>
    </row>
    <row r="137" spans="1:9" x14ac:dyDescent="0.2">
      <c r="B137" s="352" t="s">
        <v>458</v>
      </c>
      <c r="E137" s="377"/>
      <c r="G137" s="370"/>
      <c r="I137" s="377"/>
    </row>
    <row r="138" spans="1:9" x14ac:dyDescent="0.2">
      <c r="C138" s="352" t="s">
        <v>442</v>
      </c>
      <c r="E138" s="375"/>
      <c r="G138" s="367">
        <f>826941</f>
        <v>826941</v>
      </c>
      <c r="I138" s="375"/>
    </row>
    <row r="139" spans="1:9" x14ac:dyDescent="0.2">
      <c r="C139" s="352" t="s">
        <v>443</v>
      </c>
      <c r="E139" s="375"/>
      <c r="G139" s="367">
        <v>475711</v>
      </c>
      <c r="I139" s="375"/>
    </row>
    <row r="140" spans="1:9" x14ac:dyDescent="0.2">
      <c r="C140" s="352" t="s">
        <v>156</v>
      </c>
      <c r="E140" s="375"/>
      <c r="G140" s="365">
        <v>16040</v>
      </c>
      <c r="I140" s="375"/>
    </row>
    <row r="141" spans="1:9" x14ac:dyDescent="0.2">
      <c r="D141" s="352" t="s">
        <v>6</v>
      </c>
      <c r="E141" s="375"/>
      <c r="G141" s="365">
        <f>SUM(G138:G140)</f>
        <v>1318692</v>
      </c>
      <c r="I141" s="375"/>
    </row>
    <row r="142" spans="1:9" x14ac:dyDescent="0.2">
      <c r="E142" s="377"/>
      <c r="G142" s="370"/>
      <c r="I142" s="377"/>
    </row>
    <row r="143" spans="1:9" x14ac:dyDescent="0.2">
      <c r="B143" s="352" t="s">
        <v>459</v>
      </c>
      <c r="C143" s="352"/>
      <c r="E143" s="375"/>
      <c r="G143" s="374"/>
      <c r="I143" s="375"/>
    </row>
    <row r="144" spans="1:9" x14ac:dyDescent="0.2">
      <c r="C144" s="352" t="s">
        <v>442</v>
      </c>
      <c r="D144" s="352"/>
      <c r="E144" s="375"/>
      <c r="G144" s="374">
        <v>33000</v>
      </c>
      <c r="I144" s="375"/>
    </row>
    <row r="145" spans="2:9" x14ac:dyDescent="0.2">
      <c r="C145" s="352" t="s">
        <v>443</v>
      </c>
      <c r="E145" s="375"/>
      <c r="G145" s="367">
        <v>33550</v>
      </c>
      <c r="I145" s="375"/>
    </row>
    <row r="146" spans="2:9" x14ac:dyDescent="0.2">
      <c r="C146" s="352" t="s">
        <v>156</v>
      </c>
      <c r="E146" s="375"/>
      <c r="G146" s="365">
        <v>27450</v>
      </c>
      <c r="I146" s="375"/>
    </row>
    <row r="147" spans="2:9" x14ac:dyDescent="0.2">
      <c r="D147" s="352" t="s">
        <v>6</v>
      </c>
      <c r="E147" s="375"/>
      <c r="G147" s="365">
        <f>SUM(G144:G146)</f>
        <v>94000</v>
      </c>
      <c r="I147" s="375"/>
    </row>
    <row r="148" spans="2:9" x14ac:dyDescent="0.2">
      <c r="E148" s="374"/>
      <c r="G148" s="367"/>
      <c r="I148" s="374"/>
    </row>
    <row r="149" spans="2:9" x14ac:dyDescent="0.2">
      <c r="B149" s="352" t="s">
        <v>460</v>
      </c>
      <c r="E149" s="374"/>
      <c r="G149" s="367"/>
      <c r="I149" s="374"/>
    </row>
    <row r="150" spans="2:9" x14ac:dyDescent="0.2">
      <c r="C150" s="352" t="s">
        <v>442</v>
      </c>
      <c r="E150" s="375"/>
      <c r="G150" s="367">
        <v>18000</v>
      </c>
      <c r="I150" s="375"/>
    </row>
    <row r="151" spans="2:9" x14ac:dyDescent="0.2">
      <c r="C151" s="352" t="s">
        <v>443</v>
      </c>
      <c r="E151" s="375"/>
      <c r="G151" s="365">
        <v>4100</v>
      </c>
      <c r="I151" s="375"/>
    </row>
    <row r="152" spans="2:9" x14ac:dyDescent="0.2">
      <c r="D152" s="352" t="s">
        <v>6</v>
      </c>
      <c r="E152" s="375"/>
      <c r="G152" s="365">
        <f>SUM(G150:G151)</f>
        <v>22100</v>
      </c>
      <c r="I152" s="375"/>
    </row>
    <row r="153" spans="2:9" x14ac:dyDescent="0.2">
      <c r="E153" s="374"/>
      <c r="G153" s="367"/>
    </row>
    <row r="154" spans="2:9" x14ac:dyDescent="0.2">
      <c r="B154" s="352" t="s">
        <v>461</v>
      </c>
      <c r="E154" s="374"/>
      <c r="G154" s="367"/>
      <c r="I154" s="374"/>
    </row>
    <row r="155" spans="2:9" x14ac:dyDescent="0.2">
      <c r="C155" s="352" t="s">
        <v>442</v>
      </c>
      <c r="E155" s="375"/>
      <c r="G155" s="367">
        <v>93811</v>
      </c>
      <c r="I155" s="375"/>
    </row>
    <row r="156" spans="2:9" x14ac:dyDescent="0.2">
      <c r="C156" s="352" t="s">
        <v>443</v>
      </c>
      <c r="E156" s="375"/>
      <c r="G156" s="367">
        <v>39113</v>
      </c>
      <c r="I156" s="375"/>
    </row>
    <row r="157" spans="2:9" x14ac:dyDescent="0.2">
      <c r="C157" s="352" t="s">
        <v>462</v>
      </c>
      <c r="E157" s="375"/>
      <c r="G157" s="367">
        <v>62250</v>
      </c>
      <c r="H157" s="361"/>
      <c r="I157" s="375"/>
    </row>
    <row r="158" spans="2:9" x14ac:dyDescent="0.2">
      <c r="C158" s="352" t="s">
        <v>156</v>
      </c>
      <c r="E158" s="375"/>
      <c r="G158" s="365">
        <v>10000</v>
      </c>
      <c r="H158" s="361"/>
      <c r="I158" s="375"/>
    </row>
    <row r="159" spans="2:9" x14ac:dyDescent="0.2">
      <c r="D159" s="352" t="s">
        <v>6</v>
      </c>
      <c r="E159" s="375"/>
      <c r="G159" s="365">
        <f>SUM(G155:G158)</f>
        <v>205174</v>
      </c>
      <c r="I159" s="375"/>
    </row>
    <row r="160" spans="2:9" x14ac:dyDescent="0.2">
      <c r="D160" s="352"/>
      <c r="E160" s="375"/>
      <c r="G160" s="374"/>
    </row>
    <row r="161" spans="2:13" x14ac:dyDescent="0.2">
      <c r="B161" s="352" t="s">
        <v>463</v>
      </c>
      <c r="E161" s="374"/>
      <c r="G161" s="367"/>
      <c r="I161" s="374"/>
    </row>
    <row r="162" spans="2:13" x14ac:dyDescent="0.2">
      <c r="C162" s="352" t="s">
        <v>442</v>
      </c>
      <c r="E162" s="375"/>
      <c r="G162" s="367">
        <f>744473</f>
        <v>744473</v>
      </c>
      <c r="I162" s="375"/>
    </row>
    <row r="163" spans="2:13" x14ac:dyDescent="0.2">
      <c r="C163" s="352" t="s">
        <v>443</v>
      </c>
      <c r="E163" s="375"/>
      <c r="G163" s="365">
        <v>300794</v>
      </c>
      <c r="I163" s="375"/>
    </row>
    <row r="164" spans="2:13" x14ac:dyDescent="0.2">
      <c r="D164" s="352" t="s">
        <v>6</v>
      </c>
      <c r="E164" s="375"/>
      <c r="G164" s="365">
        <f>SUM(G162:G163)</f>
        <v>1045267</v>
      </c>
    </row>
    <row r="165" spans="2:13" x14ac:dyDescent="0.2">
      <c r="E165" s="374"/>
      <c r="G165" s="367"/>
      <c r="M165" s="302"/>
    </row>
    <row r="166" spans="2:13" x14ac:dyDescent="0.2">
      <c r="E166" s="374"/>
      <c r="G166" s="367"/>
      <c r="I166" s="322" t="s">
        <v>277</v>
      </c>
      <c r="M166" s="302"/>
    </row>
    <row r="167" spans="2:13" x14ac:dyDescent="0.2">
      <c r="B167" s="352" t="s">
        <v>464</v>
      </c>
      <c r="E167" s="374"/>
      <c r="G167" s="367"/>
      <c r="I167" s="374"/>
    </row>
    <row r="168" spans="2:13" x14ac:dyDescent="0.2">
      <c r="C168" s="352" t="s">
        <v>442</v>
      </c>
      <c r="E168" s="375"/>
      <c r="G168" s="367">
        <v>43327</v>
      </c>
      <c r="I168" s="375"/>
    </row>
    <row r="169" spans="2:13" x14ac:dyDescent="0.2">
      <c r="C169" s="352" t="s">
        <v>443</v>
      </c>
      <c r="E169" s="375"/>
      <c r="G169" s="367">
        <v>11700</v>
      </c>
      <c r="I169" s="375"/>
    </row>
    <row r="170" spans="2:13" x14ac:dyDescent="0.2">
      <c r="C170" s="352" t="s">
        <v>465</v>
      </c>
      <c r="E170" s="375"/>
      <c r="G170" s="367">
        <v>50000</v>
      </c>
      <c r="I170" s="375"/>
    </row>
    <row r="171" spans="2:13" x14ac:dyDescent="0.2">
      <c r="C171" s="352" t="s">
        <v>156</v>
      </c>
      <c r="E171" s="375"/>
      <c r="G171" s="365">
        <v>31740</v>
      </c>
      <c r="I171" s="375"/>
    </row>
    <row r="172" spans="2:13" x14ac:dyDescent="0.2">
      <c r="D172" s="352" t="s">
        <v>6</v>
      </c>
      <c r="E172" s="375"/>
      <c r="G172" s="365">
        <f>SUM(G168:G171)</f>
        <v>136767</v>
      </c>
      <c r="I172" s="375"/>
    </row>
    <row r="173" spans="2:13" x14ac:dyDescent="0.2">
      <c r="E173" s="374"/>
      <c r="G173" s="367"/>
      <c r="I173" s="374"/>
    </row>
    <row r="174" spans="2:13" x14ac:dyDescent="0.2">
      <c r="B174" s="352" t="s">
        <v>466</v>
      </c>
      <c r="E174" s="374"/>
      <c r="G174" s="367"/>
      <c r="I174" s="374"/>
    </row>
    <row r="175" spans="2:13" x14ac:dyDescent="0.2">
      <c r="C175" s="352" t="s">
        <v>442</v>
      </c>
      <c r="E175" s="375"/>
      <c r="G175" s="367">
        <v>41626</v>
      </c>
      <c r="I175" s="375"/>
    </row>
    <row r="176" spans="2:13" x14ac:dyDescent="0.2">
      <c r="C176" s="352" t="s">
        <v>443</v>
      </c>
      <c r="E176" s="375"/>
      <c r="G176" s="367">
        <v>18210</v>
      </c>
      <c r="I176" s="375"/>
    </row>
    <row r="177" spans="1:10" x14ac:dyDescent="0.2">
      <c r="C177" s="352" t="s">
        <v>156</v>
      </c>
      <c r="E177" s="375"/>
      <c r="G177" s="365">
        <v>20000</v>
      </c>
      <c r="H177" s="361"/>
      <c r="I177" s="375"/>
    </row>
    <row r="178" spans="1:10" x14ac:dyDescent="0.2">
      <c r="D178" s="352" t="s">
        <v>6</v>
      </c>
      <c r="E178" s="375"/>
      <c r="G178" s="365">
        <f>SUM(G175:G177)</f>
        <v>79836</v>
      </c>
      <c r="I178" s="375"/>
    </row>
    <row r="180" spans="1:10" x14ac:dyDescent="0.2">
      <c r="B180" s="352" t="s">
        <v>467</v>
      </c>
      <c r="E180" s="374"/>
      <c r="G180" s="367"/>
      <c r="I180" s="374"/>
    </row>
    <row r="181" spans="1:10" x14ac:dyDescent="0.2">
      <c r="C181" s="352" t="s">
        <v>442</v>
      </c>
      <c r="E181" s="375"/>
      <c r="G181" s="367">
        <f>42045+645</f>
        <v>42690</v>
      </c>
      <c r="I181" s="375"/>
    </row>
    <row r="182" spans="1:10" x14ac:dyDescent="0.2">
      <c r="C182" s="352" t="s">
        <v>443</v>
      </c>
      <c r="E182" s="375"/>
      <c r="G182" s="367">
        <v>11390</v>
      </c>
      <c r="I182" s="375"/>
    </row>
    <row r="183" spans="1:10" x14ac:dyDescent="0.2">
      <c r="C183" s="352" t="s">
        <v>450</v>
      </c>
      <c r="E183" s="375"/>
      <c r="G183" s="365">
        <v>78748</v>
      </c>
      <c r="I183" s="375"/>
    </row>
    <row r="184" spans="1:10" x14ac:dyDescent="0.2">
      <c r="D184" s="352" t="s">
        <v>6</v>
      </c>
      <c r="E184" s="364"/>
      <c r="G184" s="365">
        <f>SUM(G181:G183)</f>
        <v>132828</v>
      </c>
      <c r="I184" s="364"/>
    </row>
    <row r="185" spans="1:10" x14ac:dyDescent="0.2">
      <c r="D185" s="352" t="s">
        <v>468</v>
      </c>
      <c r="E185" s="365">
        <f>7090414+500000+300000</f>
        <v>7890414</v>
      </c>
      <c r="G185" s="365">
        <f>+G135+G141+G147+G152+G159+G164+G172+G178+G184</f>
        <v>7179720</v>
      </c>
      <c r="I185" s="365">
        <f>E185-G185</f>
        <v>710694</v>
      </c>
      <c r="J185" s="302">
        <f>G185-'Rev, exp, chgs in fb Exh 4'!B25</f>
        <v>0</v>
      </c>
    </row>
    <row r="186" spans="1:10" x14ac:dyDescent="0.2">
      <c r="E186" s="370"/>
      <c r="G186" s="370"/>
      <c r="I186" s="370"/>
    </row>
    <row r="187" spans="1:10" x14ac:dyDescent="0.2">
      <c r="A187" s="36" t="s">
        <v>469</v>
      </c>
      <c r="E187" s="367"/>
      <c r="G187" s="367"/>
      <c r="I187" s="367"/>
    </row>
    <row r="188" spans="1:10" x14ac:dyDescent="0.2">
      <c r="B188" s="352" t="s">
        <v>470</v>
      </c>
      <c r="E188" s="367"/>
      <c r="G188" s="367"/>
      <c r="I188" s="367"/>
    </row>
    <row r="189" spans="1:10" x14ac:dyDescent="0.2">
      <c r="C189" s="352" t="s">
        <v>442</v>
      </c>
      <c r="E189" s="368"/>
      <c r="G189" s="367">
        <f>46989</f>
        <v>46989</v>
      </c>
      <c r="I189" s="368"/>
    </row>
    <row r="190" spans="1:10" x14ac:dyDescent="0.2">
      <c r="C190" s="352" t="s">
        <v>443</v>
      </c>
      <c r="E190" s="368"/>
      <c r="G190" s="367">
        <v>17313</v>
      </c>
      <c r="I190" s="368"/>
    </row>
    <row r="191" spans="1:10" x14ac:dyDescent="0.2">
      <c r="C191" s="352" t="s">
        <v>450</v>
      </c>
      <c r="E191" s="375"/>
      <c r="G191" s="365">
        <v>59354</v>
      </c>
      <c r="I191" s="375"/>
    </row>
    <row r="192" spans="1:10" x14ac:dyDescent="0.2">
      <c r="D192" s="352" t="s">
        <v>402</v>
      </c>
      <c r="E192" s="375"/>
      <c r="G192" s="365">
        <f>SUM(G189:G191)</f>
        <v>123656</v>
      </c>
      <c r="I192" s="375"/>
    </row>
    <row r="193" spans="1:10" x14ac:dyDescent="0.2">
      <c r="E193" s="367"/>
      <c r="G193" s="367"/>
      <c r="I193" s="367"/>
    </row>
    <row r="194" spans="1:10" x14ac:dyDescent="0.2">
      <c r="B194" s="352" t="s">
        <v>471</v>
      </c>
      <c r="E194" s="364"/>
      <c r="G194" s="365">
        <v>1014922</v>
      </c>
      <c r="H194" s="361"/>
      <c r="I194" s="364"/>
    </row>
    <row r="195" spans="1:10" x14ac:dyDescent="0.2">
      <c r="D195" s="352" t="s">
        <v>472</v>
      </c>
      <c r="E195" s="365">
        <f>1341516+300000</f>
        <v>1641516</v>
      </c>
      <c r="G195" s="365">
        <f>+G192+G194</f>
        <v>1138578</v>
      </c>
      <c r="H195" s="361"/>
      <c r="I195" s="365">
        <f>+E195-G195</f>
        <v>502938</v>
      </c>
      <c r="J195" s="302" t="e">
        <f>G195-#REF!</f>
        <v>#REF!</v>
      </c>
    </row>
    <row r="196" spans="1:10" x14ac:dyDescent="0.2">
      <c r="E196" s="370"/>
      <c r="G196" s="370"/>
    </row>
    <row r="197" spans="1:10" x14ac:dyDescent="0.2">
      <c r="A197" s="36" t="s">
        <v>473</v>
      </c>
      <c r="E197" s="367"/>
      <c r="G197" s="367"/>
      <c r="I197" s="367"/>
    </row>
    <row r="198" spans="1:10" x14ac:dyDescent="0.2">
      <c r="B198" s="352" t="s">
        <v>474</v>
      </c>
      <c r="E198" s="367"/>
      <c r="G198" s="367"/>
      <c r="I198" s="367"/>
    </row>
    <row r="199" spans="1:10" x14ac:dyDescent="0.2">
      <c r="C199" s="352" t="s">
        <v>442</v>
      </c>
      <c r="E199" s="368"/>
      <c r="G199" s="367">
        <v>112831</v>
      </c>
      <c r="I199" s="368"/>
    </row>
    <row r="200" spans="1:10" x14ac:dyDescent="0.2">
      <c r="C200" s="352" t="s">
        <v>443</v>
      </c>
      <c r="E200" s="368"/>
      <c r="G200" s="367">
        <v>15763</v>
      </c>
      <c r="I200" s="368"/>
    </row>
    <row r="201" spans="1:10" x14ac:dyDescent="0.2">
      <c r="C201" s="352" t="s">
        <v>450</v>
      </c>
      <c r="E201" s="375"/>
      <c r="G201" s="365">
        <v>127117</v>
      </c>
      <c r="I201" s="375"/>
    </row>
    <row r="202" spans="1:10" x14ac:dyDescent="0.2">
      <c r="D202" s="352" t="s">
        <v>6</v>
      </c>
      <c r="E202" s="375"/>
      <c r="G202" s="365">
        <f>SUM(G199:G201)</f>
        <v>255711</v>
      </c>
    </row>
    <row r="203" spans="1:10" x14ac:dyDescent="0.2">
      <c r="D203" s="352"/>
      <c r="E203" s="375"/>
      <c r="G203" s="374"/>
    </row>
    <row r="204" spans="1:10" x14ac:dyDescent="0.2">
      <c r="D204" s="352"/>
      <c r="E204" s="375"/>
      <c r="G204" s="374"/>
      <c r="I204" s="322" t="s">
        <v>277</v>
      </c>
    </row>
    <row r="205" spans="1:10" x14ac:dyDescent="0.2">
      <c r="B205" s="352" t="s">
        <v>475</v>
      </c>
      <c r="E205" s="374"/>
      <c r="G205" s="367"/>
      <c r="I205" s="374"/>
    </row>
    <row r="206" spans="1:10" x14ac:dyDescent="0.2">
      <c r="C206" s="352" t="s">
        <v>442</v>
      </c>
      <c r="E206" s="375"/>
      <c r="G206" s="367">
        <v>60960</v>
      </c>
      <c r="I206" s="375"/>
    </row>
    <row r="207" spans="1:10" x14ac:dyDescent="0.2">
      <c r="C207" s="352" t="s">
        <v>443</v>
      </c>
      <c r="E207" s="375"/>
      <c r="G207" s="367">
        <v>13994</v>
      </c>
      <c r="I207" s="375"/>
    </row>
    <row r="208" spans="1:10" x14ac:dyDescent="0.2">
      <c r="C208" s="352" t="s">
        <v>476</v>
      </c>
      <c r="E208" s="375"/>
      <c r="G208" s="367">
        <v>20000</v>
      </c>
      <c r="H208" s="361"/>
      <c r="I208" s="375"/>
    </row>
    <row r="209" spans="2:9" x14ac:dyDescent="0.2">
      <c r="C209" s="352" t="s">
        <v>156</v>
      </c>
      <c r="E209" s="375"/>
      <c r="G209" s="365">
        <v>170000</v>
      </c>
      <c r="I209" s="375"/>
    </row>
    <row r="210" spans="2:9" x14ac:dyDescent="0.2">
      <c r="D210" s="352" t="s">
        <v>6</v>
      </c>
      <c r="E210" s="375"/>
      <c r="G210" s="365">
        <f>SUM(G206:G209)</f>
        <v>264954</v>
      </c>
      <c r="I210" s="375"/>
    </row>
    <row r="211" spans="2:9" x14ac:dyDescent="0.2">
      <c r="E211" s="374"/>
      <c r="G211" s="367"/>
      <c r="I211" s="374"/>
    </row>
    <row r="212" spans="2:9" x14ac:dyDescent="0.2">
      <c r="B212" s="352" t="s">
        <v>477</v>
      </c>
      <c r="E212" s="374"/>
      <c r="G212" s="367"/>
      <c r="I212" s="374"/>
    </row>
    <row r="213" spans="2:9" x14ac:dyDescent="0.2">
      <c r="C213" s="352" t="s">
        <v>442</v>
      </c>
      <c r="E213" s="375"/>
      <c r="G213" s="367">
        <v>19053</v>
      </c>
      <c r="I213" s="375"/>
    </row>
    <row r="214" spans="2:9" x14ac:dyDescent="0.2">
      <c r="C214" s="352" t="s">
        <v>443</v>
      </c>
      <c r="E214" s="375"/>
      <c r="G214" s="367">
        <v>6245</v>
      </c>
      <c r="I214" s="375"/>
    </row>
    <row r="215" spans="2:9" x14ac:dyDescent="0.2">
      <c r="C215" s="352" t="s">
        <v>156</v>
      </c>
      <c r="E215" s="375"/>
      <c r="G215" s="365">
        <v>2000</v>
      </c>
      <c r="I215" s="375"/>
    </row>
    <row r="216" spans="2:9" x14ac:dyDescent="0.2">
      <c r="D216" s="352" t="s">
        <v>6</v>
      </c>
      <c r="E216" s="375"/>
      <c r="G216" s="365">
        <f>SUM(G213:G215)</f>
        <v>27298</v>
      </c>
      <c r="I216" s="375"/>
    </row>
    <row r="217" spans="2:9" x14ac:dyDescent="0.2">
      <c r="E217" s="374"/>
      <c r="G217" s="367"/>
    </row>
    <row r="218" spans="2:9" x14ac:dyDescent="0.2">
      <c r="B218" s="352" t="s">
        <v>478</v>
      </c>
      <c r="E218" s="374"/>
      <c r="G218" s="367"/>
      <c r="I218" s="374"/>
    </row>
    <row r="219" spans="2:9" x14ac:dyDescent="0.2">
      <c r="C219" s="352" t="s">
        <v>442</v>
      </c>
      <c r="E219" s="375"/>
      <c r="G219" s="367">
        <v>19556</v>
      </c>
      <c r="I219" s="375"/>
    </row>
    <row r="220" spans="2:9" x14ac:dyDescent="0.2">
      <c r="C220" s="352" t="s">
        <v>443</v>
      </c>
      <c r="E220" s="375"/>
      <c r="G220" s="367">
        <v>4315</v>
      </c>
      <c r="I220" s="375"/>
    </row>
    <row r="221" spans="2:9" x14ac:dyDescent="0.2">
      <c r="C221" s="352" t="s">
        <v>156</v>
      </c>
      <c r="E221" s="375"/>
      <c r="G221" s="365">
        <v>2366</v>
      </c>
      <c r="I221" s="375"/>
    </row>
    <row r="222" spans="2:9" x14ac:dyDescent="0.2">
      <c r="D222" s="352" t="s">
        <v>6</v>
      </c>
      <c r="E222" s="375"/>
      <c r="G222" s="378">
        <f>SUM(G219:G221)</f>
        <v>26237</v>
      </c>
    </row>
    <row r="223" spans="2:9" x14ac:dyDescent="0.2">
      <c r="E223" s="377"/>
      <c r="G223" s="370"/>
    </row>
    <row r="224" spans="2:9" x14ac:dyDescent="0.2">
      <c r="B224" s="352" t="s">
        <v>479</v>
      </c>
      <c r="E224" s="374"/>
      <c r="G224" s="367"/>
      <c r="I224" s="374"/>
    </row>
    <row r="225" spans="1:13" x14ac:dyDescent="0.2">
      <c r="C225" s="352" t="s">
        <v>442</v>
      </c>
      <c r="E225" s="375"/>
      <c r="G225" s="367">
        <f>97658</f>
        <v>97658</v>
      </c>
      <c r="I225" s="375"/>
    </row>
    <row r="226" spans="1:13" x14ac:dyDescent="0.2">
      <c r="C226" s="352" t="s">
        <v>480</v>
      </c>
      <c r="E226" s="375"/>
      <c r="G226" s="367">
        <v>485641</v>
      </c>
      <c r="I226" s="375"/>
    </row>
    <row r="227" spans="1:13" x14ac:dyDescent="0.2">
      <c r="C227" s="352" t="s">
        <v>481</v>
      </c>
      <c r="E227" s="375"/>
      <c r="G227" s="367">
        <v>101873</v>
      </c>
      <c r="H227" s="361"/>
      <c r="I227" s="375"/>
    </row>
    <row r="228" spans="1:13" x14ac:dyDescent="0.2">
      <c r="C228" s="352" t="s">
        <v>443</v>
      </c>
      <c r="E228" s="375"/>
      <c r="G228" s="365">
        <v>6217</v>
      </c>
      <c r="H228" s="361"/>
      <c r="I228" s="375"/>
    </row>
    <row r="229" spans="1:13" x14ac:dyDescent="0.2">
      <c r="D229" s="352" t="s">
        <v>6</v>
      </c>
      <c r="E229" s="375"/>
      <c r="G229" s="365">
        <f>SUM(G225:G228)</f>
        <v>691389</v>
      </c>
      <c r="H229" s="361"/>
      <c r="I229" s="375"/>
    </row>
    <row r="231" spans="1:13" x14ac:dyDescent="0.2">
      <c r="B231" s="352" t="s">
        <v>482</v>
      </c>
      <c r="E231" s="374"/>
      <c r="G231" s="367"/>
      <c r="I231" s="374"/>
    </row>
    <row r="232" spans="1:13" x14ac:dyDescent="0.2">
      <c r="C232" s="352" t="s">
        <v>442</v>
      </c>
      <c r="E232" s="375"/>
      <c r="G232" s="367">
        <v>50170</v>
      </c>
      <c r="I232" s="375"/>
    </row>
    <row r="233" spans="1:13" x14ac:dyDescent="0.2">
      <c r="C233" s="352" t="s">
        <v>443</v>
      </c>
      <c r="E233" s="375"/>
      <c r="G233" s="365">
        <v>1170</v>
      </c>
      <c r="I233" s="375"/>
    </row>
    <row r="234" spans="1:13" x14ac:dyDescent="0.2">
      <c r="D234" s="352" t="s">
        <v>6</v>
      </c>
      <c r="E234" s="364"/>
      <c r="G234" s="365">
        <f>SUM(G232:G233)</f>
        <v>51340</v>
      </c>
      <c r="I234" s="364"/>
    </row>
    <row r="235" spans="1:13" x14ac:dyDescent="0.2">
      <c r="D235" s="352" t="s">
        <v>483</v>
      </c>
      <c r="E235" s="370"/>
      <c r="G235" s="370"/>
      <c r="I235" s="370"/>
    </row>
    <row r="236" spans="1:13" x14ac:dyDescent="0.2">
      <c r="D236" s="352" t="s">
        <v>484</v>
      </c>
      <c r="E236" s="365">
        <f>1316992+31250+300000</f>
        <v>1648242</v>
      </c>
      <c r="G236" s="365">
        <f>+G202+G210+G216+G222+G229+G234</f>
        <v>1316929</v>
      </c>
      <c r="I236" s="365">
        <f>+E236-G236</f>
        <v>331313</v>
      </c>
      <c r="J236" s="302" t="e">
        <f>G236-#REF!</f>
        <v>#REF!</v>
      </c>
      <c r="M236" s="302"/>
    </row>
    <row r="237" spans="1:13" x14ac:dyDescent="0.2">
      <c r="D237" s="352"/>
      <c r="E237" s="374"/>
      <c r="G237" s="374"/>
      <c r="I237" s="322"/>
    </row>
    <row r="238" spans="1:13" x14ac:dyDescent="0.2">
      <c r="A238" s="32" t="s">
        <v>485</v>
      </c>
    </row>
    <row r="239" spans="1:13" x14ac:dyDescent="0.2">
      <c r="B239" s="352" t="s">
        <v>486</v>
      </c>
      <c r="E239" s="367"/>
      <c r="F239" s="361"/>
      <c r="G239" s="367"/>
      <c r="H239" s="361"/>
      <c r="I239" s="367"/>
    </row>
    <row r="240" spans="1:13" x14ac:dyDescent="0.2">
      <c r="B240" s="352" t="s">
        <v>487</v>
      </c>
      <c r="E240" s="370"/>
      <c r="G240" s="370"/>
      <c r="I240" s="370"/>
    </row>
    <row r="241" spans="2:9" x14ac:dyDescent="0.2">
      <c r="C241" s="352" t="s">
        <v>442</v>
      </c>
      <c r="E241" s="373"/>
      <c r="F241" s="361"/>
      <c r="G241" s="367">
        <v>351785</v>
      </c>
      <c r="H241" s="361"/>
      <c r="I241" s="373"/>
    </row>
    <row r="242" spans="2:9" x14ac:dyDescent="0.2">
      <c r="C242" s="352" t="s">
        <v>443</v>
      </c>
      <c r="E242" s="379"/>
      <c r="G242" s="365">
        <v>172218</v>
      </c>
      <c r="H242" s="361"/>
      <c r="I242" s="379"/>
    </row>
    <row r="243" spans="2:9" x14ac:dyDescent="0.2">
      <c r="D243" s="352" t="s">
        <v>6</v>
      </c>
      <c r="E243" s="379"/>
      <c r="G243" s="365">
        <f>SUM(G241:G242)</f>
        <v>524003</v>
      </c>
      <c r="H243" s="361"/>
      <c r="I243" s="379"/>
    </row>
    <row r="244" spans="2:9" x14ac:dyDescent="0.2">
      <c r="E244" s="377"/>
      <c r="G244" s="367"/>
      <c r="H244" s="361"/>
    </row>
    <row r="245" spans="2:9" x14ac:dyDescent="0.2">
      <c r="E245" s="377"/>
      <c r="G245" s="367"/>
      <c r="H245" s="361"/>
      <c r="I245" s="322" t="s">
        <v>277</v>
      </c>
    </row>
    <row r="246" spans="2:9" x14ac:dyDescent="0.2">
      <c r="B246" s="352" t="s">
        <v>488</v>
      </c>
      <c r="E246" s="377"/>
      <c r="G246" s="367"/>
      <c r="H246" s="361"/>
      <c r="I246" s="374"/>
    </row>
    <row r="247" spans="2:9" x14ac:dyDescent="0.2">
      <c r="C247" s="352" t="s">
        <v>442</v>
      </c>
      <c r="E247" s="379"/>
      <c r="F247" s="361"/>
      <c r="G247" s="367">
        <v>30922</v>
      </c>
      <c r="H247" s="361"/>
      <c r="I247" s="379"/>
    </row>
    <row r="248" spans="2:9" x14ac:dyDescent="0.2">
      <c r="C248" s="352" t="s">
        <v>443</v>
      </c>
      <c r="E248" s="379"/>
      <c r="G248" s="367">
        <v>8967</v>
      </c>
      <c r="H248" s="361"/>
      <c r="I248" s="379"/>
    </row>
    <row r="249" spans="2:9" x14ac:dyDescent="0.2">
      <c r="C249" s="352" t="s">
        <v>156</v>
      </c>
      <c r="E249" s="379"/>
      <c r="G249" s="365">
        <v>2896</v>
      </c>
      <c r="H249" s="361"/>
      <c r="I249" s="379"/>
    </row>
    <row r="250" spans="2:9" x14ac:dyDescent="0.2">
      <c r="D250" s="352" t="s">
        <v>6</v>
      </c>
      <c r="E250" s="379"/>
      <c r="G250" s="365">
        <f>SUM(G247:G249)</f>
        <v>42785</v>
      </c>
      <c r="H250" s="361"/>
      <c r="I250" s="379"/>
    </row>
    <row r="251" spans="2:9" x14ac:dyDescent="0.2">
      <c r="E251" s="377"/>
      <c r="G251" s="370"/>
      <c r="I251" s="377"/>
    </row>
    <row r="252" spans="2:9" x14ac:dyDescent="0.2">
      <c r="B252" s="352" t="s">
        <v>489</v>
      </c>
      <c r="E252" s="377"/>
      <c r="G252" s="367"/>
      <c r="H252" s="361"/>
      <c r="I252" s="374"/>
    </row>
    <row r="253" spans="2:9" x14ac:dyDescent="0.2">
      <c r="C253" s="352" t="s">
        <v>442</v>
      </c>
      <c r="E253" s="379"/>
      <c r="F253" s="361"/>
      <c r="G253" s="367">
        <v>38239</v>
      </c>
      <c r="H253" s="361"/>
      <c r="I253" s="379"/>
    </row>
    <row r="254" spans="2:9" x14ac:dyDescent="0.2">
      <c r="C254" s="352" t="s">
        <v>443</v>
      </c>
      <c r="E254" s="379"/>
      <c r="G254" s="365">
        <v>3528</v>
      </c>
      <c r="H254" s="361"/>
      <c r="I254" s="379"/>
    </row>
    <row r="255" spans="2:9" x14ac:dyDescent="0.2">
      <c r="D255" s="352" t="s">
        <v>6</v>
      </c>
      <c r="E255" s="379"/>
      <c r="G255" s="365">
        <f>SUM(G253:G254)</f>
        <v>41767</v>
      </c>
      <c r="H255" s="361"/>
      <c r="I255" s="379"/>
    </row>
    <row r="256" spans="2:9" x14ac:dyDescent="0.2">
      <c r="E256" s="377"/>
      <c r="G256" s="370"/>
    </row>
    <row r="257" spans="2:9" x14ac:dyDescent="0.2">
      <c r="B257" s="352" t="s">
        <v>490</v>
      </c>
      <c r="E257" s="377"/>
      <c r="G257" s="367"/>
      <c r="H257" s="361"/>
      <c r="I257" s="374"/>
    </row>
    <row r="258" spans="2:9" x14ac:dyDescent="0.2">
      <c r="C258" s="352" t="s">
        <v>442</v>
      </c>
      <c r="E258" s="379"/>
      <c r="F258" s="361"/>
      <c r="G258" s="367">
        <v>159523</v>
      </c>
      <c r="H258" s="361"/>
      <c r="I258" s="379"/>
    </row>
    <row r="259" spans="2:9" x14ac:dyDescent="0.2">
      <c r="C259" s="352" t="s">
        <v>443</v>
      </c>
      <c r="E259" s="379"/>
      <c r="G259" s="365">
        <v>43141</v>
      </c>
      <c r="H259" s="361"/>
      <c r="I259" s="379"/>
    </row>
    <row r="260" spans="2:9" x14ac:dyDescent="0.2">
      <c r="D260" s="352" t="s">
        <v>6</v>
      </c>
      <c r="E260" s="379"/>
      <c r="G260" s="365">
        <f>SUM(G258:G259)</f>
        <v>202664</v>
      </c>
      <c r="H260" s="361"/>
      <c r="I260" s="379"/>
    </row>
    <row r="262" spans="2:9" x14ac:dyDescent="0.2">
      <c r="B262" s="352" t="s">
        <v>491</v>
      </c>
      <c r="G262" s="361"/>
      <c r="H262" s="361"/>
    </row>
    <row r="263" spans="2:9" x14ac:dyDescent="0.2">
      <c r="C263" s="352" t="s">
        <v>442</v>
      </c>
      <c r="E263" s="361"/>
      <c r="F263" s="361"/>
      <c r="G263" s="367">
        <v>121201</v>
      </c>
      <c r="H263" s="361"/>
      <c r="I263" s="379"/>
    </row>
    <row r="264" spans="2:9" x14ac:dyDescent="0.2">
      <c r="C264" s="352" t="s">
        <v>443</v>
      </c>
      <c r="E264" s="379"/>
      <c r="G264" s="365">
        <v>34315</v>
      </c>
      <c r="H264" s="361"/>
      <c r="I264" s="379"/>
    </row>
    <row r="265" spans="2:9" x14ac:dyDescent="0.2">
      <c r="D265" s="352" t="s">
        <v>6</v>
      </c>
      <c r="E265" s="379"/>
      <c r="G265" s="365">
        <f>SUM(G263:G264)</f>
        <v>155516</v>
      </c>
      <c r="H265" s="361"/>
      <c r="I265" s="379"/>
    </row>
    <row r="266" spans="2:9" x14ac:dyDescent="0.2">
      <c r="E266" s="377"/>
      <c r="G266" s="370"/>
    </row>
    <row r="267" spans="2:9" x14ac:dyDescent="0.2">
      <c r="B267" s="352" t="s">
        <v>492</v>
      </c>
      <c r="E267" s="377"/>
      <c r="G267" s="367"/>
      <c r="H267" s="361"/>
      <c r="I267" s="374"/>
    </row>
    <row r="268" spans="2:9" x14ac:dyDescent="0.2">
      <c r="C268" s="352" t="s">
        <v>442</v>
      </c>
      <c r="E268" s="379"/>
      <c r="F268" s="361"/>
      <c r="G268" s="367">
        <v>65339</v>
      </c>
      <c r="H268" s="361"/>
      <c r="I268" s="379"/>
    </row>
    <row r="269" spans="2:9" x14ac:dyDescent="0.2">
      <c r="C269" s="352" t="s">
        <v>443</v>
      </c>
      <c r="E269" s="379"/>
      <c r="G269" s="365">
        <v>52893</v>
      </c>
      <c r="H269" s="361"/>
      <c r="I269" s="379"/>
    </row>
    <row r="270" spans="2:9" x14ac:dyDescent="0.2">
      <c r="D270" s="352" t="s">
        <v>6</v>
      </c>
      <c r="E270" s="379"/>
      <c r="G270" s="365">
        <f>SUM(G268:G269)</f>
        <v>118232</v>
      </c>
      <c r="H270" s="361"/>
      <c r="I270" s="379"/>
    </row>
    <row r="271" spans="2:9" x14ac:dyDescent="0.2">
      <c r="E271" s="377"/>
      <c r="G271" s="370"/>
      <c r="I271" s="377"/>
    </row>
    <row r="272" spans="2:9" x14ac:dyDescent="0.2">
      <c r="B272" s="352" t="s">
        <v>493</v>
      </c>
      <c r="E272" s="377"/>
      <c r="G272" s="367"/>
      <c r="H272" s="361"/>
      <c r="I272" s="374"/>
    </row>
    <row r="273" spans="2:9" x14ac:dyDescent="0.2">
      <c r="C273" s="352" t="s">
        <v>442</v>
      </c>
      <c r="E273" s="379"/>
      <c r="F273" s="361"/>
      <c r="G273" s="367">
        <f>66158+3546</f>
        <v>69704</v>
      </c>
      <c r="H273" s="361"/>
      <c r="I273" s="379"/>
    </row>
    <row r="274" spans="2:9" x14ac:dyDescent="0.2">
      <c r="C274" s="352" t="s">
        <v>443</v>
      </c>
      <c r="E274" s="379"/>
      <c r="G274" s="365">
        <v>18269</v>
      </c>
      <c r="H274" s="361"/>
      <c r="I274" s="379"/>
    </row>
    <row r="275" spans="2:9" x14ac:dyDescent="0.2">
      <c r="D275" s="352" t="s">
        <v>6</v>
      </c>
      <c r="E275" s="379"/>
      <c r="G275" s="365">
        <f>SUM(G273:G274)</f>
        <v>87973</v>
      </c>
      <c r="H275" s="361"/>
      <c r="I275" s="322"/>
    </row>
    <row r="276" spans="2:9" x14ac:dyDescent="0.2">
      <c r="I276" s="465"/>
    </row>
    <row r="277" spans="2:9" x14ac:dyDescent="0.2">
      <c r="B277" s="352" t="s">
        <v>494</v>
      </c>
      <c r="E277" s="377"/>
      <c r="G277" s="367"/>
      <c r="H277" s="361"/>
      <c r="I277" s="374"/>
    </row>
    <row r="278" spans="2:9" x14ac:dyDescent="0.2">
      <c r="C278" s="352" t="s">
        <v>442</v>
      </c>
      <c r="E278" s="379"/>
      <c r="F278" s="361"/>
      <c r="G278" s="367">
        <v>345896</v>
      </c>
      <c r="H278" s="361"/>
      <c r="I278" s="379"/>
    </row>
    <row r="279" spans="2:9" x14ac:dyDescent="0.2">
      <c r="C279" s="352" t="s">
        <v>443</v>
      </c>
      <c r="E279" s="379"/>
      <c r="G279" s="367">
        <v>83567</v>
      </c>
      <c r="H279" s="361"/>
      <c r="I279" s="379"/>
    </row>
    <row r="280" spans="2:9" x14ac:dyDescent="0.2">
      <c r="C280" s="352" t="s">
        <v>156</v>
      </c>
      <c r="E280" s="379"/>
      <c r="G280" s="365">
        <v>49418</v>
      </c>
      <c r="H280" s="361"/>
      <c r="I280" s="379"/>
    </row>
    <row r="281" spans="2:9" x14ac:dyDescent="0.2">
      <c r="D281" s="352" t="s">
        <v>6</v>
      </c>
      <c r="E281" s="379"/>
      <c r="G281" s="365">
        <f>SUM(G278:G280)</f>
        <v>478881</v>
      </c>
      <c r="H281" s="361"/>
      <c r="I281" s="379"/>
    </row>
    <row r="282" spans="2:9" x14ac:dyDescent="0.2">
      <c r="D282" s="352"/>
      <c r="E282" s="379"/>
      <c r="G282" s="374"/>
      <c r="H282" s="361"/>
      <c r="I282" s="322" t="s">
        <v>277</v>
      </c>
    </row>
    <row r="283" spans="2:9" x14ac:dyDescent="0.2">
      <c r="D283" s="352"/>
      <c r="E283" s="379"/>
      <c r="G283" s="374"/>
      <c r="H283" s="361"/>
    </row>
    <row r="284" spans="2:9" x14ac:dyDescent="0.2">
      <c r="B284" s="352" t="s">
        <v>495</v>
      </c>
      <c r="E284" s="377"/>
      <c r="G284" s="367"/>
      <c r="H284" s="361"/>
      <c r="I284" s="374"/>
    </row>
    <row r="285" spans="2:9" x14ac:dyDescent="0.2">
      <c r="C285" s="352" t="s">
        <v>442</v>
      </c>
      <c r="E285" s="379"/>
      <c r="F285" s="361"/>
      <c r="G285" s="367">
        <v>40063</v>
      </c>
      <c r="H285" s="361"/>
      <c r="I285" s="379"/>
    </row>
    <row r="286" spans="2:9" x14ac:dyDescent="0.2">
      <c r="C286" s="352" t="s">
        <v>443</v>
      </c>
      <c r="E286" s="379"/>
      <c r="G286" s="367">
        <v>11463</v>
      </c>
      <c r="H286" s="361"/>
      <c r="I286" s="379"/>
    </row>
    <row r="287" spans="2:9" x14ac:dyDescent="0.2">
      <c r="C287" s="352" t="s">
        <v>156</v>
      </c>
      <c r="E287" s="379"/>
      <c r="G287" s="365">
        <v>5689</v>
      </c>
      <c r="H287" s="361"/>
      <c r="I287" s="379"/>
    </row>
    <row r="288" spans="2:9" x14ac:dyDescent="0.2">
      <c r="D288" s="352" t="s">
        <v>6</v>
      </c>
      <c r="E288" s="379"/>
      <c r="G288" s="365">
        <f>SUM(G285:G287)</f>
        <v>57215</v>
      </c>
      <c r="H288" s="361"/>
      <c r="I288" s="379"/>
    </row>
    <row r="289" spans="2:9" x14ac:dyDescent="0.2">
      <c r="D289" s="352" t="s">
        <v>496</v>
      </c>
      <c r="E289" s="379"/>
      <c r="G289" s="365">
        <f>+G243+G250+G255+G260+G265+G270+G275+G281+G288</f>
        <v>1709036</v>
      </c>
      <c r="H289" s="361"/>
      <c r="I289" s="379"/>
    </row>
    <row r="290" spans="2:9" x14ac:dyDescent="0.2">
      <c r="E290" s="377"/>
      <c r="G290" s="370"/>
      <c r="I290" s="377"/>
    </row>
    <row r="291" spans="2:9" x14ac:dyDescent="0.2">
      <c r="B291" s="352" t="s">
        <v>497</v>
      </c>
      <c r="E291" s="377"/>
      <c r="G291" s="367"/>
      <c r="H291" s="361"/>
      <c r="I291" s="374"/>
    </row>
    <row r="292" spans="2:9" x14ac:dyDescent="0.2">
      <c r="B292" s="352"/>
      <c r="C292" s="310" t="s">
        <v>498</v>
      </c>
      <c r="E292" s="377"/>
      <c r="G292" s="369">
        <f>3515154</f>
        <v>3515154</v>
      </c>
      <c r="H292" s="361"/>
      <c r="I292" s="374"/>
    </row>
    <row r="293" spans="2:9" x14ac:dyDescent="0.2">
      <c r="D293" s="352"/>
      <c r="E293" s="379"/>
      <c r="G293" s="374"/>
      <c r="H293" s="361"/>
    </row>
    <row r="294" spans="2:9" x14ac:dyDescent="0.2">
      <c r="B294" s="352" t="s">
        <v>499</v>
      </c>
      <c r="E294" s="377"/>
      <c r="G294" s="367"/>
      <c r="H294" s="361"/>
      <c r="I294" s="374"/>
    </row>
    <row r="295" spans="2:9" x14ac:dyDescent="0.2">
      <c r="B295" s="352" t="s">
        <v>487</v>
      </c>
      <c r="E295" s="377"/>
      <c r="G295" s="367"/>
      <c r="H295" s="361"/>
      <c r="I295" s="374"/>
    </row>
    <row r="296" spans="2:9" x14ac:dyDescent="0.2">
      <c r="C296" s="352" t="s">
        <v>442</v>
      </c>
      <c r="E296" s="379"/>
      <c r="F296" s="361"/>
      <c r="G296" s="367">
        <v>469425</v>
      </c>
      <c r="H296" s="361"/>
      <c r="I296" s="379"/>
    </row>
    <row r="297" spans="2:9" x14ac:dyDescent="0.2">
      <c r="C297" s="352" t="s">
        <v>443</v>
      </c>
      <c r="E297" s="379"/>
      <c r="G297" s="367">
        <f>436964-250000</f>
        <v>186964</v>
      </c>
      <c r="H297" s="361"/>
      <c r="I297" s="379"/>
    </row>
    <row r="298" spans="2:9" x14ac:dyDescent="0.2">
      <c r="C298" s="352" t="s">
        <v>156</v>
      </c>
      <c r="E298" s="379"/>
      <c r="G298" s="365">
        <v>101194</v>
      </c>
      <c r="H298" s="361"/>
      <c r="I298" s="379"/>
    </row>
    <row r="299" spans="2:9" x14ac:dyDescent="0.2">
      <c r="D299" s="352" t="s">
        <v>6</v>
      </c>
      <c r="E299" s="379"/>
      <c r="G299" s="365">
        <f>SUM(G296:G298)</f>
        <v>757583</v>
      </c>
      <c r="H299" s="361"/>
      <c r="I299" s="379"/>
    </row>
    <row r="300" spans="2:9" x14ac:dyDescent="0.2">
      <c r="E300" s="377"/>
      <c r="G300" s="367"/>
      <c r="H300" s="361"/>
      <c r="I300" s="374"/>
    </row>
    <row r="301" spans="2:9" x14ac:dyDescent="0.2">
      <c r="B301" s="352" t="s">
        <v>500</v>
      </c>
      <c r="E301" s="377"/>
      <c r="G301" s="367"/>
      <c r="H301" s="361"/>
      <c r="I301" s="374"/>
    </row>
    <row r="302" spans="2:9" x14ac:dyDescent="0.2">
      <c r="C302" s="352" t="s">
        <v>501</v>
      </c>
      <c r="E302" s="379"/>
      <c r="G302" s="365">
        <f>6144921-750000</f>
        <v>5394921</v>
      </c>
      <c r="H302" s="361"/>
      <c r="I302" s="379"/>
    </row>
    <row r="303" spans="2:9" x14ac:dyDescent="0.2">
      <c r="E303" s="377"/>
      <c r="G303" s="367"/>
      <c r="H303" s="361"/>
      <c r="I303" s="374"/>
    </row>
    <row r="304" spans="2:9" x14ac:dyDescent="0.2">
      <c r="B304" s="352" t="s">
        <v>502</v>
      </c>
      <c r="E304" s="377"/>
      <c r="G304" s="367"/>
      <c r="H304" s="361"/>
      <c r="I304" s="374"/>
    </row>
    <row r="305" spans="2:9" x14ac:dyDescent="0.2">
      <c r="C305" s="352" t="s">
        <v>501</v>
      </c>
      <c r="E305" s="379"/>
      <c r="G305" s="365">
        <v>2412791</v>
      </c>
      <c r="H305" s="361"/>
      <c r="I305" s="379"/>
    </row>
    <row r="306" spans="2:9" x14ac:dyDescent="0.2">
      <c r="E306" s="377"/>
      <c r="G306" s="370"/>
      <c r="I306" s="322"/>
    </row>
    <row r="307" spans="2:9" x14ac:dyDescent="0.2">
      <c r="B307" s="352" t="s">
        <v>503</v>
      </c>
      <c r="E307" s="377"/>
      <c r="G307" s="367"/>
      <c r="H307" s="361"/>
      <c r="I307" s="374"/>
    </row>
    <row r="308" spans="2:9" x14ac:dyDescent="0.2">
      <c r="C308" s="352" t="s">
        <v>442</v>
      </c>
      <c r="E308" s="379"/>
      <c r="F308" s="361"/>
      <c r="G308" s="367">
        <v>304098</v>
      </c>
      <c r="H308" s="361"/>
      <c r="I308" s="379"/>
    </row>
    <row r="309" spans="2:9" x14ac:dyDescent="0.2">
      <c r="C309" s="352" t="s">
        <v>443</v>
      </c>
      <c r="E309" s="379"/>
      <c r="G309" s="367">
        <v>79289</v>
      </c>
      <c r="H309" s="361"/>
      <c r="I309" s="379"/>
    </row>
    <row r="310" spans="2:9" x14ac:dyDescent="0.2">
      <c r="C310" s="352" t="s">
        <v>156</v>
      </c>
      <c r="E310" s="379"/>
      <c r="G310" s="365">
        <v>67296</v>
      </c>
      <c r="H310" s="361"/>
      <c r="I310" s="379"/>
    </row>
    <row r="311" spans="2:9" x14ac:dyDescent="0.2">
      <c r="D311" s="352" t="s">
        <v>6</v>
      </c>
      <c r="E311" s="379"/>
      <c r="G311" s="365">
        <f>SUM(G308:G310)</f>
        <v>450683</v>
      </c>
      <c r="H311" s="361"/>
      <c r="I311" s="379"/>
    </row>
    <row r="312" spans="2:9" x14ac:dyDescent="0.2">
      <c r="D312" s="352"/>
      <c r="E312" s="379"/>
      <c r="G312" s="374"/>
      <c r="H312" s="361"/>
      <c r="I312" s="379"/>
    </row>
    <row r="313" spans="2:9" x14ac:dyDescent="0.2">
      <c r="B313" s="352" t="s">
        <v>504</v>
      </c>
      <c r="E313" s="377"/>
      <c r="G313" s="367"/>
      <c r="H313" s="361"/>
      <c r="I313" s="374"/>
    </row>
    <row r="314" spans="2:9" x14ac:dyDescent="0.2">
      <c r="C314" s="352" t="s">
        <v>442</v>
      </c>
      <c r="E314" s="379"/>
      <c r="F314" s="361"/>
      <c r="G314" s="367">
        <f>1029330+150000</f>
        <v>1179330</v>
      </c>
      <c r="H314" s="361"/>
      <c r="I314" s="379"/>
    </row>
    <row r="315" spans="2:9" x14ac:dyDescent="0.2">
      <c r="C315" s="352" t="s">
        <v>443</v>
      </c>
      <c r="E315" s="379"/>
      <c r="G315" s="365">
        <v>62538</v>
      </c>
      <c r="H315" s="361"/>
      <c r="I315" s="379"/>
    </row>
    <row r="316" spans="2:9" x14ac:dyDescent="0.2">
      <c r="D316" s="352" t="s">
        <v>6</v>
      </c>
      <c r="E316" s="379"/>
      <c r="G316" s="365">
        <f>SUM(G314:G315)</f>
        <v>1241868</v>
      </c>
      <c r="H316" s="361"/>
      <c r="I316" s="379"/>
    </row>
    <row r="317" spans="2:9" x14ac:dyDescent="0.2">
      <c r="E317" s="377"/>
      <c r="G317" s="367"/>
      <c r="H317" s="361"/>
      <c r="I317" s="322"/>
    </row>
    <row r="318" spans="2:9" x14ac:dyDescent="0.2">
      <c r="B318" s="352" t="s">
        <v>505</v>
      </c>
      <c r="E318" s="377"/>
      <c r="G318" s="367"/>
      <c r="H318" s="361"/>
      <c r="I318" s="374"/>
    </row>
    <row r="319" spans="2:9" x14ac:dyDescent="0.2">
      <c r="C319" s="352" t="s">
        <v>442</v>
      </c>
      <c r="E319" s="379"/>
      <c r="F319" s="361"/>
      <c r="G319" s="367">
        <v>501431</v>
      </c>
      <c r="H319" s="361"/>
      <c r="I319" s="379"/>
    </row>
    <row r="320" spans="2:9" x14ac:dyDescent="0.2">
      <c r="C320" s="352" t="s">
        <v>443</v>
      </c>
      <c r="E320" s="379"/>
      <c r="G320" s="365">
        <v>569003</v>
      </c>
      <c r="H320" s="361"/>
      <c r="I320" s="379"/>
    </row>
    <row r="321" spans="2:9" x14ac:dyDescent="0.2">
      <c r="D321" s="352" t="s">
        <v>6</v>
      </c>
      <c r="E321" s="379"/>
      <c r="G321" s="365">
        <f>SUM(G319:G320)</f>
        <v>1070434</v>
      </c>
      <c r="H321" s="361"/>
      <c r="I321" s="379"/>
    </row>
    <row r="322" spans="2:9" x14ac:dyDescent="0.2">
      <c r="D322" s="352"/>
      <c r="E322" s="379"/>
      <c r="G322" s="374"/>
      <c r="H322" s="361"/>
      <c r="I322" s="322" t="s">
        <v>277</v>
      </c>
    </row>
    <row r="323" spans="2:9" x14ac:dyDescent="0.2">
      <c r="E323" s="377"/>
      <c r="G323" s="370"/>
    </row>
    <row r="324" spans="2:9" x14ac:dyDescent="0.2">
      <c r="B324" s="352" t="s">
        <v>506</v>
      </c>
      <c r="E324" s="377"/>
      <c r="G324" s="367"/>
      <c r="H324" s="361"/>
      <c r="I324" s="374"/>
    </row>
    <row r="325" spans="2:9" x14ac:dyDescent="0.2">
      <c r="C325" s="352" t="s">
        <v>442</v>
      </c>
      <c r="E325" s="379"/>
      <c r="F325" s="361"/>
      <c r="G325" s="367">
        <f>922006</f>
        <v>922006</v>
      </c>
      <c r="H325" s="361"/>
      <c r="I325" s="379"/>
    </row>
    <row r="326" spans="2:9" x14ac:dyDescent="0.2">
      <c r="C326" s="352" t="s">
        <v>443</v>
      </c>
      <c r="E326" s="379"/>
      <c r="G326" s="367">
        <f>1242874-50000</f>
        <v>1192874</v>
      </c>
      <c r="H326" s="361"/>
      <c r="I326" s="379"/>
    </row>
    <row r="327" spans="2:9" x14ac:dyDescent="0.2">
      <c r="C327" s="352" t="s">
        <v>156</v>
      </c>
      <c r="E327" s="379"/>
      <c r="G327" s="365">
        <v>145680</v>
      </c>
      <c r="H327" s="361"/>
      <c r="I327" s="379"/>
    </row>
    <row r="328" spans="2:9" x14ac:dyDescent="0.2">
      <c r="D328" s="352" t="s">
        <v>6</v>
      </c>
      <c r="E328" s="379"/>
      <c r="G328" s="365">
        <f>SUM(G325:G327)</f>
        <v>2260560</v>
      </c>
      <c r="H328" s="361"/>
      <c r="I328" s="379"/>
    </row>
    <row r="329" spans="2:9" x14ac:dyDescent="0.2">
      <c r="E329" s="377"/>
      <c r="G329" s="370"/>
    </row>
    <row r="330" spans="2:9" x14ac:dyDescent="0.2">
      <c r="B330" s="352" t="s">
        <v>507</v>
      </c>
      <c r="E330" s="377"/>
      <c r="G330" s="367"/>
      <c r="H330" s="361"/>
      <c r="I330" s="374"/>
    </row>
    <row r="331" spans="2:9" x14ac:dyDescent="0.2">
      <c r="C331" s="352" t="s">
        <v>442</v>
      </c>
      <c r="E331" s="379"/>
      <c r="F331" s="361"/>
      <c r="G331" s="367">
        <v>776198</v>
      </c>
      <c r="H331" s="361"/>
      <c r="I331" s="379"/>
    </row>
    <row r="332" spans="2:9" x14ac:dyDescent="0.2">
      <c r="C332" s="352" t="s">
        <v>443</v>
      </c>
      <c r="E332" s="379"/>
      <c r="G332" s="367">
        <f>956329-100000</f>
        <v>856329</v>
      </c>
      <c r="H332" s="361"/>
      <c r="I332" s="379"/>
    </row>
    <row r="333" spans="2:9" x14ac:dyDescent="0.2">
      <c r="C333" s="352" t="s">
        <v>156</v>
      </c>
      <c r="E333" s="379"/>
      <c r="G333" s="365">
        <v>52894</v>
      </c>
      <c r="H333" s="361"/>
      <c r="I333" s="379"/>
    </row>
    <row r="334" spans="2:9" x14ac:dyDescent="0.2">
      <c r="D334" s="352" t="s">
        <v>6</v>
      </c>
      <c r="E334" s="379"/>
      <c r="G334" s="365">
        <f>SUM(G331:G333)</f>
        <v>1685421</v>
      </c>
      <c r="H334" s="361"/>
      <c r="I334" s="379"/>
    </row>
    <row r="335" spans="2:9" x14ac:dyDescent="0.2">
      <c r="D335" s="352"/>
      <c r="E335" s="379"/>
      <c r="G335" s="374"/>
      <c r="H335" s="361"/>
      <c r="I335" s="379"/>
    </row>
    <row r="336" spans="2:9" x14ac:dyDescent="0.2">
      <c r="B336" s="352" t="s">
        <v>508</v>
      </c>
      <c r="E336" s="377"/>
      <c r="G336" s="367"/>
      <c r="H336" s="361"/>
      <c r="I336" s="374"/>
    </row>
    <row r="337" spans="2:9" x14ac:dyDescent="0.2">
      <c r="C337" s="352" t="s">
        <v>501</v>
      </c>
      <c r="E337" s="379"/>
      <c r="G337" s="365">
        <v>502145</v>
      </c>
      <c r="H337" s="361"/>
      <c r="I337" s="379"/>
    </row>
    <row r="338" spans="2:9" x14ac:dyDescent="0.2">
      <c r="D338" s="352" t="s">
        <v>509</v>
      </c>
      <c r="E338" s="379"/>
      <c r="G338" s="365">
        <f>+G299+G302+G305+G311+G316+G321+G328+G334+G337</f>
        <v>15776406</v>
      </c>
      <c r="H338" s="361"/>
      <c r="I338" s="379"/>
    </row>
    <row r="339" spans="2:9" x14ac:dyDescent="0.2">
      <c r="E339" s="377"/>
      <c r="G339" s="367"/>
      <c r="H339" s="361"/>
      <c r="I339" s="374"/>
    </row>
    <row r="340" spans="2:9" x14ac:dyDescent="0.2">
      <c r="B340" s="352" t="s">
        <v>510</v>
      </c>
      <c r="E340" s="377"/>
      <c r="G340" s="367"/>
      <c r="H340" s="361"/>
      <c r="I340" s="374"/>
    </row>
    <row r="341" spans="2:9" x14ac:dyDescent="0.2">
      <c r="C341" s="352" t="s">
        <v>442</v>
      </c>
      <c r="E341" s="379"/>
      <c r="G341" s="367">
        <v>25599</v>
      </c>
      <c r="H341" s="361"/>
      <c r="I341" s="379"/>
    </row>
    <row r="342" spans="2:9" x14ac:dyDescent="0.2">
      <c r="C342" s="352" t="s">
        <v>443</v>
      </c>
      <c r="E342" s="379"/>
      <c r="G342" s="365">
        <v>2279</v>
      </c>
      <c r="H342" s="361"/>
      <c r="I342" s="379"/>
    </row>
    <row r="343" spans="2:9" x14ac:dyDescent="0.2">
      <c r="D343" s="352" t="s">
        <v>511</v>
      </c>
      <c r="E343" s="377"/>
      <c r="G343" s="370"/>
      <c r="I343" s="377"/>
    </row>
    <row r="344" spans="2:9" x14ac:dyDescent="0.2">
      <c r="D344" s="352" t="s">
        <v>512</v>
      </c>
      <c r="E344" s="379"/>
      <c r="G344" s="365">
        <f>SUM(G341:G343)</f>
        <v>27878</v>
      </c>
      <c r="H344" s="361"/>
      <c r="I344" s="379"/>
    </row>
    <row r="345" spans="2:9" x14ac:dyDescent="0.2">
      <c r="E345" s="377"/>
      <c r="G345" s="367"/>
      <c r="H345" s="361"/>
      <c r="I345" s="322"/>
    </row>
    <row r="346" spans="2:9" x14ac:dyDescent="0.2">
      <c r="B346" s="352" t="s">
        <v>513</v>
      </c>
      <c r="E346" s="377"/>
      <c r="G346" s="367"/>
      <c r="H346" s="361"/>
      <c r="I346" s="374"/>
    </row>
    <row r="347" spans="2:9" x14ac:dyDescent="0.2">
      <c r="C347" s="352" t="s">
        <v>442</v>
      </c>
      <c r="E347" s="379"/>
      <c r="G347" s="367">
        <f>131729-1773</f>
        <v>129956</v>
      </c>
      <c r="H347" s="361"/>
      <c r="I347" s="379"/>
    </row>
    <row r="348" spans="2:9" x14ac:dyDescent="0.2">
      <c r="C348" s="352" t="s">
        <v>443</v>
      </c>
      <c r="E348" s="379"/>
      <c r="G348" s="365">
        <v>26392</v>
      </c>
      <c r="H348" s="361"/>
      <c r="I348" s="379"/>
    </row>
    <row r="349" spans="2:9" x14ac:dyDescent="0.2">
      <c r="D349" s="352" t="s">
        <v>514</v>
      </c>
      <c r="E349" s="377"/>
      <c r="G349" s="370"/>
      <c r="I349" s="377"/>
    </row>
    <row r="350" spans="2:9" x14ac:dyDescent="0.2">
      <c r="D350" s="352" t="s">
        <v>515</v>
      </c>
      <c r="E350" s="379"/>
      <c r="G350" s="372">
        <f>SUM(G347:G348)</f>
        <v>156348</v>
      </c>
      <c r="H350" s="361"/>
      <c r="I350" s="379"/>
    </row>
    <row r="351" spans="2:9" x14ac:dyDescent="0.2">
      <c r="D351" s="352"/>
      <c r="E351" s="379"/>
      <c r="G351" s="374"/>
      <c r="H351" s="361"/>
    </row>
    <row r="352" spans="2:9" x14ac:dyDescent="0.2">
      <c r="B352" s="310" t="s">
        <v>516</v>
      </c>
      <c r="D352" s="352"/>
      <c r="E352" s="380"/>
      <c r="G352" s="372">
        <v>1235000</v>
      </c>
      <c r="H352" s="361"/>
      <c r="I352" s="380"/>
    </row>
    <row r="353" spans="1:14" x14ac:dyDescent="0.2">
      <c r="D353" s="352" t="s">
        <v>517</v>
      </c>
      <c r="E353" s="365">
        <f>22768758+300000</f>
        <v>23068758</v>
      </c>
      <c r="F353" s="361"/>
      <c r="G353" s="365">
        <f>+G289+G292+G338+G344+G350+G352</f>
        <v>22419822</v>
      </c>
      <c r="H353" s="361"/>
      <c r="I353" s="365">
        <f>+E353-G353</f>
        <v>648936</v>
      </c>
      <c r="J353" s="302" t="e">
        <f>G353-#REF!</f>
        <v>#REF!</v>
      </c>
      <c r="M353" s="302"/>
    </row>
    <row r="354" spans="1:14" x14ac:dyDescent="0.2">
      <c r="E354" s="370"/>
      <c r="G354" s="370"/>
      <c r="I354" s="370"/>
    </row>
    <row r="355" spans="1:14" x14ac:dyDescent="0.2">
      <c r="A355" s="36" t="s">
        <v>518</v>
      </c>
      <c r="E355" s="367"/>
      <c r="F355" s="361"/>
      <c r="G355" s="367"/>
      <c r="H355" s="361"/>
      <c r="I355" s="367"/>
    </row>
    <row r="356" spans="1:14" x14ac:dyDescent="0.2">
      <c r="B356" s="352" t="s">
        <v>519</v>
      </c>
      <c r="E356" s="367"/>
      <c r="F356" s="361"/>
      <c r="G356" s="370"/>
      <c r="I356" s="370"/>
    </row>
    <row r="357" spans="1:14" x14ac:dyDescent="0.2">
      <c r="C357" s="352" t="s">
        <v>442</v>
      </c>
      <c r="E357" s="373"/>
      <c r="F357" s="361"/>
      <c r="G357" s="367">
        <v>159537</v>
      </c>
      <c r="H357" s="361"/>
      <c r="I357" s="373"/>
      <c r="M357" s="302"/>
    </row>
    <row r="358" spans="1:14" x14ac:dyDescent="0.2">
      <c r="C358" s="352" t="s">
        <v>443</v>
      </c>
      <c r="E358" s="373"/>
      <c r="F358" s="361"/>
      <c r="G358" s="367">
        <v>103572</v>
      </c>
      <c r="H358" s="361"/>
      <c r="I358" s="373"/>
      <c r="N358" s="303"/>
    </row>
    <row r="359" spans="1:14" x14ac:dyDescent="0.2">
      <c r="C359" s="352" t="s">
        <v>156</v>
      </c>
      <c r="E359" s="379"/>
      <c r="F359" s="361"/>
      <c r="G359" s="365">
        <v>20325</v>
      </c>
      <c r="H359" s="361"/>
      <c r="I359" s="379"/>
      <c r="M359" s="302"/>
    </row>
    <row r="360" spans="1:14" x14ac:dyDescent="0.2">
      <c r="D360" s="352" t="s">
        <v>6</v>
      </c>
      <c r="E360" s="379"/>
      <c r="F360" s="361"/>
      <c r="G360" s="365">
        <f>SUM(G357:G359)</f>
        <v>283434</v>
      </c>
      <c r="H360" s="361"/>
      <c r="I360" s="379"/>
    </row>
    <row r="361" spans="1:14" x14ac:dyDescent="0.2">
      <c r="D361" s="352"/>
      <c r="E361" s="379"/>
      <c r="F361" s="361"/>
      <c r="G361" s="374"/>
      <c r="H361" s="361"/>
      <c r="I361" s="379"/>
    </row>
    <row r="362" spans="1:14" x14ac:dyDescent="0.2">
      <c r="E362" s="367"/>
      <c r="F362" s="361"/>
      <c r="G362" s="367"/>
      <c r="H362" s="361"/>
      <c r="I362" s="322" t="s">
        <v>277</v>
      </c>
    </row>
    <row r="363" spans="1:14" x14ac:dyDescent="0.2">
      <c r="B363" s="352" t="s">
        <v>520</v>
      </c>
      <c r="E363" s="367"/>
      <c r="F363" s="361"/>
      <c r="G363" s="367"/>
      <c r="H363" s="361"/>
      <c r="I363" s="367"/>
    </row>
    <row r="364" spans="1:14" x14ac:dyDescent="0.2">
      <c r="C364" s="352" t="s">
        <v>521</v>
      </c>
      <c r="E364" s="381"/>
      <c r="F364" s="361"/>
      <c r="G364" s="365">
        <v>2024806</v>
      </c>
      <c r="H364" s="361"/>
      <c r="I364" s="381"/>
    </row>
    <row r="365" spans="1:14" x14ac:dyDescent="0.2">
      <c r="D365" s="352" t="s">
        <v>522</v>
      </c>
      <c r="E365" s="365">
        <f>2312261+300000</f>
        <v>2612261</v>
      </c>
      <c r="F365" s="361"/>
      <c r="G365" s="365">
        <f>+G360+G364</f>
        <v>2308240</v>
      </c>
      <c r="H365" s="361"/>
      <c r="I365" s="365">
        <f>+E365-G365</f>
        <v>304021</v>
      </c>
      <c r="J365" s="302" t="e">
        <f>G365-#REF!</f>
        <v>#REF!</v>
      </c>
    </row>
    <row r="366" spans="1:14" x14ac:dyDescent="0.2">
      <c r="D366" s="352"/>
      <c r="E366" s="374"/>
      <c r="F366" s="361"/>
      <c r="G366" s="374"/>
      <c r="H366" s="361"/>
      <c r="I366" s="374"/>
    </row>
    <row r="367" spans="1:14" x14ac:dyDescent="0.2">
      <c r="A367" s="36" t="s">
        <v>523</v>
      </c>
      <c r="E367" s="367"/>
      <c r="F367" s="361"/>
      <c r="G367" s="367"/>
      <c r="H367" s="361"/>
      <c r="I367" s="367"/>
    </row>
    <row r="368" spans="1:14" x14ac:dyDescent="0.2">
      <c r="B368" s="352" t="s">
        <v>524</v>
      </c>
      <c r="E368" s="373"/>
      <c r="F368" s="361"/>
      <c r="G368" s="367">
        <f>31500000+619059</f>
        <v>32119059</v>
      </c>
      <c r="H368" s="361"/>
      <c r="I368" s="373"/>
    </row>
    <row r="369" spans="1:13" x14ac:dyDescent="0.2">
      <c r="B369" s="352" t="s">
        <v>525</v>
      </c>
      <c r="E369" s="373"/>
      <c r="F369" s="361"/>
      <c r="G369" s="367">
        <f>7418016-619059</f>
        <v>6798957</v>
      </c>
      <c r="H369" s="361"/>
      <c r="I369" s="373"/>
    </row>
    <row r="370" spans="1:13" x14ac:dyDescent="0.2">
      <c r="B370" s="352" t="s">
        <v>526</v>
      </c>
      <c r="E370" s="373"/>
      <c r="F370" s="361"/>
      <c r="G370" s="367">
        <v>2000000</v>
      </c>
      <c r="H370" s="361"/>
      <c r="I370" s="373"/>
    </row>
    <row r="371" spans="1:13" x14ac:dyDescent="0.2">
      <c r="B371" s="352" t="s">
        <v>527</v>
      </c>
      <c r="E371" s="381"/>
      <c r="F371" s="361"/>
      <c r="G371" s="365">
        <v>500000</v>
      </c>
      <c r="H371" s="361"/>
      <c r="I371" s="381"/>
    </row>
    <row r="372" spans="1:13" x14ac:dyDescent="0.2">
      <c r="D372" s="352" t="s">
        <v>528</v>
      </c>
      <c r="E372" s="365">
        <v>41418016</v>
      </c>
      <c r="F372" s="361"/>
      <c r="G372" s="365">
        <f>SUM(G368:G371)</f>
        <v>41418016</v>
      </c>
      <c r="H372" s="361"/>
      <c r="I372" s="381">
        <f>+E372-G372</f>
        <v>0</v>
      </c>
      <c r="J372" s="302" t="e">
        <f>G372-#REF!</f>
        <v>#REF!</v>
      </c>
    </row>
    <row r="373" spans="1:13" x14ac:dyDescent="0.2">
      <c r="E373" s="370"/>
      <c r="G373" s="370"/>
      <c r="I373" s="370"/>
    </row>
    <row r="374" spans="1:13" x14ac:dyDescent="0.2">
      <c r="A374" s="36" t="s">
        <v>157</v>
      </c>
      <c r="B374" s="32"/>
      <c r="E374" s="367"/>
      <c r="F374" s="361"/>
      <c r="G374" s="367"/>
      <c r="H374" s="361"/>
      <c r="I374" s="367"/>
    </row>
    <row r="375" spans="1:13" x14ac:dyDescent="0.2">
      <c r="B375" s="352" t="s">
        <v>194</v>
      </c>
      <c r="E375" s="744">
        <f>618166-7166+18219+21705</f>
        <v>650924</v>
      </c>
      <c r="F375" s="747"/>
      <c r="G375" s="744">
        <f>629219+21705</f>
        <v>650924</v>
      </c>
      <c r="H375" s="361"/>
      <c r="I375" s="373">
        <v>0</v>
      </c>
    </row>
    <row r="376" spans="1:13" x14ac:dyDescent="0.2">
      <c r="B376" s="352" t="s">
        <v>195</v>
      </c>
      <c r="E376" s="746">
        <f>692904+16360+294</f>
        <v>709558</v>
      </c>
      <c r="F376" s="747"/>
      <c r="G376" s="746">
        <f>709264+294</f>
        <v>709558</v>
      </c>
      <c r="H376" s="361"/>
      <c r="I376" s="379">
        <v>0</v>
      </c>
    </row>
    <row r="377" spans="1:13" x14ac:dyDescent="0.2">
      <c r="B377" s="352" t="s">
        <v>160</v>
      </c>
      <c r="E377" s="746">
        <v>65000</v>
      </c>
      <c r="F377" s="747"/>
      <c r="G377" s="746">
        <v>65000</v>
      </c>
      <c r="H377" s="361"/>
      <c r="I377" s="379">
        <v>0</v>
      </c>
    </row>
    <row r="378" spans="1:13" x14ac:dyDescent="0.2">
      <c r="B378" s="352" t="s">
        <v>161</v>
      </c>
      <c r="E378" s="743">
        <v>15000</v>
      </c>
      <c r="F378" s="747"/>
      <c r="G378" s="743">
        <v>15000</v>
      </c>
      <c r="H378" s="361"/>
      <c r="I378" s="380">
        <v>0</v>
      </c>
    </row>
    <row r="379" spans="1:13" x14ac:dyDescent="0.2">
      <c r="D379" s="352" t="s">
        <v>529</v>
      </c>
      <c r="E379" s="743">
        <f>SUM(E375:E378)</f>
        <v>1440482</v>
      </c>
      <c r="F379" s="747"/>
      <c r="G379" s="743">
        <f>SUM(G375:G378)</f>
        <v>1440482</v>
      </c>
      <c r="H379" s="361"/>
      <c r="I379" s="365">
        <v>0</v>
      </c>
    </row>
    <row r="380" spans="1:13" x14ac:dyDescent="0.2">
      <c r="D380" s="352" t="s">
        <v>530</v>
      </c>
      <c r="E380" s="743">
        <f>+E127+E185+E195+E236+E353+E365+E372+E379</f>
        <v>88483090</v>
      </c>
      <c r="F380" s="747"/>
      <c r="G380" s="743">
        <f>G379+G372+G365+G353+G236+G195+G185+G127</f>
        <v>85754665</v>
      </c>
      <c r="H380" s="361"/>
      <c r="I380" s="365">
        <f>+E380-G380</f>
        <v>2728425</v>
      </c>
      <c r="J380" s="302">
        <f>E380-G380-I380</f>
        <v>0</v>
      </c>
      <c r="M380" s="302"/>
    </row>
    <row r="381" spans="1:13" x14ac:dyDescent="0.2">
      <c r="E381" s="744"/>
      <c r="F381" s="747"/>
      <c r="G381" s="744"/>
      <c r="H381" s="361"/>
      <c r="I381" s="367"/>
      <c r="L381" s="302"/>
    </row>
    <row r="382" spans="1:13" x14ac:dyDescent="0.2">
      <c r="A382" s="36" t="s">
        <v>531</v>
      </c>
      <c r="E382" s="743">
        <f>+E68-E380</f>
        <v>-2124192</v>
      </c>
      <c r="F382" s="747"/>
      <c r="G382" s="743">
        <f>-G380+G68</f>
        <v>466650</v>
      </c>
      <c r="H382" s="361"/>
      <c r="I382" s="365">
        <f>I380+I68</f>
        <v>2590842</v>
      </c>
      <c r="J382" s="302">
        <f>G382-E382-I382</f>
        <v>0</v>
      </c>
    </row>
    <row r="383" spans="1:13" x14ac:dyDescent="0.2">
      <c r="A383" s="36"/>
      <c r="E383" s="746"/>
      <c r="F383" s="747"/>
      <c r="G383" s="746"/>
      <c r="H383" s="361"/>
      <c r="I383" s="322"/>
      <c r="J383" s="302"/>
    </row>
    <row r="384" spans="1:13" x14ac:dyDescent="0.2">
      <c r="A384" s="36" t="s">
        <v>197</v>
      </c>
      <c r="E384" s="744"/>
      <c r="F384" s="747"/>
      <c r="G384" s="744"/>
      <c r="H384" s="361"/>
      <c r="I384" s="322"/>
    </row>
    <row r="385" spans="1:10" x14ac:dyDescent="0.2">
      <c r="B385" s="352" t="s">
        <v>532</v>
      </c>
      <c r="E385" s="744"/>
      <c r="F385" s="747"/>
      <c r="G385" s="744"/>
      <c r="H385" s="361"/>
      <c r="I385" s="367"/>
    </row>
    <row r="386" spans="1:10" x14ac:dyDescent="0.2">
      <c r="A386" s="745"/>
      <c r="B386" s="751"/>
      <c r="C386" s="745" t="s">
        <v>960</v>
      </c>
      <c r="D386" s="745"/>
      <c r="E386" s="744">
        <v>1500000</v>
      </c>
      <c r="F386" s="747"/>
      <c r="G386" s="744">
        <v>1500000</v>
      </c>
      <c r="H386" s="747"/>
      <c r="I386" s="744">
        <f>-E386+G386</f>
        <v>0</v>
      </c>
    </row>
    <row r="387" spans="1:10" x14ac:dyDescent="0.2">
      <c r="C387" s="352" t="s">
        <v>533</v>
      </c>
      <c r="E387" s="367">
        <v>620227</v>
      </c>
      <c r="F387" s="361"/>
      <c r="G387" s="367">
        <v>619059</v>
      </c>
      <c r="H387" s="361"/>
      <c r="I387" s="367">
        <f>-E387+G387</f>
        <v>-1168</v>
      </c>
      <c r="J387" s="302"/>
    </row>
    <row r="388" spans="1:10" x14ac:dyDescent="0.2">
      <c r="B388" s="352" t="s">
        <v>534</v>
      </c>
      <c r="C388" s="352"/>
      <c r="E388" s="367"/>
      <c r="F388" s="361"/>
      <c r="G388" s="367"/>
      <c r="H388" s="361"/>
      <c r="I388" s="367"/>
    </row>
    <row r="389" spans="1:10" x14ac:dyDescent="0.2">
      <c r="C389" s="352" t="s">
        <v>535</v>
      </c>
      <c r="E389" s="367">
        <v>-68816</v>
      </c>
      <c r="F389" s="361"/>
      <c r="G389" s="367">
        <v>-250616</v>
      </c>
      <c r="H389" s="361"/>
      <c r="I389" s="367">
        <f>-E389+G389</f>
        <v>-181800</v>
      </c>
    </row>
    <row r="390" spans="1:10" x14ac:dyDescent="0.2">
      <c r="C390" s="352" t="s">
        <v>533</v>
      </c>
      <c r="E390" s="374">
        <v>-70000</v>
      </c>
      <c r="F390" s="361"/>
      <c r="G390" s="374">
        <v>-70000</v>
      </c>
      <c r="H390" s="361"/>
      <c r="I390" s="367">
        <f>-E390+G390</f>
        <v>0</v>
      </c>
    </row>
    <row r="391" spans="1:10" x14ac:dyDescent="0.2">
      <c r="C391" s="352" t="s">
        <v>536</v>
      </c>
      <c r="E391" s="374">
        <v>0</v>
      </c>
      <c r="F391" s="361"/>
      <c r="G391" s="374">
        <v>-200000</v>
      </c>
      <c r="H391" s="361"/>
      <c r="I391" s="367">
        <f>-E391+G391</f>
        <v>-200000</v>
      </c>
    </row>
    <row r="392" spans="1:10" x14ac:dyDescent="0.2">
      <c r="C392" s="310" t="s">
        <v>537</v>
      </c>
      <c r="E392" s="336">
        <v>-100000</v>
      </c>
      <c r="F392" s="302"/>
      <c r="G392" s="336">
        <v>-100000</v>
      </c>
      <c r="H392" s="302"/>
      <c r="I392" s="367">
        <f>-E392+G392</f>
        <v>0</v>
      </c>
    </row>
    <row r="393" spans="1:10" x14ac:dyDescent="0.2">
      <c r="B393" s="745"/>
      <c r="C393" s="745"/>
      <c r="D393" s="751" t="s">
        <v>538</v>
      </c>
      <c r="E393" s="746">
        <f>SUM(E386:E392)</f>
        <v>1881411</v>
      </c>
      <c r="F393" s="745"/>
      <c r="G393" s="746">
        <f>SUM(G386:G392)</f>
        <v>1498443</v>
      </c>
      <c r="H393" s="745"/>
      <c r="I393" s="752">
        <f>SUM(I387:I392)</f>
        <v>-382968</v>
      </c>
    </row>
    <row r="394" spans="1:10" x14ac:dyDescent="0.2">
      <c r="B394" s="745"/>
      <c r="C394" s="745"/>
      <c r="D394" s="751"/>
      <c r="E394" s="746"/>
      <c r="F394" s="745"/>
      <c r="G394" s="746"/>
      <c r="H394" s="745"/>
      <c r="I394" s="753"/>
    </row>
    <row r="395" spans="1:10" x14ac:dyDescent="0.2">
      <c r="B395" s="751" t="s">
        <v>167</v>
      </c>
      <c r="C395" s="745"/>
      <c r="D395" s="745"/>
      <c r="E395" s="744">
        <v>100000</v>
      </c>
      <c r="F395" s="747"/>
      <c r="G395" s="744">
        <v>279755</v>
      </c>
      <c r="H395" s="747"/>
      <c r="I395" s="754">
        <v>0</v>
      </c>
    </row>
    <row r="396" spans="1:10" x14ac:dyDescent="0.2">
      <c r="B396" s="751" t="s">
        <v>951</v>
      </c>
      <c r="C396" s="745"/>
      <c r="D396" s="745"/>
      <c r="E396" s="744">
        <v>48781</v>
      </c>
      <c r="F396" s="747"/>
      <c r="G396" s="744">
        <v>48781</v>
      </c>
      <c r="H396" s="747"/>
      <c r="I396" s="754"/>
    </row>
    <row r="397" spans="1:10" x14ac:dyDescent="0.2">
      <c r="B397" s="751" t="s">
        <v>168</v>
      </c>
      <c r="C397" s="745"/>
      <c r="D397" s="745"/>
      <c r="E397" s="744">
        <v>3365000</v>
      </c>
      <c r="F397" s="747"/>
      <c r="G397" s="744">
        <v>3365000</v>
      </c>
      <c r="H397" s="747"/>
      <c r="I397" s="754">
        <v>0</v>
      </c>
    </row>
    <row r="398" spans="1:10" ht="12.75" customHeight="1" x14ac:dyDescent="0.2">
      <c r="B398" s="984" t="s">
        <v>170</v>
      </c>
      <c r="C398" s="1079"/>
      <c r="D398" s="1079"/>
      <c r="E398" s="744">
        <v>-3300000</v>
      </c>
      <c r="F398" s="747"/>
      <c r="G398" s="744">
        <v>-3300000</v>
      </c>
      <c r="H398" s="747"/>
      <c r="I398" s="754">
        <v>0</v>
      </c>
    </row>
    <row r="399" spans="1:10" x14ac:dyDescent="0.2">
      <c r="B399" s="751" t="s">
        <v>171</v>
      </c>
      <c r="C399" s="745"/>
      <c r="D399" s="745"/>
      <c r="E399" s="743">
        <v>29000</v>
      </c>
      <c r="F399" s="745"/>
      <c r="G399" s="743">
        <v>28482</v>
      </c>
      <c r="H399" s="745"/>
      <c r="I399" s="743">
        <v>-518</v>
      </c>
    </row>
    <row r="400" spans="1:10" x14ac:dyDescent="0.2">
      <c r="B400" s="745"/>
      <c r="C400" s="745"/>
      <c r="D400" s="751" t="s">
        <v>539</v>
      </c>
      <c r="E400" s="757"/>
      <c r="F400" s="745"/>
      <c r="G400" s="757"/>
      <c r="H400" s="745"/>
      <c r="I400" s="757"/>
    </row>
    <row r="401" spans="1:14" x14ac:dyDescent="0.2">
      <c r="B401" s="745"/>
      <c r="C401" s="745"/>
      <c r="D401" s="751" t="s">
        <v>540</v>
      </c>
      <c r="E401" s="743">
        <f>SUM(E393:E399)</f>
        <v>2124192</v>
      </c>
      <c r="F401" s="747"/>
      <c r="G401" s="743">
        <f>SUM(G393:G399)</f>
        <v>1920461</v>
      </c>
      <c r="H401" s="747"/>
      <c r="I401" s="743">
        <f>G401-E401</f>
        <v>-203731</v>
      </c>
      <c r="J401" s="302">
        <f>G401-I401-E401</f>
        <v>0</v>
      </c>
    </row>
    <row r="402" spans="1:14" x14ac:dyDescent="0.2">
      <c r="B402" s="745"/>
      <c r="C402" s="745"/>
      <c r="D402" s="751"/>
      <c r="E402" s="746"/>
      <c r="F402" s="747"/>
      <c r="G402" s="746"/>
      <c r="H402" s="747"/>
      <c r="I402" s="746"/>
      <c r="J402" s="302"/>
    </row>
    <row r="403" spans="1:14" x14ac:dyDescent="0.2">
      <c r="B403" s="745"/>
      <c r="C403" s="745"/>
      <c r="D403" s="745"/>
      <c r="E403" s="744"/>
      <c r="F403" s="747"/>
      <c r="G403" s="744"/>
      <c r="H403" s="747"/>
      <c r="I403" s="753" t="s">
        <v>277</v>
      </c>
    </row>
    <row r="404" spans="1:14" ht="13.5" thickBot="1" x14ac:dyDescent="0.25">
      <c r="A404" s="32" t="s">
        <v>173</v>
      </c>
      <c r="B404" s="758"/>
      <c r="C404" s="759"/>
      <c r="D404" s="759"/>
      <c r="E404" s="760">
        <f>E382+E401</f>
        <v>0</v>
      </c>
      <c r="F404" s="747"/>
      <c r="G404" s="746">
        <f>G382+G401</f>
        <v>2387111</v>
      </c>
      <c r="H404" s="747"/>
      <c r="I404" s="760">
        <f>I382+I401</f>
        <v>2387111</v>
      </c>
      <c r="J404" s="302">
        <f>G404-I404</f>
        <v>0</v>
      </c>
      <c r="N404" s="302"/>
    </row>
    <row r="405" spans="1:14" ht="13.5" thickTop="1" x14ac:dyDescent="0.2">
      <c r="A405" s="32"/>
      <c r="B405" s="758"/>
      <c r="C405" s="759"/>
      <c r="D405" s="759"/>
      <c r="E405" s="746"/>
      <c r="F405" s="747"/>
      <c r="G405" s="746"/>
      <c r="H405" s="747"/>
      <c r="I405" s="746"/>
    </row>
    <row r="406" spans="1:14" hidden="1" x14ac:dyDescent="0.2">
      <c r="A406" s="32" t="s">
        <v>174</v>
      </c>
      <c r="B406" s="758"/>
      <c r="C406" s="759"/>
      <c r="D406" s="759"/>
      <c r="E406" s="745"/>
      <c r="F406" s="747"/>
      <c r="G406" s="744">
        <f>9969879-8383+1500000+893676+803+25774</f>
        <v>12381749</v>
      </c>
      <c r="H406" s="747"/>
      <c r="I406" s="745"/>
      <c r="L406" s="332"/>
      <c r="M406" s="332"/>
    </row>
    <row r="407" spans="1:14" hidden="1" x14ac:dyDescent="0.2">
      <c r="B407" s="745" t="s">
        <v>175</v>
      </c>
      <c r="C407" s="759"/>
      <c r="D407" s="759"/>
      <c r="E407" s="745"/>
      <c r="F407" s="747"/>
      <c r="G407" s="761">
        <v>-36253</v>
      </c>
      <c r="H407" s="747"/>
      <c r="I407" s="745"/>
      <c r="L407" s="332"/>
      <c r="M407" s="332"/>
    </row>
    <row r="408" spans="1:14" x14ac:dyDescent="0.2">
      <c r="A408" s="32" t="s">
        <v>176</v>
      </c>
      <c r="B408" s="758"/>
      <c r="C408" s="759"/>
      <c r="D408" s="759"/>
      <c r="E408" s="745"/>
      <c r="F408" s="747"/>
      <c r="G408" s="744">
        <f>SUM(G406:G407)+440000</f>
        <v>12785496</v>
      </c>
      <c r="H408" s="747"/>
      <c r="I408" s="745"/>
      <c r="L408" s="332"/>
      <c r="M408" s="332"/>
    </row>
    <row r="409" spans="1:14" x14ac:dyDescent="0.2">
      <c r="A409" s="36" t="s">
        <v>177</v>
      </c>
      <c r="B409" s="745"/>
      <c r="C409" s="759"/>
      <c r="D409" s="759"/>
      <c r="E409" s="745"/>
      <c r="F409" s="747"/>
      <c r="G409" s="761">
        <v>122974</v>
      </c>
      <c r="H409" s="747"/>
      <c r="I409" s="745"/>
    </row>
    <row r="410" spans="1:14" ht="13.5" thickBot="1" x14ac:dyDescent="0.25">
      <c r="A410" s="36" t="s">
        <v>541</v>
      </c>
      <c r="B410" s="758"/>
      <c r="C410" s="759"/>
      <c r="D410" s="759"/>
      <c r="E410" s="745"/>
      <c r="F410" s="762"/>
      <c r="G410" s="763">
        <f>G404+G408+G409</f>
        <v>15295581</v>
      </c>
      <c r="H410" s="762"/>
      <c r="I410" s="745"/>
      <c r="J410" s="382" t="e">
        <f>G410-#REF!</f>
        <v>#REF!</v>
      </c>
      <c r="K410" s="332" t="e">
        <f>G410-#REF!</f>
        <v>#REF!</v>
      </c>
      <c r="L410" s="332"/>
      <c r="N410" s="332"/>
    </row>
    <row r="411" spans="1:14" ht="13.5" thickTop="1" x14ac:dyDescent="0.2">
      <c r="A411" s="36"/>
      <c r="B411" s="36"/>
      <c r="C411" s="32"/>
      <c r="D411" s="32"/>
      <c r="F411" s="332"/>
      <c r="G411" s="748"/>
      <c r="H411" s="332"/>
      <c r="J411" s="382"/>
      <c r="K411" s="332"/>
      <c r="L411" s="332"/>
      <c r="N411" s="332"/>
    </row>
    <row r="412" spans="1:14" x14ac:dyDescent="0.2">
      <c r="A412" s="36"/>
      <c r="B412" s="36"/>
      <c r="C412" s="32"/>
      <c r="D412" s="32"/>
      <c r="F412" s="332"/>
      <c r="G412" s="748"/>
      <c r="H412" s="332"/>
      <c r="J412" s="382"/>
      <c r="K412" s="332"/>
      <c r="L412" s="332"/>
      <c r="N412" s="332"/>
    </row>
    <row r="413" spans="1:14" ht="13.5" thickBot="1" x14ac:dyDescent="0.25">
      <c r="A413" s="36"/>
      <c r="B413" s="36"/>
      <c r="C413" s="32"/>
      <c r="D413" s="32"/>
      <c r="F413" s="332"/>
      <c r="G413" s="383"/>
      <c r="H413" s="332"/>
      <c r="I413" s="338"/>
      <c r="L413" s="332"/>
    </row>
    <row r="414" spans="1:14" x14ac:dyDescent="0.2">
      <c r="A414" s="36"/>
      <c r="B414" s="992" t="s">
        <v>954</v>
      </c>
      <c r="C414" s="1080"/>
      <c r="D414" s="1080"/>
      <c r="E414" s="1080"/>
      <c r="F414" s="1080"/>
      <c r="G414" s="1080"/>
      <c r="H414" s="1080"/>
      <c r="I414" s="1081"/>
    </row>
    <row r="415" spans="1:14" ht="13.5" thickBot="1" x14ac:dyDescent="0.25">
      <c r="A415" s="36"/>
      <c r="B415" s="1082"/>
      <c r="C415" s="1083"/>
      <c r="D415" s="1083"/>
      <c r="E415" s="1083"/>
      <c r="F415" s="1083"/>
      <c r="G415" s="1083"/>
      <c r="H415" s="1083"/>
      <c r="I415" s="1084"/>
    </row>
    <row r="416" spans="1:14" x14ac:dyDescent="0.2">
      <c r="A416" s="36"/>
      <c r="B416" s="384"/>
      <c r="C416" s="384"/>
      <c r="D416" s="384"/>
      <c r="E416" s="384"/>
      <c r="F416" s="384"/>
      <c r="G416" s="384"/>
      <c r="H416" s="384"/>
      <c r="I416" s="384"/>
    </row>
    <row r="425" spans="5:9" x14ac:dyDescent="0.2">
      <c r="E425" s="370"/>
      <c r="F425" s="370"/>
      <c r="G425" s="370"/>
      <c r="H425" s="370"/>
      <c r="I425" s="370"/>
    </row>
    <row r="426" spans="5:9" x14ac:dyDescent="0.2">
      <c r="E426" s="370"/>
      <c r="F426" s="370"/>
      <c r="G426" s="370"/>
      <c r="H426" s="370"/>
      <c r="I426" s="370"/>
    </row>
    <row r="427" spans="5:9" x14ac:dyDescent="0.2">
      <c r="E427" s="370"/>
      <c r="F427" s="370"/>
      <c r="G427" s="370"/>
      <c r="H427" s="370"/>
      <c r="I427" s="370"/>
    </row>
    <row r="428" spans="5:9" x14ac:dyDescent="0.2">
      <c r="E428" s="370"/>
      <c r="F428" s="370"/>
      <c r="G428" s="370"/>
      <c r="H428" s="370"/>
      <c r="I428" s="370"/>
    </row>
    <row r="429" spans="5:9" x14ac:dyDescent="0.2">
      <c r="E429" s="370"/>
      <c r="F429" s="370"/>
      <c r="G429" s="370"/>
      <c r="H429" s="370"/>
      <c r="I429" s="370"/>
    </row>
    <row r="430" spans="5:9" x14ac:dyDescent="0.2">
      <c r="E430" s="370"/>
      <c r="F430" s="370"/>
      <c r="G430" s="370"/>
      <c r="H430" s="370"/>
      <c r="I430" s="370"/>
    </row>
    <row r="431" spans="5:9" x14ac:dyDescent="0.2">
      <c r="E431" s="370"/>
      <c r="F431" s="370"/>
      <c r="G431" s="370"/>
      <c r="H431" s="370"/>
      <c r="I431" s="370"/>
    </row>
    <row r="432" spans="5:9" x14ac:dyDescent="0.2">
      <c r="E432" s="370"/>
      <c r="F432" s="370"/>
      <c r="G432" s="370"/>
      <c r="H432" s="370"/>
      <c r="I432" s="370"/>
    </row>
    <row r="433" spans="5:9" x14ac:dyDescent="0.2">
      <c r="E433" s="370"/>
      <c r="F433" s="370"/>
      <c r="G433" s="370"/>
      <c r="H433" s="370"/>
      <c r="I433" s="370"/>
    </row>
    <row r="434" spans="5:9" x14ac:dyDescent="0.2">
      <c r="E434" s="370"/>
      <c r="F434" s="370"/>
      <c r="G434" s="370"/>
      <c r="H434" s="370"/>
      <c r="I434" s="370"/>
    </row>
    <row r="435" spans="5:9" x14ac:dyDescent="0.2">
      <c r="E435" s="370"/>
      <c r="F435" s="370"/>
      <c r="G435" s="370"/>
      <c r="H435" s="370"/>
      <c r="I435" s="370"/>
    </row>
    <row r="436" spans="5:9" x14ac:dyDescent="0.2">
      <c r="E436" s="370"/>
      <c r="F436" s="370"/>
      <c r="G436" s="370"/>
      <c r="H436" s="370"/>
      <c r="I436" s="370"/>
    </row>
    <row r="437" spans="5:9" x14ac:dyDescent="0.2">
      <c r="E437" s="370"/>
      <c r="F437" s="370"/>
      <c r="G437" s="370"/>
      <c r="H437" s="370"/>
      <c r="I437" s="370"/>
    </row>
    <row r="438" spans="5:9" x14ac:dyDescent="0.2">
      <c r="E438" s="370"/>
      <c r="F438" s="370"/>
      <c r="G438" s="370"/>
      <c r="H438" s="370"/>
      <c r="I438" s="370"/>
    </row>
    <row r="439" spans="5:9" x14ac:dyDescent="0.2">
      <c r="E439" s="370"/>
      <c r="F439" s="370"/>
      <c r="G439" s="370"/>
      <c r="H439" s="370"/>
      <c r="I439" s="370"/>
    </row>
    <row r="440" spans="5:9" x14ac:dyDescent="0.2">
      <c r="E440" s="370"/>
      <c r="F440" s="370"/>
      <c r="G440" s="370"/>
      <c r="H440" s="370"/>
      <c r="I440" s="370"/>
    </row>
    <row r="441" spans="5:9" x14ac:dyDescent="0.2">
      <c r="E441" s="370"/>
      <c r="F441" s="370"/>
      <c r="G441" s="370"/>
      <c r="H441" s="370"/>
      <c r="I441" s="370"/>
    </row>
    <row r="442" spans="5:9" x14ac:dyDescent="0.2">
      <c r="E442" s="61"/>
      <c r="F442" s="370"/>
      <c r="G442" s="370"/>
      <c r="H442" s="370"/>
      <c r="I442" s="370"/>
    </row>
    <row r="443" spans="5:9" x14ac:dyDescent="0.2">
      <c r="E443" s="370"/>
      <c r="F443" s="370"/>
      <c r="G443" s="370"/>
      <c r="H443" s="370"/>
      <c r="I443" s="370"/>
    </row>
    <row r="444" spans="5:9" x14ac:dyDescent="0.2">
      <c r="E444" s="370"/>
      <c r="F444" s="370"/>
      <c r="G444" s="370"/>
      <c r="H444" s="370"/>
      <c r="I444" s="370"/>
    </row>
    <row r="445" spans="5:9" x14ac:dyDescent="0.2">
      <c r="E445" s="370"/>
      <c r="F445" s="370"/>
      <c r="G445" s="370"/>
      <c r="H445" s="370"/>
      <c r="I445" s="370"/>
    </row>
    <row r="446" spans="5:9" x14ac:dyDescent="0.2">
      <c r="E446" s="370"/>
      <c r="F446" s="370"/>
      <c r="G446" s="370"/>
      <c r="H446" s="370"/>
      <c r="I446" s="370"/>
    </row>
    <row r="447" spans="5:9" x14ac:dyDescent="0.2">
      <c r="E447" s="370"/>
      <c r="F447" s="370"/>
      <c r="G447" s="370"/>
      <c r="H447" s="370"/>
      <c r="I447" s="370"/>
    </row>
    <row r="448" spans="5:9" x14ac:dyDescent="0.2">
      <c r="E448" s="370"/>
      <c r="F448" s="370"/>
      <c r="G448" s="370"/>
      <c r="H448" s="370"/>
      <c r="I448" s="370"/>
    </row>
    <row r="449" spans="5:9" x14ac:dyDescent="0.2">
      <c r="E449" s="370"/>
      <c r="F449" s="370"/>
      <c r="G449" s="370"/>
      <c r="H449" s="370"/>
      <c r="I449" s="370"/>
    </row>
    <row r="450" spans="5:9" x14ac:dyDescent="0.2">
      <c r="E450" s="370"/>
      <c r="F450" s="370"/>
      <c r="G450" s="370"/>
      <c r="H450" s="370"/>
      <c r="I450" s="370"/>
    </row>
    <row r="451" spans="5:9" x14ac:dyDescent="0.2">
      <c r="E451" s="370"/>
      <c r="F451" s="370"/>
      <c r="G451" s="370"/>
      <c r="H451" s="370"/>
      <c r="I451" s="370"/>
    </row>
    <row r="452" spans="5:9" x14ac:dyDescent="0.2">
      <c r="E452" s="370"/>
      <c r="F452" s="370"/>
      <c r="G452" s="370"/>
      <c r="H452" s="370"/>
      <c r="I452" s="370"/>
    </row>
    <row r="453" spans="5:9" x14ac:dyDescent="0.2">
      <c r="E453" s="370"/>
      <c r="F453" s="370"/>
      <c r="G453" s="370"/>
      <c r="H453" s="370"/>
      <c r="I453" s="370"/>
    </row>
    <row r="454" spans="5:9" x14ac:dyDescent="0.2">
      <c r="E454" s="370"/>
      <c r="F454" s="370"/>
      <c r="G454" s="370"/>
      <c r="H454" s="370"/>
      <c r="I454" s="370"/>
    </row>
    <row r="455" spans="5:9" x14ac:dyDescent="0.2">
      <c r="E455" s="370"/>
      <c r="F455" s="370"/>
      <c r="G455" s="370"/>
      <c r="H455" s="370"/>
      <c r="I455" s="370"/>
    </row>
    <row r="456" spans="5:9" x14ac:dyDescent="0.2">
      <c r="E456" s="370"/>
      <c r="F456" s="370"/>
      <c r="G456" s="370"/>
      <c r="H456" s="370"/>
      <c r="I456" s="370"/>
    </row>
    <row r="457" spans="5:9" x14ac:dyDescent="0.2">
      <c r="E457" s="370"/>
      <c r="F457" s="370"/>
      <c r="G457" s="370"/>
      <c r="H457" s="370"/>
      <c r="I457" s="370"/>
    </row>
    <row r="458" spans="5:9" x14ac:dyDescent="0.2">
      <c r="E458" s="370"/>
      <c r="F458" s="370"/>
      <c r="G458" s="370"/>
      <c r="H458" s="370"/>
      <c r="I458" s="370"/>
    </row>
    <row r="459" spans="5:9" x14ac:dyDescent="0.2">
      <c r="E459" s="370"/>
      <c r="F459" s="370"/>
      <c r="G459" s="370"/>
      <c r="H459" s="370"/>
      <c r="I459" s="370"/>
    </row>
    <row r="460" spans="5:9" x14ac:dyDescent="0.2">
      <c r="E460" s="370"/>
      <c r="F460" s="370"/>
      <c r="G460" s="370"/>
      <c r="H460" s="370"/>
      <c r="I460" s="370"/>
    </row>
    <row r="461" spans="5:9" x14ac:dyDescent="0.2">
      <c r="E461" s="370"/>
      <c r="F461" s="370"/>
      <c r="G461" s="370"/>
      <c r="H461" s="370"/>
      <c r="I461" s="370"/>
    </row>
    <row r="462" spans="5:9" x14ac:dyDescent="0.2">
      <c r="E462" s="370"/>
      <c r="F462" s="370"/>
      <c r="G462" s="370"/>
      <c r="H462" s="370"/>
      <c r="I462" s="370"/>
    </row>
    <row r="463" spans="5:9" x14ac:dyDescent="0.2">
      <c r="E463" s="370"/>
      <c r="F463" s="370"/>
      <c r="G463" s="370"/>
      <c r="H463" s="370"/>
      <c r="I463" s="370"/>
    </row>
    <row r="464" spans="5:9" x14ac:dyDescent="0.2">
      <c r="E464" s="370"/>
      <c r="F464" s="370"/>
      <c r="G464" s="370"/>
      <c r="H464" s="370"/>
      <c r="I464" s="370"/>
    </row>
    <row r="465" spans="5:9" x14ac:dyDescent="0.2">
      <c r="E465" s="370"/>
      <c r="F465" s="370"/>
      <c r="G465" s="370"/>
      <c r="H465" s="370"/>
      <c r="I465" s="370"/>
    </row>
  </sheetData>
  <customSheetViews>
    <customSheetView guid="{E0C60316-4586-4AAF-92CB-FA82BB1EB755}" fitToPage="1" topLeftCell="A411">
      <selection activeCell="K60" sqref="K60:K70"/>
      <rowBreaks count="10" manualBreakCount="10">
        <brk id="50" max="8" man="1"/>
        <brk id="90" max="8" man="1"/>
        <brk id="132" max="8" man="1"/>
        <brk id="171" max="8" man="1"/>
        <brk id="205" max="8" man="1"/>
        <brk id="248" max="8" man="1"/>
        <brk id="288" max="8" man="1"/>
        <brk id="331" max="8" man="1"/>
        <brk id="361" max="8" man="1"/>
        <brk id="402" max="8" man="1"/>
      </rowBreaks>
      <pageMargins left="0" right="0" top="0" bottom="0" header="0" footer="0"/>
      <printOptions horizontalCentered="1"/>
      <pageSetup firstPageNumber="99" fitToHeight="0" orientation="portrait" useFirstPageNumber="1" r:id="rId1"/>
      <headerFooter alignWithMargins="0"/>
    </customSheetView>
    <customSheetView guid="{A8748736-0722-49EB-85B6-C9B52DDCFE0E}" showPageBreaks="1" fitToPage="1" printArea="1" hiddenRows="1" hiddenColumns="1">
      <selection activeCell="B371" sqref="B371"/>
      <rowBreaks count="10" manualBreakCount="10">
        <brk id="50" max="8" man="1"/>
        <brk id="90" max="8" man="1"/>
        <brk id="132" max="8" man="1"/>
        <brk id="171" max="8" man="1"/>
        <brk id="205" max="8" man="1"/>
        <brk id="248" max="8" man="1"/>
        <brk id="288" max="8" man="1"/>
        <brk id="331" max="8" man="1"/>
        <brk id="361" max="8" man="1"/>
        <brk id="402" max="8" man="1"/>
      </rowBreaks>
      <pageMargins left="0.75" right="0.75" top="1" bottom="1" header="0.5" footer="0.5"/>
      <printOptions horizontalCentered="1"/>
      <pageSetup firstPageNumber="99" fitToHeight="0" orientation="portrait" useFirstPageNumber="1" r:id="rId2"/>
      <headerFooter alignWithMargins="0"/>
    </customSheetView>
  </customSheetViews>
  <mergeCells count="3">
    <mergeCell ref="B30:D30"/>
    <mergeCell ref="B398:D398"/>
    <mergeCell ref="B414:I415"/>
  </mergeCells>
  <printOptions horizontalCentered="1"/>
  <pageMargins left="0.75" right="0.75" top="1" bottom="1" header="0.5" footer="0.5"/>
  <pageSetup firstPageNumber="99" fitToHeight="0" orientation="portrait" useFirstPageNumber="1" r:id="rId3"/>
  <headerFooter alignWithMargins="0"/>
  <rowBreaks count="9" manualBreakCount="9">
    <brk id="90" max="8" man="1"/>
    <brk id="129" max="8" man="1"/>
    <brk id="166" max="8" man="1"/>
    <brk id="204" max="8" man="1"/>
    <brk id="245" max="8" man="1"/>
    <brk id="282" max="8" man="1"/>
    <brk id="322" max="8" man="1"/>
    <brk id="362" max="8" man="1"/>
    <brk id="403" max="8"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tint="0.39997558519241921"/>
  </sheetPr>
  <dimension ref="A1:J39"/>
  <sheetViews>
    <sheetView workbookViewId="0">
      <selection activeCell="D6" sqref="D6"/>
    </sheetView>
  </sheetViews>
  <sheetFormatPr defaultColWidth="9.140625" defaultRowHeight="12.75" x14ac:dyDescent="0.2"/>
  <cols>
    <col min="1" max="1" width="3.42578125" style="63" customWidth="1"/>
    <col min="2" max="2" width="2.42578125" style="63" customWidth="1"/>
    <col min="3" max="3" width="2.28515625" style="63" customWidth="1"/>
    <col min="4" max="4" width="26.5703125" style="63" customWidth="1"/>
    <col min="5" max="5" width="10.7109375" style="63" customWidth="1"/>
    <col min="6" max="6" width="1.85546875" style="63" customWidth="1"/>
    <col min="7" max="7" width="10.7109375" style="63" customWidth="1"/>
    <col min="8" max="8" width="1.85546875" style="63" customWidth="1"/>
    <col min="9" max="9" width="10.7109375" style="63" customWidth="1"/>
    <col min="10" max="10" width="9.5703125" style="63" bestFit="1" customWidth="1"/>
    <col min="11" max="16384" width="9.140625" style="63"/>
  </cols>
  <sheetData>
    <row r="1" spans="1:9" x14ac:dyDescent="0.2">
      <c r="A1" s="1019" t="s">
        <v>0</v>
      </c>
      <c r="B1" s="1019"/>
      <c r="C1" s="1019"/>
      <c r="D1" s="1019"/>
      <c r="E1" s="1019"/>
      <c r="F1" s="1019"/>
      <c r="G1" s="1019"/>
      <c r="H1" s="1019"/>
      <c r="I1" s="1019"/>
    </row>
    <row r="2" spans="1:9" x14ac:dyDescent="0.2">
      <c r="A2" s="82" t="s">
        <v>1050</v>
      </c>
      <c r="B2" s="82"/>
      <c r="C2" s="82"/>
      <c r="D2" s="82"/>
      <c r="E2" s="82"/>
      <c r="F2" s="82"/>
      <c r="G2" s="82"/>
      <c r="H2" s="82"/>
      <c r="I2" s="82"/>
    </row>
    <row r="3" spans="1:9" x14ac:dyDescent="0.2">
      <c r="A3" s="82" t="s">
        <v>397</v>
      </c>
      <c r="B3" s="82"/>
      <c r="C3" s="82"/>
      <c r="D3" s="82"/>
      <c r="E3" s="82"/>
      <c r="F3" s="82"/>
      <c r="G3" s="82"/>
      <c r="H3" s="82"/>
      <c r="I3" s="82"/>
    </row>
    <row r="4" spans="1:9" x14ac:dyDescent="0.2">
      <c r="A4" s="82" t="s">
        <v>398</v>
      </c>
      <c r="B4" s="82"/>
      <c r="C4" s="82"/>
      <c r="D4" s="82"/>
      <c r="E4" s="82"/>
      <c r="F4" s="82"/>
      <c r="G4" s="82"/>
      <c r="H4" s="82"/>
      <c r="I4" s="82"/>
    </row>
    <row r="5" spans="1:9" x14ac:dyDescent="0.2">
      <c r="A5" s="1088" t="str">
        <f>'GWStmtAct 68 Exh 2'!A3</f>
        <v>For the Year Ended June 30, 2025</v>
      </c>
      <c r="B5" s="1088"/>
      <c r="C5" s="1088"/>
      <c r="D5" s="1088"/>
      <c r="E5" s="1088"/>
      <c r="F5" s="1088"/>
      <c r="G5" s="1088"/>
      <c r="H5" s="1088"/>
      <c r="I5" s="1088"/>
    </row>
    <row r="6" spans="1:9" x14ac:dyDescent="0.2">
      <c r="A6" s="683"/>
      <c r="B6" s="683"/>
      <c r="C6" s="683"/>
      <c r="D6" s="683"/>
      <c r="E6" s="683"/>
      <c r="F6" s="683"/>
      <c r="G6" s="683"/>
      <c r="H6" s="683"/>
      <c r="I6" s="683"/>
    </row>
    <row r="7" spans="1:9" x14ac:dyDescent="0.2">
      <c r="A7" s="494"/>
      <c r="B7" s="494"/>
      <c r="C7" s="494"/>
      <c r="D7" s="494"/>
      <c r="E7" s="494"/>
      <c r="F7" s="494"/>
      <c r="G7" s="494"/>
      <c r="H7" s="494"/>
      <c r="I7" s="494"/>
    </row>
    <row r="8" spans="1:9" ht="13.5" thickBot="1" x14ac:dyDescent="0.25">
      <c r="A8" s="495"/>
      <c r="B8" s="495"/>
      <c r="C8" s="495"/>
      <c r="D8" s="495"/>
      <c r="E8" s="495"/>
      <c r="F8" s="495"/>
      <c r="G8" s="495"/>
      <c r="H8" s="495"/>
      <c r="I8" s="495"/>
    </row>
    <row r="9" spans="1:9" x14ac:dyDescent="0.2">
      <c r="A9" s="496"/>
      <c r="B9" s="496"/>
      <c r="C9" s="496"/>
      <c r="D9" s="496"/>
      <c r="E9" s="496"/>
      <c r="F9" s="496"/>
      <c r="G9" s="496"/>
      <c r="H9" s="496"/>
      <c r="I9" s="497" t="s">
        <v>187</v>
      </c>
    </row>
    <row r="10" spans="1:9" x14ac:dyDescent="0.2">
      <c r="A10" s="496"/>
      <c r="B10" s="496"/>
      <c r="C10" s="496"/>
      <c r="D10" s="496"/>
      <c r="E10" s="498" t="s">
        <v>189</v>
      </c>
      <c r="F10" s="496"/>
      <c r="G10" s="496"/>
      <c r="H10" s="496"/>
      <c r="I10" s="801" t="s">
        <v>1053</v>
      </c>
    </row>
    <row r="11" spans="1:9" x14ac:dyDescent="0.2">
      <c r="A11" s="496"/>
      <c r="B11" s="499" t="s">
        <v>112</v>
      </c>
      <c r="C11" s="496"/>
      <c r="D11" s="496"/>
      <c r="E11" s="500" t="s">
        <v>190</v>
      </c>
      <c r="F11" s="496"/>
      <c r="G11" s="500" t="s">
        <v>191</v>
      </c>
      <c r="H11" s="496"/>
      <c r="I11" s="802" t="s">
        <v>1054</v>
      </c>
    </row>
    <row r="12" spans="1:9" x14ac:dyDescent="0.2">
      <c r="A12" s="499" t="s">
        <v>192</v>
      </c>
      <c r="B12" s="496"/>
      <c r="C12" s="496"/>
      <c r="D12" s="496"/>
      <c r="E12" s="496"/>
      <c r="F12" s="496"/>
      <c r="G12" s="496"/>
      <c r="H12" s="496"/>
      <c r="I12" s="496"/>
    </row>
    <row r="13" spans="1:9" x14ac:dyDescent="0.2">
      <c r="A13" s="496"/>
      <c r="B13" s="499" t="s">
        <v>148</v>
      </c>
      <c r="C13" s="496"/>
      <c r="D13" s="496"/>
      <c r="E13" s="501">
        <v>36000</v>
      </c>
      <c r="F13" s="502"/>
      <c r="G13" s="501">
        <v>52679</v>
      </c>
      <c r="H13" s="502"/>
      <c r="I13" s="501">
        <f>G13-E13</f>
        <v>16679</v>
      </c>
    </row>
    <row r="14" spans="1:9" x14ac:dyDescent="0.2">
      <c r="A14" s="496"/>
      <c r="B14" s="496"/>
      <c r="C14" s="496"/>
      <c r="D14" s="496"/>
      <c r="E14" s="503"/>
      <c r="F14" s="503"/>
      <c r="G14" s="503"/>
      <c r="H14" s="503"/>
      <c r="I14" s="503"/>
    </row>
    <row r="15" spans="1:9" x14ac:dyDescent="0.2">
      <c r="A15" s="499" t="s">
        <v>439</v>
      </c>
      <c r="B15" s="496"/>
      <c r="C15" s="496"/>
      <c r="D15" s="496"/>
      <c r="E15" s="503"/>
      <c r="F15" s="503"/>
      <c r="G15" s="503"/>
      <c r="H15" s="503"/>
      <c r="I15" s="503"/>
    </row>
    <row r="16" spans="1:9" x14ac:dyDescent="0.2">
      <c r="A16" s="496"/>
      <c r="B16" s="496"/>
      <c r="C16" s="499" t="s">
        <v>440</v>
      </c>
      <c r="D16" s="496"/>
      <c r="E16" s="503"/>
      <c r="F16" s="503"/>
      <c r="G16" s="503"/>
      <c r="H16" s="503"/>
      <c r="I16" s="503"/>
    </row>
    <row r="17" spans="1:10" x14ac:dyDescent="0.2">
      <c r="A17" s="496"/>
      <c r="B17" s="496"/>
      <c r="C17" s="496"/>
      <c r="D17" s="499" t="s">
        <v>542</v>
      </c>
      <c r="E17" s="504">
        <v>585500</v>
      </c>
      <c r="F17" s="503"/>
      <c r="G17" s="504">
        <v>562674</v>
      </c>
      <c r="H17" s="503"/>
      <c r="I17" s="504">
        <f>E17-G17</f>
        <v>22826</v>
      </c>
      <c r="J17" s="505"/>
    </row>
    <row r="18" spans="1:10" x14ac:dyDescent="0.2">
      <c r="A18" s="496"/>
      <c r="B18" s="496"/>
      <c r="C18" s="496"/>
      <c r="D18" s="496"/>
      <c r="E18" s="503"/>
      <c r="F18" s="503"/>
      <c r="G18" s="503"/>
      <c r="H18" s="503"/>
      <c r="I18" s="503"/>
      <c r="J18" s="505"/>
    </row>
    <row r="19" spans="1:10" x14ac:dyDescent="0.2">
      <c r="A19" s="499" t="s">
        <v>619</v>
      </c>
      <c r="B19" s="496"/>
      <c r="C19" s="496"/>
      <c r="D19" s="496"/>
      <c r="E19" s="504">
        <f>E13-E17</f>
        <v>-549500</v>
      </c>
      <c r="F19" s="503"/>
      <c r="G19" s="504">
        <f>G13-G17</f>
        <v>-509995</v>
      </c>
      <c r="H19" s="503"/>
      <c r="I19" s="504">
        <f>I13-I17</f>
        <v>-6147</v>
      </c>
      <c r="J19" s="505"/>
    </row>
    <row r="20" spans="1:10" x14ac:dyDescent="0.2">
      <c r="A20" s="496"/>
      <c r="B20" s="496"/>
      <c r="C20" s="496"/>
      <c r="D20" s="496"/>
      <c r="E20" s="503"/>
      <c r="F20" s="503"/>
      <c r="G20" s="503"/>
      <c r="H20" s="503"/>
      <c r="I20" s="503"/>
      <c r="J20" s="505"/>
    </row>
    <row r="21" spans="1:10" x14ac:dyDescent="0.2">
      <c r="A21" s="499" t="s">
        <v>543</v>
      </c>
      <c r="B21" s="496"/>
      <c r="C21" s="496"/>
      <c r="D21" s="496"/>
      <c r="E21" s="496"/>
      <c r="F21" s="496"/>
      <c r="G21" s="496"/>
      <c r="H21" s="496"/>
      <c r="I21" s="496"/>
      <c r="J21" s="505"/>
    </row>
    <row r="22" spans="1:10" x14ac:dyDescent="0.2">
      <c r="A22" s="496"/>
      <c r="B22" s="499" t="s">
        <v>532</v>
      </c>
      <c r="C22" s="496"/>
      <c r="D22" s="496"/>
      <c r="E22" s="496"/>
      <c r="F22" s="496"/>
      <c r="G22" s="496"/>
      <c r="H22" s="496"/>
      <c r="I22" s="496"/>
      <c r="J22" s="505"/>
    </row>
    <row r="23" spans="1:10" x14ac:dyDescent="0.2">
      <c r="A23" s="496"/>
      <c r="B23" s="496"/>
      <c r="C23" s="499" t="s">
        <v>1015</v>
      </c>
      <c r="D23" s="496"/>
      <c r="E23" s="504">
        <v>68816</v>
      </c>
      <c r="F23" s="503"/>
      <c r="G23" s="504">
        <v>250616</v>
      </c>
      <c r="H23" s="503"/>
      <c r="I23" s="504">
        <f>G23-E23</f>
        <v>181800</v>
      </c>
      <c r="J23" s="505"/>
    </row>
    <row r="24" spans="1:10" x14ac:dyDescent="0.2">
      <c r="A24" s="496"/>
      <c r="B24" s="496"/>
      <c r="C24" s="496"/>
      <c r="D24" s="496"/>
      <c r="E24" s="503"/>
      <c r="F24" s="503"/>
      <c r="G24" s="503"/>
      <c r="H24" s="503"/>
      <c r="I24" s="503"/>
      <c r="J24" s="505"/>
    </row>
    <row r="25" spans="1:10" ht="13.5" thickBot="1" x14ac:dyDescent="0.25">
      <c r="A25" s="499" t="s">
        <v>1051</v>
      </c>
      <c r="B25" s="496"/>
      <c r="C25" s="496"/>
      <c r="D25" s="496"/>
      <c r="E25" s="507">
        <f>+E19+E23</f>
        <v>-480684</v>
      </c>
      <c r="F25" s="496"/>
      <c r="G25" s="503">
        <f>+G23+G19</f>
        <v>-259379</v>
      </c>
      <c r="H25" s="496"/>
      <c r="I25" s="508">
        <f>+I23+I19</f>
        <v>175653</v>
      </c>
      <c r="J25" s="506"/>
    </row>
    <row r="26" spans="1:10" ht="13.5" thickTop="1" x14ac:dyDescent="0.2">
      <c r="A26" s="496"/>
      <c r="B26" s="496"/>
      <c r="C26" s="496"/>
      <c r="D26" s="496"/>
      <c r="E26" s="503"/>
      <c r="F26" s="503"/>
      <c r="G26" s="503"/>
      <c r="H26" s="503"/>
      <c r="I26" s="503"/>
      <c r="J26" s="505"/>
    </row>
    <row r="27" spans="1:10" x14ac:dyDescent="0.2">
      <c r="A27" s="499" t="s">
        <v>545</v>
      </c>
      <c r="B27" s="499"/>
      <c r="C27" s="496"/>
      <c r="D27" s="496"/>
      <c r="E27" s="503"/>
      <c r="F27" s="503"/>
      <c r="G27" s="504">
        <v>731102</v>
      </c>
      <c r="H27" s="503"/>
      <c r="I27" s="503"/>
      <c r="J27" s="505"/>
    </row>
    <row r="28" spans="1:10" ht="13.5" thickBot="1" x14ac:dyDescent="0.25">
      <c r="A28" s="499" t="s">
        <v>541</v>
      </c>
      <c r="B28" s="499"/>
      <c r="C28" s="496"/>
      <c r="D28" s="496"/>
      <c r="E28" s="503"/>
      <c r="F28" s="503"/>
      <c r="G28" s="508">
        <f>G25+G27</f>
        <v>471723</v>
      </c>
      <c r="H28" s="503"/>
      <c r="I28" s="503"/>
      <c r="J28" s="505"/>
    </row>
    <row r="29" spans="1:10" ht="13.5" thickTop="1" x14ac:dyDescent="0.2">
      <c r="A29" s="499"/>
      <c r="B29" s="499"/>
      <c r="C29" s="496"/>
      <c r="D29" s="496"/>
      <c r="E29" s="503"/>
      <c r="F29" s="503"/>
      <c r="G29" s="741"/>
      <c r="H29" s="503"/>
      <c r="I29" s="503"/>
      <c r="J29" s="505"/>
    </row>
    <row r="30" spans="1:10" x14ac:dyDescent="0.2">
      <c r="A30" s="499"/>
      <c r="B30" s="499"/>
      <c r="C30" s="496"/>
      <c r="D30" s="496"/>
      <c r="E30" s="503"/>
      <c r="F30" s="503"/>
      <c r="G30" s="741"/>
      <c r="H30" s="503"/>
      <c r="I30" s="503"/>
      <c r="J30" s="505"/>
    </row>
    <row r="31" spans="1:10" x14ac:dyDescent="0.2">
      <c r="A31" s="499"/>
      <c r="B31" s="499"/>
      <c r="C31" s="496"/>
      <c r="D31" s="496"/>
      <c r="E31" s="503"/>
      <c r="F31" s="503"/>
      <c r="G31" s="741"/>
      <c r="H31" s="503"/>
      <c r="I31" s="503"/>
      <c r="J31" s="505"/>
    </row>
    <row r="32" spans="1:10" x14ac:dyDescent="0.2">
      <c r="A32" s="499" t="s">
        <v>991</v>
      </c>
      <c r="B32" s="499" t="s">
        <v>1180</v>
      </c>
      <c r="C32" s="496"/>
      <c r="D32" s="496"/>
      <c r="E32" s="503"/>
      <c r="F32" s="503"/>
      <c r="G32" s="741"/>
      <c r="H32" s="503"/>
      <c r="I32" s="503"/>
      <c r="J32" s="505"/>
    </row>
    <row r="33" spans="1:10" x14ac:dyDescent="0.2">
      <c r="A33" s="499" t="s">
        <v>1052</v>
      </c>
      <c r="B33" s="499" t="s">
        <v>1048</v>
      </c>
      <c r="C33" s="496"/>
      <c r="D33" s="496"/>
      <c r="E33" s="503"/>
      <c r="F33" s="503"/>
      <c r="G33" s="741"/>
      <c r="H33" s="503"/>
      <c r="I33" s="503"/>
      <c r="J33" s="505"/>
    </row>
    <row r="34" spans="1:10" x14ac:dyDescent="0.2">
      <c r="A34" s="505"/>
      <c r="B34" s="505"/>
      <c r="C34" s="505" t="s">
        <v>1049</v>
      </c>
      <c r="D34" s="505"/>
      <c r="E34" s="505"/>
      <c r="F34" s="505"/>
      <c r="G34" s="505"/>
      <c r="H34" s="505"/>
      <c r="I34" s="505"/>
      <c r="J34" s="505"/>
    </row>
    <row r="35" spans="1:10" x14ac:dyDescent="0.2">
      <c r="A35" s="505"/>
      <c r="B35" s="505"/>
      <c r="C35" s="505"/>
      <c r="D35" s="505"/>
      <c r="E35" s="505"/>
      <c r="F35" s="505"/>
      <c r="G35" s="505"/>
      <c r="H35" s="505"/>
      <c r="I35" s="505"/>
      <c r="J35" s="505"/>
    </row>
    <row r="36" spans="1:10" x14ac:dyDescent="0.2">
      <c r="A36" s="505"/>
      <c r="B36" s="505"/>
      <c r="C36" s="505"/>
      <c r="D36" s="505"/>
      <c r="E36" s="505"/>
      <c r="F36" s="505"/>
      <c r="G36" s="505"/>
      <c r="H36" s="505"/>
      <c r="I36" s="505"/>
      <c r="J36" s="505"/>
    </row>
    <row r="37" spans="1:10" ht="13.5" thickBot="1" x14ac:dyDescent="0.25">
      <c r="A37" s="505"/>
      <c r="B37" s="505"/>
      <c r="C37" s="505"/>
      <c r="D37" s="505"/>
      <c r="E37" s="505"/>
      <c r="F37" s="505"/>
      <c r="G37" s="505"/>
      <c r="H37" s="505"/>
      <c r="I37" s="505"/>
      <c r="J37" s="505"/>
    </row>
    <row r="38" spans="1:10" ht="117" customHeight="1" thickBot="1" x14ac:dyDescent="0.25">
      <c r="A38" s="1085" t="s">
        <v>546</v>
      </c>
      <c r="B38" s="1086"/>
      <c r="C38" s="1086"/>
      <c r="D38" s="1086"/>
      <c r="E38" s="1086"/>
      <c r="F38" s="1086"/>
      <c r="G38" s="1086"/>
      <c r="H38" s="1086"/>
      <c r="I38" s="1087"/>
      <c r="J38" s="505"/>
    </row>
    <row r="39" spans="1:10" ht="13.9" customHeight="1" x14ac:dyDescent="0.2">
      <c r="A39" s="88"/>
      <c r="B39" s="88"/>
      <c r="C39" s="88"/>
      <c r="D39" s="88"/>
      <c r="E39" s="88"/>
      <c r="F39" s="88"/>
      <c r="G39" s="88"/>
      <c r="H39" s="88"/>
      <c r="I39" s="88"/>
      <c r="J39" s="422"/>
    </row>
  </sheetData>
  <customSheetViews>
    <customSheetView guid="{E0C60316-4586-4AAF-92CB-FA82BB1EB755}" topLeftCell="A7">
      <selection sqref="A1:I1"/>
      <pageMargins left="0" right="0" top="0" bottom="0" header="0" footer="0"/>
      <printOptions horizontalCentered="1"/>
      <pageSetup firstPageNumber="113" fitToHeight="0" orientation="portrait" useFirstPageNumber="1" r:id="rId1"/>
      <headerFooter alignWithMargins="0"/>
    </customSheetView>
    <customSheetView guid="{A8748736-0722-49EB-85B6-C9B52DDCFE0E}" showPageBreaks="1" printArea="1">
      <selection activeCell="I35" sqref="I35"/>
      <pageMargins left="0.75" right="0.75" top="1" bottom="1" header="0.5" footer="0.5"/>
      <printOptions horizontalCentered="1"/>
      <pageSetup firstPageNumber="113" fitToHeight="0" orientation="portrait" useFirstPageNumber="1" r:id="rId2"/>
      <headerFooter alignWithMargins="0"/>
    </customSheetView>
  </customSheetViews>
  <mergeCells count="3">
    <mergeCell ref="A1:I1"/>
    <mergeCell ref="A38:I38"/>
    <mergeCell ref="A5:I5"/>
  </mergeCells>
  <printOptions horizontalCentered="1"/>
  <pageMargins left="0.75" right="0.75" top="1" bottom="1" header="0.5" footer="0.5"/>
  <pageSetup firstPageNumber="113" fitToHeight="0" orientation="portrait" useFirstPageNumber="1" r:id="rId3"/>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36C3E-4BA4-4E34-9539-C3356929A465}">
  <sheetPr>
    <tabColor rgb="FF92D050"/>
    <pageSetUpPr fitToPage="1"/>
  </sheetPr>
  <dimension ref="A1:N31"/>
  <sheetViews>
    <sheetView workbookViewId="0">
      <selection activeCell="F7" sqref="F7"/>
    </sheetView>
  </sheetViews>
  <sheetFormatPr defaultRowHeight="12.75" x14ac:dyDescent="0.2"/>
  <cols>
    <col min="1" max="1" width="2.28515625" style="63" customWidth="1"/>
    <col min="2" max="3" width="2.42578125" style="63" customWidth="1"/>
    <col min="4" max="4" width="1.42578125" style="63" customWidth="1"/>
    <col min="5" max="5" width="28.7109375" style="63" customWidth="1"/>
    <col min="6" max="6" width="13" style="63" customWidth="1"/>
    <col min="7" max="7" width="1.7109375" style="63" customWidth="1"/>
    <col min="8" max="8" width="13" style="63" customWidth="1"/>
    <col min="9" max="9" width="1.7109375" style="63" customWidth="1"/>
    <col min="10" max="10" width="13" style="63" customWidth="1"/>
    <col min="11" max="11" width="1.7109375" style="63" customWidth="1"/>
    <col min="12" max="12" width="13" style="63" customWidth="1"/>
    <col min="13" max="13" width="1.7109375" style="63" customWidth="1"/>
    <col min="14" max="14" width="13" style="63" customWidth="1"/>
  </cols>
  <sheetData>
    <row r="1" spans="1:14" x14ac:dyDescent="0.2">
      <c r="A1" s="83" t="s">
        <v>0</v>
      </c>
      <c r="B1" s="509"/>
      <c r="C1" s="509"/>
      <c r="D1" s="509"/>
      <c r="E1" s="509"/>
      <c r="F1" s="509"/>
      <c r="G1" s="509"/>
      <c r="H1" s="509"/>
      <c r="I1" s="509"/>
      <c r="J1" s="509"/>
      <c r="K1" s="509"/>
      <c r="L1" s="509"/>
      <c r="M1" s="509"/>
      <c r="N1" s="509"/>
    </row>
    <row r="2" spans="1:14" x14ac:dyDescent="0.2">
      <c r="A2" s="83" t="s">
        <v>1185</v>
      </c>
      <c r="B2" s="509"/>
      <c r="C2" s="509"/>
      <c r="D2" s="509"/>
      <c r="E2" s="509"/>
      <c r="F2" s="936"/>
      <c r="G2" s="936"/>
      <c r="H2" s="936"/>
      <c r="I2" s="936"/>
      <c r="J2" s="936"/>
      <c r="K2" s="509"/>
      <c r="L2" s="509"/>
      <c r="M2" s="509"/>
      <c r="N2" s="509"/>
    </row>
    <row r="3" spans="1:14" x14ac:dyDescent="0.2">
      <c r="A3" s="83" t="s">
        <v>397</v>
      </c>
      <c r="B3" s="509"/>
      <c r="C3" s="509"/>
      <c r="D3" s="509"/>
      <c r="E3" s="509"/>
      <c r="F3" s="509"/>
      <c r="G3" s="509"/>
      <c r="H3" s="509"/>
      <c r="I3" s="509"/>
      <c r="J3" s="509"/>
      <c r="K3" s="509"/>
      <c r="L3" s="509"/>
      <c r="M3" s="509"/>
      <c r="N3" s="509"/>
    </row>
    <row r="4" spans="1:14" x14ac:dyDescent="0.2">
      <c r="A4" s="83" t="s">
        <v>398</v>
      </c>
      <c r="B4" s="509"/>
      <c r="C4" s="509"/>
      <c r="D4" s="509"/>
      <c r="E4" s="509"/>
      <c r="F4" s="509"/>
      <c r="G4" s="509"/>
      <c r="H4" s="509"/>
      <c r="I4" s="509"/>
      <c r="J4" s="509"/>
      <c r="K4" s="509"/>
      <c r="L4" s="509"/>
      <c r="M4" s="509"/>
      <c r="N4" s="509"/>
    </row>
    <row r="5" spans="1:14" x14ac:dyDescent="0.2">
      <c r="A5" s="505"/>
      <c r="B5" s="505"/>
      <c r="C5" s="505"/>
      <c r="D5" s="505"/>
      <c r="E5" s="1018" t="str">
        <f>'SR-BA7 (Opioid)Multi Yr'!A5</f>
        <v>From Inception and for the Fiscal Year Ended June 30, 2025</v>
      </c>
      <c r="F5" s="1019"/>
      <c r="G5" s="1019"/>
      <c r="H5" s="1019"/>
      <c r="I5" s="1019"/>
      <c r="J5" s="1019"/>
      <c r="K5" s="1019"/>
      <c r="L5" s="1019"/>
      <c r="M5" s="1019"/>
      <c r="N5" s="1019"/>
    </row>
    <row r="6" spans="1:14" x14ac:dyDescent="0.2">
      <c r="A6" s="505"/>
      <c r="B6" s="505"/>
      <c r="C6" s="505"/>
      <c r="D6" s="505"/>
      <c r="E6" s="671"/>
      <c r="F6" s="468"/>
      <c r="G6" s="468"/>
      <c r="H6" s="468"/>
      <c r="I6" s="468"/>
      <c r="J6" s="468"/>
      <c r="K6" s="468"/>
      <c r="L6" s="468"/>
      <c r="M6" s="468"/>
      <c r="N6" s="468"/>
    </row>
    <row r="7" spans="1:14" x14ac:dyDescent="0.2">
      <c r="A7" s="505"/>
      <c r="B7" s="505"/>
      <c r="C7" s="505"/>
      <c r="D7" s="505"/>
      <c r="E7" s="468"/>
      <c r="F7" s="468"/>
      <c r="G7" s="468"/>
      <c r="H7" s="468"/>
      <c r="I7" s="468"/>
      <c r="J7" s="468"/>
      <c r="K7" s="468"/>
      <c r="L7" s="468"/>
      <c r="M7" s="468"/>
      <c r="N7" s="468"/>
    </row>
    <row r="8" spans="1:14" ht="13.5" thickBot="1" x14ac:dyDescent="0.25">
      <c r="A8" s="510"/>
      <c r="B8" s="510"/>
      <c r="C8" s="510"/>
      <c r="D8" s="510"/>
      <c r="E8" s="510"/>
      <c r="F8" s="510"/>
      <c r="G8" s="510"/>
      <c r="H8" s="510"/>
      <c r="I8" s="510"/>
      <c r="J8" s="510"/>
      <c r="K8" s="510"/>
      <c r="L8" s="510"/>
      <c r="M8" s="510"/>
      <c r="N8" s="511"/>
    </row>
    <row r="9" spans="1:14" x14ac:dyDescent="0.2">
      <c r="A9" s="505"/>
      <c r="B9" s="505"/>
      <c r="C9" s="505"/>
      <c r="D9" s="505"/>
      <c r="E9" s="505"/>
      <c r="F9" s="512"/>
      <c r="G9" s="505"/>
      <c r="H9" s="1020" t="s">
        <v>191</v>
      </c>
      <c r="I9" s="1020"/>
      <c r="J9" s="1020"/>
      <c r="K9" s="1020"/>
      <c r="L9" s="1020"/>
      <c r="M9" s="505"/>
      <c r="N9" s="497" t="s">
        <v>187</v>
      </c>
    </row>
    <row r="10" spans="1:14" x14ac:dyDescent="0.2">
      <c r="A10" s="505"/>
      <c r="B10" s="505"/>
      <c r="C10" s="505"/>
      <c r="D10" s="505"/>
      <c r="E10" s="505"/>
      <c r="F10" s="574" t="s">
        <v>622</v>
      </c>
      <c r="G10" s="505"/>
      <c r="H10" s="497" t="s">
        <v>602</v>
      </c>
      <c r="I10" s="505"/>
      <c r="J10" s="497" t="s">
        <v>603</v>
      </c>
      <c r="K10" s="505"/>
      <c r="L10" s="497" t="s">
        <v>604</v>
      </c>
      <c r="M10" s="505"/>
      <c r="N10" s="801" t="s">
        <v>1053</v>
      </c>
    </row>
    <row r="11" spans="1:14" x14ac:dyDescent="0.2">
      <c r="A11" s="505"/>
      <c r="B11" s="505"/>
      <c r="C11" s="505"/>
      <c r="D11" s="505"/>
      <c r="E11" s="505"/>
      <c r="F11" t="s">
        <v>915</v>
      </c>
      <c r="G11" s="505"/>
      <c r="H11" s="513" t="s">
        <v>605</v>
      </c>
      <c r="I11" s="505"/>
      <c r="J11" s="513" t="s">
        <v>606</v>
      </c>
      <c r="K11" s="505"/>
      <c r="L11" s="513" t="s">
        <v>607</v>
      </c>
      <c r="M11" s="505"/>
      <c r="N11" s="802" t="s">
        <v>1054</v>
      </c>
    </row>
    <row r="12" spans="1:14" x14ac:dyDescent="0.2">
      <c r="A12" s="85" t="s">
        <v>192</v>
      </c>
      <c r="B12" s="505"/>
      <c r="C12" s="505"/>
      <c r="D12" s="505"/>
      <c r="E12" s="505"/>
      <c r="F12" s="505"/>
      <c r="G12" s="505"/>
      <c r="H12" s="505"/>
      <c r="I12" s="505"/>
      <c r="J12" s="505"/>
      <c r="K12" s="505"/>
      <c r="L12" s="505"/>
      <c r="M12" s="505"/>
      <c r="N12" s="505"/>
    </row>
    <row r="13" spans="1:14" x14ac:dyDescent="0.2">
      <c r="A13" s="85"/>
      <c r="B13" s="940" t="s">
        <v>1014</v>
      </c>
      <c r="C13" s="940"/>
      <c r="D13" s="940"/>
      <c r="E13" s="940"/>
      <c r="F13" s="505"/>
      <c r="G13" s="505"/>
      <c r="H13" s="505"/>
      <c r="I13" s="505"/>
      <c r="J13" s="505"/>
      <c r="K13" s="505"/>
      <c r="L13" s="505"/>
      <c r="M13" s="505"/>
      <c r="N13" s="505"/>
    </row>
    <row r="14" spans="1:14" x14ac:dyDescent="0.2">
      <c r="A14" s="505"/>
      <c r="C14" s="940" t="s">
        <v>1012</v>
      </c>
      <c r="D14" s="940"/>
      <c r="E14" s="940"/>
      <c r="F14" s="698">
        <v>4200000</v>
      </c>
      <c r="G14" s="699"/>
      <c r="H14" s="698">
        <v>1940000</v>
      </c>
      <c r="I14" s="700"/>
      <c r="J14" s="698">
        <v>2260000</v>
      </c>
      <c r="K14" s="700"/>
      <c r="L14" s="698">
        <f>SUM(H14:J14)</f>
        <v>4200000</v>
      </c>
      <c r="M14" s="515"/>
      <c r="N14" s="575">
        <f>L14-F14</f>
        <v>0</v>
      </c>
    </row>
    <row r="15" spans="1:14" x14ac:dyDescent="0.2">
      <c r="A15" s="505"/>
      <c r="B15" s="505"/>
      <c r="C15" s="505"/>
      <c r="D15" s="505" t="s">
        <v>150</v>
      </c>
      <c r="E15" s="505"/>
      <c r="F15" s="520">
        <f>+F14</f>
        <v>4200000</v>
      </c>
      <c r="G15" s="506"/>
      <c r="H15" s="520">
        <f>+H14</f>
        <v>1940000</v>
      </c>
      <c r="I15" s="506"/>
      <c r="J15" s="520">
        <f>+J14</f>
        <v>2260000</v>
      </c>
      <c r="K15" s="506"/>
      <c r="L15" s="520">
        <f>+L14</f>
        <v>4200000</v>
      </c>
      <c r="M15" s="506"/>
      <c r="N15" s="520">
        <f>+N14</f>
        <v>0</v>
      </c>
    </row>
    <row r="16" spans="1:14" x14ac:dyDescent="0.2">
      <c r="A16" s="505"/>
      <c r="B16" s="505"/>
      <c r="C16" s="505"/>
      <c r="D16" s="505"/>
      <c r="E16" s="505"/>
      <c r="F16" s="505"/>
      <c r="G16" s="505"/>
      <c r="H16" s="519"/>
      <c r="I16" s="517"/>
      <c r="J16" s="519"/>
      <c r="K16" s="517"/>
      <c r="L16" s="519"/>
      <c r="M16" s="517"/>
      <c r="N16" s="519"/>
    </row>
    <row r="17" spans="1:14" x14ac:dyDescent="0.2">
      <c r="A17" s="85" t="s">
        <v>439</v>
      </c>
      <c r="B17" s="505"/>
      <c r="C17" s="505"/>
      <c r="D17" s="505"/>
      <c r="E17" s="505"/>
      <c r="F17" s="505"/>
      <c r="G17" s="505"/>
      <c r="H17" s="519"/>
      <c r="I17" s="517"/>
      <c r="J17" s="519"/>
      <c r="K17" s="517"/>
      <c r="L17" s="519"/>
      <c r="M17" s="517"/>
      <c r="N17" s="519"/>
    </row>
    <row r="18" spans="1:14" x14ac:dyDescent="0.2">
      <c r="A18" s="505"/>
      <c r="B18" s="505" t="s">
        <v>1013</v>
      </c>
      <c r="C18" s="505"/>
      <c r="D18" s="505"/>
      <c r="E18" s="505"/>
      <c r="F18" s="505"/>
      <c r="G18" s="505"/>
      <c r="H18" s="505"/>
      <c r="I18" s="517"/>
      <c r="J18" s="505"/>
      <c r="K18" s="517"/>
      <c r="L18" s="505"/>
      <c r="M18" s="517"/>
      <c r="N18" s="505"/>
    </row>
    <row r="19" spans="1:14" x14ac:dyDescent="0.2">
      <c r="A19" s="505"/>
      <c r="B19" s="505"/>
      <c r="C19" s="505" t="s">
        <v>443</v>
      </c>
      <c r="D19" s="145"/>
      <c r="E19" s="145"/>
      <c r="F19" s="701">
        <f>4200000-440000-1500000</f>
        <v>2260000</v>
      </c>
      <c r="G19" s="505"/>
      <c r="H19" s="519">
        <v>0</v>
      </c>
      <c r="I19" s="517"/>
      <c r="J19" s="519">
        <v>2260000</v>
      </c>
      <c r="K19" s="517"/>
      <c r="L19" s="519">
        <f>SUM(H19:J19)</f>
        <v>2260000</v>
      </c>
      <c r="M19" s="517"/>
      <c r="N19" s="519">
        <f>F19-L19</f>
        <v>0</v>
      </c>
    </row>
    <row r="20" spans="1:14" x14ac:dyDescent="0.2">
      <c r="A20" s="505"/>
      <c r="B20" s="505"/>
      <c r="D20" s="145"/>
      <c r="E20" s="505" t="s">
        <v>6</v>
      </c>
      <c r="F20" s="521">
        <f>SUM(F19)</f>
        <v>2260000</v>
      </c>
      <c r="G20" s="505"/>
      <c r="H20" s="521">
        <f>SUM(H19)</f>
        <v>0</v>
      </c>
      <c r="I20" s="517"/>
      <c r="J20" s="521">
        <f>SUM(J19)</f>
        <v>2260000</v>
      </c>
      <c r="K20" s="517"/>
      <c r="L20" s="521">
        <f>SUM(L19)</f>
        <v>2260000</v>
      </c>
      <c r="M20" s="517"/>
      <c r="N20" s="521">
        <f>SUM(N19)</f>
        <v>0</v>
      </c>
    </row>
    <row r="21" spans="1:14" x14ac:dyDescent="0.2">
      <c r="A21" s="505"/>
      <c r="B21" s="505"/>
      <c r="D21" s="145"/>
      <c r="E21" s="145"/>
      <c r="F21" s="519"/>
      <c r="G21" s="505"/>
      <c r="H21" s="519"/>
      <c r="I21" s="517"/>
      <c r="J21" s="519"/>
      <c r="K21" s="517"/>
      <c r="L21" s="519"/>
      <c r="M21" s="517"/>
      <c r="N21" s="519"/>
    </row>
    <row r="22" spans="1:14" ht="12.75" customHeight="1" x14ac:dyDescent="0.2">
      <c r="A22" s="85" t="s">
        <v>655</v>
      </c>
      <c r="D22" s="145"/>
      <c r="E22" s="145"/>
      <c r="F22" s="517"/>
      <c r="G22" s="505"/>
      <c r="H22" s="517"/>
      <c r="I22" s="517"/>
      <c r="J22" s="517"/>
      <c r="K22" s="517"/>
      <c r="L22" s="517"/>
      <c r="M22" s="517"/>
      <c r="N22" s="517"/>
    </row>
    <row r="23" spans="1:14" ht="12.75" customHeight="1" x14ac:dyDescent="0.2">
      <c r="A23" s="505"/>
      <c r="B23" s="505" t="s">
        <v>534</v>
      </c>
      <c r="D23" s="145"/>
      <c r="E23" s="145"/>
      <c r="F23" s="517"/>
      <c r="G23" s="505"/>
      <c r="H23" s="517"/>
      <c r="I23" s="517"/>
      <c r="J23" s="517"/>
      <c r="K23" s="517"/>
      <c r="L23" s="517"/>
      <c r="M23" s="517"/>
      <c r="N23" s="517"/>
    </row>
    <row r="24" spans="1:14" ht="12.75" customHeight="1" x14ac:dyDescent="0.2">
      <c r="A24" s="505"/>
      <c r="B24" s="505"/>
      <c r="C24" s="505" t="s">
        <v>1015</v>
      </c>
      <c r="E24" s="145"/>
      <c r="F24" s="701">
        <f>440000+1500000</f>
        <v>1940000</v>
      </c>
      <c r="G24" s="699"/>
      <c r="H24" s="701">
        <v>440000</v>
      </c>
      <c r="I24" s="702"/>
      <c r="J24" s="701">
        <v>1500000</v>
      </c>
      <c r="K24" s="702"/>
      <c r="L24" s="701">
        <f>SUM(H24:J24)</f>
        <v>1940000</v>
      </c>
      <c r="M24" s="702"/>
      <c r="N24" s="519">
        <f>F24-L24</f>
        <v>0</v>
      </c>
    </row>
    <row r="25" spans="1:14" ht="12.75" customHeight="1" x14ac:dyDescent="0.2">
      <c r="A25" s="505"/>
      <c r="B25" s="505"/>
      <c r="D25" s="145" t="s">
        <v>199</v>
      </c>
      <c r="F25" s="521">
        <f>SUM(F24:F24)</f>
        <v>1940000</v>
      </c>
      <c r="G25" s="505"/>
      <c r="H25" s="521">
        <f>SUM(H24:H24)</f>
        <v>440000</v>
      </c>
      <c r="I25" s="517"/>
      <c r="J25" s="521">
        <f>SUM(J24:J24)</f>
        <v>1500000</v>
      </c>
      <c r="K25" s="517"/>
      <c r="L25" s="521">
        <f>SUM(L24:L24)</f>
        <v>1940000</v>
      </c>
      <c r="M25" s="517"/>
      <c r="N25" s="521">
        <f>SUM(N24:N24)</f>
        <v>0</v>
      </c>
    </row>
    <row r="26" spans="1:14" ht="12.75" customHeight="1" x14ac:dyDescent="0.2">
      <c r="A26" s="505"/>
      <c r="B26" s="505"/>
      <c r="D26" s="145"/>
      <c r="E26" s="145"/>
      <c r="F26" s="517"/>
      <c r="G26" s="505"/>
      <c r="H26" s="517"/>
      <c r="I26" s="517"/>
      <c r="J26" s="517"/>
      <c r="K26" s="517"/>
      <c r="L26" s="517"/>
      <c r="M26" s="517"/>
      <c r="N26" s="517"/>
    </row>
    <row r="27" spans="1:14" ht="13.5" thickBot="1" x14ac:dyDescent="0.25">
      <c r="A27" s="505" t="s">
        <v>173</v>
      </c>
      <c r="B27" s="505"/>
      <c r="C27" s="505"/>
      <c r="D27" s="505"/>
      <c r="E27" s="505"/>
      <c r="F27" s="522">
        <f>+F15-F20-F25</f>
        <v>0</v>
      </c>
      <c r="G27" s="515"/>
      <c r="H27" s="522">
        <f>+H15-H20-H25</f>
        <v>1500000</v>
      </c>
      <c r="I27" s="515"/>
      <c r="J27" s="515">
        <f>+J15-J20-J25</f>
        <v>-1500000</v>
      </c>
      <c r="K27" s="515"/>
      <c r="L27" s="522">
        <f>+L15-L20-L25</f>
        <v>0</v>
      </c>
      <c r="M27" s="515"/>
      <c r="N27" s="522">
        <f>+N15+N20+N25</f>
        <v>0</v>
      </c>
    </row>
    <row r="28" spans="1:14" ht="13.5" thickTop="1" x14ac:dyDescent="0.2">
      <c r="A28" s="505"/>
      <c r="B28" s="505"/>
      <c r="C28" s="505"/>
      <c r="D28" s="505"/>
      <c r="E28" s="505"/>
      <c r="F28" s="506"/>
      <c r="G28" s="505"/>
      <c r="H28" s="505"/>
      <c r="I28" s="505"/>
      <c r="J28" s="505"/>
      <c r="K28" s="505"/>
      <c r="L28" s="505"/>
      <c r="M28" s="505"/>
      <c r="N28" s="505"/>
    </row>
    <row r="29" spans="1:14" x14ac:dyDescent="0.2">
      <c r="A29" s="505" t="s">
        <v>1076</v>
      </c>
      <c r="B29" s="505"/>
      <c r="C29" s="505"/>
      <c r="D29" s="505"/>
      <c r="E29" s="505"/>
      <c r="F29" s="505"/>
      <c r="G29" s="505"/>
      <c r="H29" s="505"/>
      <c r="I29" s="505"/>
      <c r="J29" s="516">
        <v>1500000</v>
      </c>
      <c r="K29" s="505"/>
      <c r="L29" s="505"/>
      <c r="M29" s="505"/>
      <c r="N29" s="505"/>
    </row>
    <row r="30" spans="1:14" ht="13.5" thickBot="1" x14ac:dyDescent="0.25">
      <c r="A30" s="505" t="s">
        <v>1083</v>
      </c>
      <c r="B30" s="505"/>
      <c r="C30" s="505"/>
      <c r="D30" s="505"/>
      <c r="E30" s="505"/>
      <c r="F30" s="505"/>
      <c r="G30" s="505"/>
      <c r="H30" s="505"/>
      <c r="I30" s="505"/>
      <c r="J30" s="522">
        <f>J29+J27</f>
        <v>0</v>
      </c>
      <c r="K30" s="505"/>
      <c r="L30" s="505"/>
      <c r="M30" s="505"/>
      <c r="N30" s="505"/>
    </row>
    <row r="31" spans="1:14" ht="13.5" thickTop="1" x14ac:dyDescent="0.2">
      <c r="A31" s="505"/>
      <c r="B31" s="505"/>
      <c r="C31" s="505"/>
      <c r="D31" s="505"/>
      <c r="E31" s="505"/>
      <c r="F31" s="505"/>
      <c r="G31" s="505"/>
      <c r="H31" s="505"/>
      <c r="I31" s="505"/>
      <c r="J31" s="505"/>
      <c r="K31" s="505"/>
      <c r="L31" s="506"/>
      <c r="M31" s="505"/>
      <c r="N31" s="505"/>
    </row>
  </sheetData>
  <customSheetViews>
    <customSheetView guid="{A8748736-0722-49EB-85B6-C9B52DDCFE0E}">
      <selection activeCell="A6" sqref="A6"/>
      <pageMargins left="0.7" right="0.7" top="0.75" bottom="0.75" header="0.3" footer="0.3"/>
    </customSheetView>
  </customSheetViews>
  <mergeCells count="2">
    <mergeCell ref="E5:N5"/>
    <mergeCell ref="H9:L9"/>
  </mergeCells>
  <phoneticPr fontId="39" type="noConversion"/>
  <pageMargins left="0.7" right="0.7" top="0.75" bottom="0.75" header="0.3" footer="0.3"/>
  <pageSetup scale="8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17182-4087-4337-8519-4A0E76E86877}">
  <sheetPr>
    <tabColor rgb="FF92D050"/>
    <pageSetUpPr fitToPage="1"/>
  </sheetPr>
  <dimension ref="A1:P45"/>
  <sheetViews>
    <sheetView topLeftCell="A15" workbookViewId="0">
      <selection activeCell="E45" sqref="E45:L45"/>
    </sheetView>
  </sheetViews>
  <sheetFormatPr defaultRowHeight="12.75" x14ac:dyDescent="0.2"/>
  <cols>
    <col min="1" max="1" width="2.28515625" style="63" customWidth="1"/>
    <col min="2" max="3" width="2.42578125" style="63" customWidth="1"/>
    <col min="4" max="4" width="1.42578125" style="63" customWidth="1"/>
    <col min="5" max="5" width="32.5703125" style="63" customWidth="1"/>
    <col min="6" max="6" width="13.28515625" style="63" bestFit="1" customWidth="1"/>
    <col min="7" max="7" width="1.7109375" style="63" customWidth="1"/>
    <col min="8" max="8" width="10.42578125" style="63" bestFit="1" customWidth="1"/>
    <col min="9" max="9" width="1.7109375" style="63" customWidth="1"/>
    <col min="10" max="10" width="13.28515625" style="63" bestFit="1" customWidth="1"/>
  </cols>
  <sheetData>
    <row r="1" spans="1:10" x14ac:dyDescent="0.2">
      <c r="B1" s="509"/>
      <c r="C1" s="509"/>
      <c r="D1" s="509"/>
      <c r="F1" s="83" t="s">
        <v>0</v>
      </c>
      <c r="G1" s="497"/>
      <c r="H1" s="497"/>
      <c r="I1" s="497"/>
      <c r="J1" s="497"/>
    </row>
    <row r="2" spans="1:10" x14ac:dyDescent="0.2">
      <c r="B2" s="509"/>
      <c r="C2" s="509"/>
      <c r="D2" s="509"/>
      <c r="F2" s="83" t="s">
        <v>556</v>
      </c>
      <c r="G2" s="497"/>
      <c r="H2" s="497"/>
      <c r="I2" s="497"/>
      <c r="J2" s="497"/>
    </row>
    <row r="3" spans="1:10" x14ac:dyDescent="0.2">
      <c r="B3" s="509"/>
      <c r="C3" s="509"/>
      <c r="D3" s="509"/>
      <c r="F3" s="83" t="s">
        <v>397</v>
      </c>
      <c r="G3" s="497"/>
      <c r="H3" s="497"/>
      <c r="I3" s="497"/>
      <c r="J3" s="497"/>
    </row>
    <row r="4" spans="1:10" x14ac:dyDescent="0.2">
      <c r="B4" s="509"/>
      <c r="C4" s="509"/>
      <c r="D4" s="509"/>
      <c r="F4" s="83" t="s">
        <v>398</v>
      </c>
      <c r="G4" s="497"/>
      <c r="H4" s="497"/>
      <c r="I4" s="497"/>
      <c r="J4" s="497"/>
    </row>
    <row r="5" spans="1:10" x14ac:dyDescent="0.2">
      <c r="B5" s="509"/>
      <c r="C5" s="509"/>
      <c r="D5" s="509"/>
      <c r="E5" s="1094" t="str">
        <f>'GWStmtAct 68 Exh 2'!A3</f>
        <v>For the Year Ended June 30, 2025</v>
      </c>
      <c r="F5" s="1094"/>
      <c r="G5" s="1094"/>
      <c r="H5" s="1094"/>
      <c r="I5" s="1094"/>
      <c r="J5" s="1094"/>
    </row>
    <row r="6" spans="1:10" x14ac:dyDescent="0.2">
      <c r="B6" s="509"/>
      <c r="C6" s="509"/>
      <c r="D6" s="509"/>
      <c r="E6" s="670"/>
      <c r="F6" s="670"/>
      <c r="G6" s="670"/>
      <c r="H6" s="670"/>
      <c r="I6" s="670"/>
      <c r="J6" s="670"/>
    </row>
    <row r="7" spans="1:10" x14ac:dyDescent="0.2">
      <c r="A7" s="505"/>
      <c r="B7" s="505"/>
      <c r="C7" s="505"/>
      <c r="D7" s="505"/>
      <c r="E7" s="505" t="s">
        <v>112</v>
      </c>
      <c r="F7" s="505"/>
      <c r="G7" s="505"/>
      <c r="H7" s="505"/>
      <c r="I7" s="505"/>
      <c r="J7" s="497"/>
    </row>
    <row r="8" spans="1:10" ht="13.5" thickBot="1" x14ac:dyDescent="0.25">
      <c r="A8" s="510"/>
      <c r="B8" s="510"/>
      <c r="C8" s="510"/>
      <c r="D8" s="510"/>
      <c r="E8" s="510"/>
      <c r="F8" s="510"/>
      <c r="G8" s="510"/>
      <c r="H8" s="510"/>
      <c r="I8" s="510"/>
      <c r="J8" s="511"/>
    </row>
    <row r="9" spans="1:10" x14ac:dyDescent="0.2">
      <c r="A9" s="505"/>
      <c r="B9" s="505"/>
      <c r="C9" s="505"/>
      <c r="D9" s="505"/>
      <c r="E9" s="505"/>
      <c r="F9" s="505"/>
      <c r="G9" s="505"/>
      <c r="I9" s="505"/>
      <c r="J9" s="497" t="s">
        <v>187</v>
      </c>
    </row>
    <row r="10" spans="1:10" x14ac:dyDescent="0.2">
      <c r="A10" s="505"/>
      <c r="B10" s="505"/>
      <c r="C10" s="505"/>
      <c r="D10" s="505"/>
      <c r="E10" s="505"/>
      <c r="F10" s="574" t="s">
        <v>189</v>
      </c>
      <c r="G10" s="505"/>
      <c r="H10" s="497"/>
      <c r="I10" s="505"/>
      <c r="J10" s="801" t="s">
        <v>1053</v>
      </c>
    </row>
    <row r="11" spans="1:10" x14ac:dyDescent="0.2">
      <c r="A11" s="505"/>
      <c r="B11" s="505"/>
      <c r="C11" s="505"/>
      <c r="D11" s="505"/>
      <c r="E11" s="505"/>
      <c r="F11" s="602" t="s">
        <v>190</v>
      </c>
      <c r="G11" s="505"/>
      <c r="H11" s="513" t="s">
        <v>191</v>
      </c>
      <c r="I11" s="505"/>
      <c r="J11" s="802" t="s">
        <v>1054</v>
      </c>
    </row>
    <row r="12" spans="1:10" x14ac:dyDescent="0.2">
      <c r="A12" s="85" t="s">
        <v>192</v>
      </c>
      <c r="B12" s="505"/>
      <c r="C12" s="505"/>
      <c r="D12" s="505"/>
      <c r="E12" s="505"/>
      <c r="F12" s="505"/>
      <c r="G12" s="505"/>
      <c r="H12" s="505"/>
      <c r="I12" s="505"/>
      <c r="J12" s="505"/>
    </row>
    <row r="13" spans="1:10" x14ac:dyDescent="0.2">
      <c r="A13" s="505"/>
      <c r="B13" s="505" t="s">
        <v>1016</v>
      </c>
      <c r="C13" s="505"/>
      <c r="D13" s="505"/>
      <c r="E13" s="505"/>
      <c r="F13" s="505"/>
      <c r="G13" s="505"/>
      <c r="H13" s="505"/>
      <c r="I13" s="505"/>
      <c r="J13" s="505"/>
    </row>
    <row r="14" spans="1:10" x14ac:dyDescent="0.2">
      <c r="A14" s="505"/>
      <c r="C14" s="505" t="s">
        <v>955</v>
      </c>
      <c r="D14" s="505"/>
      <c r="E14" s="505"/>
      <c r="F14" s="698">
        <v>540000</v>
      </c>
      <c r="G14" s="699"/>
      <c r="H14" s="698">
        <v>540000</v>
      </c>
      <c r="I14" s="515"/>
      <c r="J14" s="575">
        <f>H14-F14</f>
        <v>0</v>
      </c>
    </row>
    <row r="15" spans="1:10" x14ac:dyDescent="0.2">
      <c r="A15" s="505"/>
      <c r="B15" s="505"/>
      <c r="C15" s="505"/>
      <c r="E15" s="505" t="s">
        <v>150</v>
      </c>
      <c r="F15" s="705">
        <f>+F14</f>
        <v>540000</v>
      </c>
      <c r="G15" s="704"/>
      <c r="H15" s="705">
        <f>+H14</f>
        <v>540000</v>
      </c>
      <c r="I15" s="506"/>
      <c r="J15" s="520">
        <f>+J14</f>
        <v>0</v>
      </c>
    </row>
    <row r="16" spans="1:10" x14ac:dyDescent="0.2">
      <c r="A16" s="505"/>
      <c r="B16" s="505"/>
      <c r="C16" s="505"/>
      <c r="D16" s="505"/>
      <c r="E16" s="505"/>
      <c r="F16" s="699"/>
      <c r="G16" s="699"/>
      <c r="H16" s="701"/>
      <c r="I16" s="517"/>
      <c r="J16" s="519"/>
    </row>
    <row r="17" spans="1:10" x14ac:dyDescent="0.2">
      <c r="A17" s="85" t="s">
        <v>439</v>
      </c>
      <c r="B17" s="505"/>
      <c r="C17" s="505"/>
      <c r="D17" s="505"/>
      <c r="E17" s="505"/>
      <c r="F17" s="699"/>
      <c r="G17" s="699"/>
      <c r="H17" s="701"/>
      <c r="I17" s="517"/>
      <c r="J17" s="519"/>
    </row>
    <row r="18" spans="1:10" x14ac:dyDescent="0.2">
      <c r="A18" s="505"/>
      <c r="B18" s="505" t="s">
        <v>485</v>
      </c>
      <c r="D18" s="145"/>
      <c r="E18" s="147"/>
      <c r="F18" s="699"/>
      <c r="G18" s="699"/>
      <c r="H18" s="701"/>
      <c r="I18" s="517"/>
      <c r="J18" s="519"/>
    </row>
    <row r="19" spans="1:10" x14ac:dyDescent="0.2">
      <c r="A19" s="505"/>
      <c r="B19" s="505"/>
      <c r="C19" s="505" t="s">
        <v>1017</v>
      </c>
      <c r="D19" s="145"/>
      <c r="E19" s="147"/>
      <c r="F19" s="699"/>
      <c r="G19" s="699"/>
      <c r="H19" s="701"/>
      <c r="I19" s="517"/>
      <c r="J19" s="519"/>
    </row>
    <row r="20" spans="1:10" x14ac:dyDescent="0.2">
      <c r="A20" s="505"/>
      <c r="B20" s="505"/>
      <c r="D20" s="505" t="s">
        <v>588</v>
      </c>
      <c r="E20" s="147"/>
      <c r="F20" s="701">
        <v>0</v>
      </c>
      <c r="G20" s="699"/>
      <c r="H20" s="701">
        <v>0</v>
      </c>
      <c r="I20" s="517"/>
      <c r="J20" s="519">
        <f>+F20-H20</f>
        <v>0</v>
      </c>
    </row>
    <row r="21" spans="1:10" x14ac:dyDescent="0.2">
      <c r="A21" s="505"/>
      <c r="B21" s="505"/>
      <c r="D21" s="505" t="s">
        <v>589</v>
      </c>
      <c r="E21" s="147"/>
      <c r="F21" s="701">
        <v>190000</v>
      </c>
      <c r="G21" s="699"/>
      <c r="H21" s="701">
        <v>150000</v>
      </c>
      <c r="I21" s="517"/>
      <c r="J21" s="519">
        <f t="shared" ref="J21:J31" si="0">+F21-H21</f>
        <v>40000</v>
      </c>
    </row>
    <row r="22" spans="1:10" x14ac:dyDescent="0.2">
      <c r="A22" s="505"/>
      <c r="B22" s="505"/>
      <c r="D22" s="505" t="s">
        <v>590</v>
      </c>
      <c r="E22" s="147"/>
      <c r="F22" s="701">
        <v>200000</v>
      </c>
      <c r="G22" s="699"/>
      <c r="H22" s="701">
        <v>200000</v>
      </c>
      <c r="I22" s="517"/>
      <c r="J22" s="519">
        <f t="shared" si="0"/>
        <v>0</v>
      </c>
    </row>
    <row r="23" spans="1:10" x14ac:dyDescent="0.2">
      <c r="A23" s="505"/>
      <c r="B23" s="505"/>
      <c r="D23" s="505" t="s">
        <v>591</v>
      </c>
      <c r="E23" s="147"/>
      <c r="F23" s="701">
        <v>0</v>
      </c>
      <c r="G23" s="699"/>
      <c r="H23" s="701">
        <v>0</v>
      </c>
      <c r="I23" s="517"/>
      <c r="J23" s="519">
        <f t="shared" si="0"/>
        <v>0</v>
      </c>
    </row>
    <row r="24" spans="1:10" x14ac:dyDescent="0.2">
      <c r="A24" s="505"/>
      <c r="B24" s="505"/>
      <c r="D24" s="505" t="s">
        <v>592</v>
      </c>
      <c r="E24" s="147"/>
      <c r="F24" s="701">
        <v>0</v>
      </c>
      <c r="G24" s="699"/>
      <c r="H24" s="701">
        <v>0</v>
      </c>
      <c r="I24" s="517"/>
      <c r="J24" s="519">
        <f t="shared" si="0"/>
        <v>0</v>
      </c>
    </row>
    <row r="25" spans="1:10" x14ac:dyDescent="0.2">
      <c r="A25" s="505"/>
      <c r="B25" s="505"/>
      <c r="D25" s="505" t="s">
        <v>593</v>
      </c>
      <c r="E25" s="147"/>
      <c r="F25" s="701">
        <v>100000</v>
      </c>
      <c r="G25" s="699"/>
      <c r="H25" s="701">
        <v>100000</v>
      </c>
      <c r="I25" s="517"/>
      <c r="J25" s="519">
        <f t="shared" si="0"/>
        <v>0</v>
      </c>
    </row>
    <row r="26" spans="1:10" x14ac:dyDescent="0.2">
      <c r="A26" s="505"/>
      <c r="B26" s="505"/>
      <c r="D26" s="505" t="s">
        <v>594</v>
      </c>
      <c r="E26" s="147"/>
      <c r="F26" s="701">
        <v>0</v>
      </c>
      <c r="G26" s="699"/>
      <c r="H26" s="701">
        <v>0</v>
      </c>
      <c r="I26" s="517"/>
      <c r="J26" s="519">
        <f t="shared" si="0"/>
        <v>0</v>
      </c>
    </row>
    <row r="27" spans="1:10" x14ac:dyDescent="0.2">
      <c r="A27" s="505"/>
      <c r="B27" s="505"/>
      <c r="D27" s="505" t="s">
        <v>595</v>
      </c>
      <c r="E27" s="147"/>
      <c r="F27" s="701">
        <v>0</v>
      </c>
      <c r="G27" s="699"/>
      <c r="H27" s="701">
        <v>0</v>
      </c>
      <c r="I27" s="517"/>
      <c r="J27" s="519">
        <f t="shared" si="0"/>
        <v>0</v>
      </c>
    </row>
    <row r="28" spans="1:10" x14ac:dyDescent="0.2">
      <c r="A28" s="505"/>
      <c r="B28" s="505"/>
      <c r="D28" s="505" t="s">
        <v>596</v>
      </c>
      <c r="E28" s="147"/>
      <c r="F28" s="701">
        <v>0</v>
      </c>
      <c r="G28" s="699"/>
      <c r="H28" s="701">
        <v>0</v>
      </c>
      <c r="I28" s="517"/>
      <c r="J28" s="519">
        <f t="shared" si="0"/>
        <v>0</v>
      </c>
    </row>
    <row r="29" spans="1:10" x14ac:dyDescent="0.2">
      <c r="A29" s="505"/>
      <c r="B29" s="505"/>
      <c r="D29" s="505" t="s">
        <v>597</v>
      </c>
      <c r="E29" s="147"/>
      <c r="F29" s="701">
        <v>0</v>
      </c>
      <c r="G29" s="699"/>
      <c r="H29" s="701">
        <v>0</v>
      </c>
      <c r="I29" s="517"/>
      <c r="J29" s="519">
        <f t="shared" si="0"/>
        <v>0</v>
      </c>
    </row>
    <row r="30" spans="1:10" ht="24.75" customHeight="1" x14ac:dyDescent="0.2">
      <c r="A30" s="505"/>
      <c r="B30" s="505"/>
      <c r="D30" s="1095" t="s">
        <v>598</v>
      </c>
      <c r="E30" s="1095"/>
      <c r="F30" s="701">
        <v>0</v>
      </c>
      <c r="G30" s="699"/>
      <c r="H30" s="701">
        <v>0</v>
      </c>
      <c r="I30" s="517"/>
      <c r="J30" s="519">
        <f t="shared" si="0"/>
        <v>0</v>
      </c>
    </row>
    <row r="31" spans="1:10" x14ac:dyDescent="0.2">
      <c r="A31" s="505"/>
      <c r="B31" s="505"/>
      <c r="C31" s="147"/>
      <c r="D31" s="505" t="s">
        <v>599</v>
      </c>
      <c r="E31" s="505"/>
      <c r="F31" s="706">
        <v>50000</v>
      </c>
      <c r="G31" s="699"/>
      <c r="H31" s="706">
        <v>50000</v>
      </c>
      <c r="I31" s="517"/>
      <c r="J31" s="519">
        <f t="shared" si="0"/>
        <v>0</v>
      </c>
    </row>
    <row r="32" spans="1:10" x14ac:dyDescent="0.2">
      <c r="A32" s="505"/>
      <c r="B32" s="505"/>
      <c r="C32" s="505"/>
      <c r="D32" s="505"/>
      <c r="E32" s="161" t="s">
        <v>162</v>
      </c>
      <c r="F32" s="705">
        <f>SUM(F20:F31)</f>
        <v>540000</v>
      </c>
      <c r="G32" s="704"/>
      <c r="H32" s="705">
        <f>SUM(H20:H31)</f>
        <v>500000</v>
      </c>
      <c r="I32" s="506"/>
      <c r="J32" s="590">
        <f>SUM(J20:J31)</f>
        <v>40000</v>
      </c>
    </row>
    <row r="33" spans="1:16" x14ac:dyDescent="0.2">
      <c r="A33" s="161"/>
      <c r="B33" s="161"/>
      <c r="C33" s="161"/>
      <c r="D33" s="161"/>
      <c r="E33" s="161"/>
      <c r="F33" s="707"/>
      <c r="G33" s="707"/>
      <c r="H33" s="707"/>
      <c r="I33" s="161"/>
      <c r="J33" s="161"/>
      <c r="K33" s="26"/>
      <c r="L33" s="26"/>
      <c r="M33" s="26"/>
      <c r="N33" s="26"/>
      <c r="O33" s="26"/>
      <c r="P33" s="26"/>
    </row>
    <row r="34" spans="1:16" ht="13.5" thickBot="1" x14ac:dyDescent="0.25">
      <c r="A34" s="633" t="s">
        <v>173</v>
      </c>
      <c r="B34" s="505"/>
      <c r="C34" s="505"/>
      <c r="D34" s="505"/>
      <c r="E34" s="505"/>
      <c r="F34" s="708">
        <f>+F15-F32</f>
        <v>0</v>
      </c>
      <c r="G34" s="700"/>
      <c r="H34" s="709">
        <f>+H15-H32</f>
        <v>40000</v>
      </c>
      <c r="I34" s="515"/>
      <c r="J34" s="522">
        <f>+J32+J15</f>
        <v>40000</v>
      </c>
    </row>
    <row r="35" spans="1:16" ht="13.5" thickTop="1" x14ac:dyDescent="0.2">
      <c r="A35" s="505"/>
      <c r="B35" s="505"/>
      <c r="C35" s="505"/>
      <c r="D35" s="505"/>
      <c r="E35" s="505"/>
      <c r="F35" s="700"/>
      <c r="G35" s="700"/>
      <c r="H35" s="700"/>
      <c r="I35" s="515"/>
      <c r="J35" s="515"/>
    </row>
    <row r="36" spans="1:16" hidden="1" x14ac:dyDescent="0.2">
      <c r="A36" s="607" t="s">
        <v>585</v>
      </c>
      <c r="B36" s="607"/>
      <c r="C36" s="608"/>
      <c r="D36" s="608"/>
      <c r="E36" s="609"/>
      <c r="F36" s="710"/>
      <c r="G36" s="711">
        <v>0</v>
      </c>
      <c r="H36" s="702">
        <v>0</v>
      </c>
      <c r="I36" s="515"/>
      <c r="J36" s="515"/>
    </row>
    <row r="37" spans="1:16" hidden="1" x14ac:dyDescent="0.2">
      <c r="A37" s="147"/>
      <c r="B37" s="607" t="s">
        <v>175</v>
      </c>
      <c r="C37" s="608"/>
      <c r="D37" s="608"/>
      <c r="E37" s="609"/>
      <c r="F37" s="710"/>
      <c r="G37" s="710">
        <v>3364</v>
      </c>
      <c r="H37" s="702">
        <v>290000</v>
      </c>
      <c r="I37" s="505"/>
      <c r="J37" s="505"/>
    </row>
    <row r="38" spans="1:16" x14ac:dyDescent="0.2">
      <c r="A38" s="606" t="s">
        <v>1076</v>
      </c>
      <c r="B38" s="505"/>
      <c r="C38" s="505"/>
      <c r="D38" s="505"/>
      <c r="E38" s="505"/>
      <c r="F38" s="699"/>
      <c r="G38" s="699"/>
      <c r="H38" s="712">
        <f>H36+H37</f>
        <v>290000</v>
      </c>
      <c r="I38" s="505"/>
      <c r="J38" s="505"/>
    </row>
    <row r="39" spans="1:16" ht="13.5" thickBot="1" x14ac:dyDescent="0.25">
      <c r="A39" s="606" t="s">
        <v>1083</v>
      </c>
      <c r="B39" s="505"/>
      <c r="C39" s="505"/>
      <c r="D39" s="505"/>
      <c r="E39" s="505"/>
      <c r="F39" s="699"/>
      <c r="G39" s="699"/>
      <c r="H39" s="708">
        <f>H38+H34</f>
        <v>330000</v>
      </c>
      <c r="I39" s="505"/>
      <c r="J39" s="505"/>
    </row>
    <row r="40" spans="1:16" ht="13.5" thickTop="1" x14ac:dyDescent="0.2">
      <c r="A40" s="505"/>
      <c r="B40" s="505"/>
      <c r="C40" s="505"/>
      <c r="D40" s="505"/>
      <c r="E40" s="505"/>
      <c r="F40" s="505"/>
      <c r="G40" s="505"/>
      <c r="H40" s="505"/>
      <c r="I40" s="505"/>
      <c r="J40" s="505"/>
    </row>
    <row r="42" spans="1:16" ht="13.5" thickBot="1" x14ac:dyDescent="0.25"/>
    <row r="43" spans="1:16" ht="43.5" customHeight="1" thickBot="1" x14ac:dyDescent="0.25">
      <c r="E43" s="1091" t="s">
        <v>1018</v>
      </c>
      <c r="F43" s="1092"/>
      <c r="G43" s="1092"/>
      <c r="H43" s="1092"/>
      <c r="I43" s="1092"/>
      <c r="J43" s="1092"/>
      <c r="K43" s="1092"/>
      <c r="L43" s="1093"/>
    </row>
    <row r="44" spans="1:16" ht="13.5" thickBot="1" x14ac:dyDescent="0.25"/>
    <row r="45" spans="1:16" ht="90.75" customHeight="1" thickBot="1" x14ac:dyDescent="0.25">
      <c r="E45" s="1025" t="s">
        <v>1198</v>
      </c>
      <c r="F45" s="1089"/>
      <c r="G45" s="1089"/>
      <c r="H45" s="1089"/>
      <c r="I45" s="1089"/>
      <c r="J45" s="1089"/>
      <c r="K45" s="1089"/>
      <c r="L45" s="1090"/>
    </row>
  </sheetData>
  <customSheetViews>
    <customSheetView guid="{A8748736-0722-49EB-85B6-C9B52DDCFE0E}">
      <selection activeCell="A6" sqref="A6"/>
      <pageMargins left="0.7" right="0.7" top="0.75" bottom="0.75" header="0.3" footer="0.3"/>
    </customSheetView>
  </customSheetViews>
  <mergeCells count="4">
    <mergeCell ref="E45:L45"/>
    <mergeCell ref="E43:L43"/>
    <mergeCell ref="E5:J5"/>
    <mergeCell ref="D30:E30"/>
  </mergeCells>
  <pageMargins left="0.7" right="0.7" top="0.75" bottom="0.75" header="0.3" footer="0.3"/>
  <pageSetup scale="91" orientation="portrait" r:id="rId1"/>
  <headerFooter scaleWithDoc="0"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2FA54-2158-4654-8948-17A72388E05F}">
  <sheetPr>
    <tabColor rgb="FF92D050"/>
    <pageSetUpPr fitToPage="1"/>
  </sheetPr>
  <dimension ref="A1:P43"/>
  <sheetViews>
    <sheetView topLeftCell="A20" workbookViewId="0">
      <selection activeCell="F4" sqref="F4"/>
    </sheetView>
  </sheetViews>
  <sheetFormatPr defaultRowHeight="12.75" x14ac:dyDescent="0.2"/>
  <cols>
    <col min="1" max="1" width="2.28515625" style="633" customWidth="1"/>
    <col min="2" max="3" width="2.42578125" style="633" customWidth="1"/>
    <col min="4" max="4" width="1.42578125" style="633" customWidth="1"/>
    <col min="5" max="5" width="26.5703125" style="633" customWidth="1"/>
    <col min="6" max="6" width="13.28515625" style="633" bestFit="1" customWidth="1"/>
    <col min="7" max="7" width="1.7109375" style="633" customWidth="1"/>
    <col min="8" max="8" width="11" style="633" customWidth="1"/>
    <col min="9" max="9" width="1.7109375" style="633" customWidth="1"/>
    <col min="10" max="10" width="9.85546875" style="633" bestFit="1" customWidth="1"/>
    <col min="11" max="11" width="1.7109375" style="633" customWidth="1"/>
    <col min="12" max="12" width="10.28515625" style="633" bestFit="1" customWidth="1"/>
    <col min="13" max="13" width="1.7109375" style="633" customWidth="1"/>
    <col min="14" max="14" width="13.28515625" style="633" bestFit="1" customWidth="1"/>
    <col min="15" max="15" width="7.28515625" style="633" customWidth="1"/>
    <col min="16" max="16" width="4.42578125" style="633" customWidth="1"/>
    <col min="17" max="16384" width="9.140625" style="633"/>
  </cols>
  <sheetData>
    <row r="1" spans="1:14" x14ac:dyDescent="0.2">
      <c r="A1" s="634" t="s">
        <v>0</v>
      </c>
      <c r="B1" s="635"/>
      <c r="C1" s="635"/>
      <c r="D1" s="635"/>
      <c r="E1" s="635"/>
      <c r="F1" s="635"/>
      <c r="G1" s="635"/>
      <c r="H1" s="635"/>
      <c r="I1" s="635"/>
      <c r="J1" s="635"/>
      <c r="K1" s="635"/>
      <c r="L1" s="635"/>
      <c r="M1" s="635"/>
      <c r="N1" s="635"/>
    </row>
    <row r="2" spans="1:14" x14ac:dyDescent="0.2">
      <c r="A2" s="634" t="s">
        <v>1188</v>
      </c>
      <c r="B2" s="635"/>
      <c r="C2" s="635"/>
      <c r="D2" s="635"/>
      <c r="E2" s="635"/>
      <c r="F2" s="635"/>
      <c r="G2" s="635"/>
      <c r="H2" s="635"/>
      <c r="I2" s="635"/>
      <c r="J2" s="635"/>
      <c r="K2" s="635"/>
      <c r="L2" s="635"/>
      <c r="M2" s="635"/>
      <c r="N2" s="635"/>
    </row>
    <row r="3" spans="1:14" x14ac:dyDescent="0.2">
      <c r="A3" s="634" t="s">
        <v>397</v>
      </c>
      <c r="B3" s="635"/>
      <c r="C3" s="635"/>
      <c r="D3" s="635"/>
      <c r="E3" s="635"/>
      <c r="F3" s="635"/>
      <c r="G3" s="635"/>
      <c r="H3" s="635"/>
      <c r="I3" s="635"/>
      <c r="J3" s="635"/>
      <c r="K3" s="635"/>
      <c r="L3" s="635"/>
      <c r="M3" s="635"/>
      <c r="N3" s="635"/>
    </row>
    <row r="4" spans="1:14" x14ac:dyDescent="0.2">
      <c r="A4" s="634" t="s">
        <v>398</v>
      </c>
      <c r="B4" s="635"/>
      <c r="C4" s="635"/>
      <c r="D4" s="635"/>
      <c r="E4" s="635"/>
      <c r="F4" s="635"/>
      <c r="G4" s="635"/>
      <c r="H4" s="635"/>
      <c r="I4" s="635"/>
      <c r="J4" s="635"/>
      <c r="K4" s="635"/>
      <c r="L4" s="635"/>
      <c r="M4" s="635"/>
      <c r="N4" s="635"/>
    </row>
    <row r="5" spans="1:14" x14ac:dyDescent="0.2">
      <c r="A5" s="636" t="s">
        <v>985</v>
      </c>
      <c r="B5" s="635"/>
      <c r="C5" s="635"/>
      <c r="D5" s="635"/>
      <c r="E5" s="635"/>
      <c r="F5" s="635"/>
      <c r="G5" s="635"/>
      <c r="H5" s="635"/>
      <c r="I5" s="635"/>
      <c r="J5" s="635"/>
      <c r="K5" s="635"/>
      <c r="L5" s="635"/>
      <c r="M5" s="635"/>
      <c r="N5" s="635"/>
    </row>
    <row r="6" spans="1:14" x14ac:dyDescent="0.2">
      <c r="A6" s="636"/>
      <c r="B6" s="635"/>
      <c r="C6" s="635"/>
      <c r="D6" s="635"/>
      <c r="E6" s="635"/>
      <c r="F6" s="635"/>
      <c r="G6" s="635"/>
      <c r="H6" s="635"/>
      <c r="I6" s="635"/>
      <c r="J6" s="635"/>
      <c r="K6" s="635"/>
      <c r="L6" s="635"/>
      <c r="M6" s="635"/>
      <c r="N6" s="635"/>
    </row>
    <row r="7" spans="1:14" x14ac:dyDescent="0.2">
      <c r="E7" s="633" t="s">
        <v>112</v>
      </c>
      <c r="N7" s="637"/>
    </row>
    <row r="8" spans="1:14" ht="13.5" thickBot="1" x14ac:dyDescent="0.25">
      <c r="A8" s="638"/>
      <c r="B8" s="638"/>
      <c r="C8" s="638"/>
      <c r="D8" s="638"/>
      <c r="E8" s="638"/>
      <c r="F8" s="638"/>
      <c r="G8" s="638"/>
      <c r="H8" s="638"/>
      <c r="I8" s="638"/>
      <c r="J8" s="638"/>
      <c r="K8" s="638"/>
      <c r="L8" s="638"/>
      <c r="M8" s="638"/>
      <c r="N8" s="639"/>
    </row>
    <row r="9" spans="1:14" x14ac:dyDescent="0.2">
      <c r="F9" s="640"/>
      <c r="H9" s="1096" t="s">
        <v>191</v>
      </c>
      <c r="I9" s="1096"/>
      <c r="J9" s="1096"/>
      <c r="K9" s="1096"/>
      <c r="L9" s="1096"/>
      <c r="N9" s="637"/>
    </row>
    <row r="10" spans="1:14" ht="25.5" x14ac:dyDescent="0.2">
      <c r="F10" s="641" t="s">
        <v>601</v>
      </c>
      <c r="H10" s="637" t="s">
        <v>602</v>
      </c>
      <c r="J10" s="637" t="s">
        <v>603</v>
      </c>
      <c r="L10" s="637" t="s">
        <v>604</v>
      </c>
      <c r="N10" s="811" t="s">
        <v>1073</v>
      </c>
    </row>
    <row r="11" spans="1:14" x14ac:dyDescent="0.2">
      <c r="H11" s="642" t="s">
        <v>605</v>
      </c>
      <c r="J11" s="642" t="s">
        <v>606</v>
      </c>
      <c r="L11" s="642" t="s">
        <v>607</v>
      </c>
      <c r="N11" s="812" t="s">
        <v>1054</v>
      </c>
    </row>
    <row r="12" spans="1:14" x14ac:dyDescent="0.2">
      <c r="A12" s="643" t="s">
        <v>192</v>
      </c>
    </row>
    <row r="13" spans="1:14" x14ac:dyDescent="0.2">
      <c r="A13" s="643"/>
      <c r="B13" s="633" t="s">
        <v>1016</v>
      </c>
    </row>
    <row r="14" spans="1:14" x14ac:dyDescent="0.2">
      <c r="C14" s="633" t="s">
        <v>955</v>
      </c>
      <c r="F14" s="644">
        <v>3200000</v>
      </c>
      <c r="H14" s="644">
        <v>290000</v>
      </c>
      <c r="I14" s="645"/>
      <c r="J14" s="644">
        <v>540000</v>
      </c>
      <c r="K14" s="645"/>
      <c r="L14" s="644">
        <f>SUM(H14:J14)</f>
        <v>830000</v>
      </c>
      <c r="M14" s="645"/>
      <c r="N14" s="644">
        <f>L14-F14</f>
        <v>-2370000</v>
      </c>
    </row>
    <row r="15" spans="1:14" x14ac:dyDescent="0.2">
      <c r="D15" s="633" t="s">
        <v>150</v>
      </c>
      <c r="F15" s="648">
        <f>+F14</f>
        <v>3200000</v>
      </c>
      <c r="G15" s="646"/>
      <c r="H15" s="648">
        <f>+H14</f>
        <v>290000</v>
      </c>
      <c r="I15" s="646"/>
      <c r="J15" s="648">
        <f>+J14</f>
        <v>540000</v>
      </c>
      <c r="K15" s="646"/>
      <c r="L15" s="648">
        <f>+L14</f>
        <v>830000</v>
      </c>
      <c r="M15" s="646"/>
      <c r="N15" s="648">
        <f>+N14</f>
        <v>-2370000</v>
      </c>
    </row>
    <row r="16" spans="1:14" x14ac:dyDescent="0.2">
      <c r="H16" s="649"/>
      <c r="I16" s="647"/>
      <c r="J16" s="649"/>
      <c r="K16" s="647"/>
      <c r="L16" s="649"/>
      <c r="M16" s="647"/>
      <c r="N16" s="649"/>
    </row>
    <row r="17" spans="1:14" x14ac:dyDescent="0.2">
      <c r="A17" s="643" t="s">
        <v>439</v>
      </c>
      <c r="H17" s="649"/>
      <c r="I17" s="647"/>
      <c r="J17" s="649"/>
      <c r="K17" s="647"/>
      <c r="L17" s="649"/>
      <c r="M17" s="647"/>
      <c r="N17" s="649"/>
    </row>
    <row r="18" spans="1:14" x14ac:dyDescent="0.2">
      <c r="B18" s="633" t="s">
        <v>914</v>
      </c>
      <c r="H18" s="649"/>
      <c r="I18" s="647"/>
      <c r="J18" s="649"/>
      <c r="K18" s="647"/>
      <c r="L18" s="649"/>
      <c r="M18" s="647"/>
      <c r="N18" s="649"/>
    </row>
    <row r="19" spans="1:14" x14ac:dyDescent="0.2">
      <c r="C19" s="147" t="s">
        <v>587</v>
      </c>
      <c r="D19" s="145"/>
      <c r="E19" s="147"/>
      <c r="H19" s="649"/>
      <c r="I19" s="647"/>
      <c r="J19" s="649"/>
      <c r="K19" s="647"/>
      <c r="L19" s="649"/>
      <c r="M19" s="647"/>
      <c r="N19" s="649"/>
    </row>
    <row r="20" spans="1:14" x14ac:dyDescent="0.2">
      <c r="D20" s="145" t="s">
        <v>588</v>
      </c>
      <c r="E20" s="147"/>
      <c r="F20" s="649">
        <v>0</v>
      </c>
      <c r="H20" s="649">
        <v>0</v>
      </c>
      <c r="I20" s="647"/>
      <c r="J20" s="649">
        <v>0</v>
      </c>
      <c r="K20" s="647"/>
      <c r="L20" s="649">
        <f>SUM(H20:J20)</f>
        <v>0</v>
      </c>
      <c r="M20" s="647"/>
      <c r="N20" s="649">
        <f>F20-L20</f>
        <v>0</v>
      </c>
    </row>
    <row r="21" spans="1:14" x14ac:dyDescent="0.2">
      <c r="D21" s="145" t="s">
        <v>589</v>
      </c>
      <c r="E21" s="147"/>
      <c r="F21" s="649">
        <v>3200000</v>
      </c>
      <c r="H21" s="649">
        <v>0</v>
      </c>
      <c r="I21" s="647"/>
      <c r="J21" s="649">
        <v>150000</v>
      </c>
      <c r="K21" s="647"/>
      <c r="L21" s="649">
        <f>SUM(H21:J21)</f>
        <v>150000</v>
      </c>
      <c r="M21" s="647"/>
      <c r="N21" s="649">
        <f>F21-L21</f>
        <v>3050000</v>
      </c>
    </row>
    <row r="22" spans="1:14" x14ac:dyDescent="0.2">
      <c r="D22" s="145" t="s">
        <v>590</v>
      </c>
      <c r="E22" s="147"/>
      <c r="F22" s="649">
        <v>0</v>
      </c>
      <c r="H22" s="649">
        <v>0</v>
      </c>
      <c r="I22" s="647"/>
      <c r="J22" s="649">
        <v>200000</v>
      </c>
      <c r="K22" s="647"/>
      <c r="L22" s="649">
        <f>SUM(H22:J22)</f>
        <v>200000</v>
      </c>
      <c r="M22" s="647"/>
      <c r="N22" s="649">
        <f t="shared" ref="N22:N31" si="0">F22-L22</f>
        <v>-200000</v>
      </c>
    </row>
    <row r="23" spans="1:14" x14ac:dyDescent="0.2">
      <c r="D23" s="145" t="s">
        <v>591</v>
      </c>
      <c r="E23" s="147"/>
      <c r="F23" s="649">
        <v>0</v>
      </c>
      <c r="H23" s="649">
        <v>0</v>
      </c>
      <c r="I23" s="647">
        <f t="shared" ref="I23:M23" si="1">I20+I21+I22</f>
        <v>0</v>
      </c>
      <c r="J23" s="649">
        <v>0</v>
      </c>
      <c r="K23" s="647"/>
      <c r="L23" s="649">
        <f>SUM(H23:J23)</f>
        <v>0</v>
      </c>
      <c r="M23" s="647">
        <f t="shared" si="1"/>
        <v>0</v>
      </c>
      <c r="N23" s="649">
        <f t="shared" si="0"/>
        <v>0</v>
      </c>
    </row>
    <row r="24" spans="1:14" x14ac:dyDescent="0.2">
      <c r="D24" s="145" t="s">
        <v>592</v>
      </c>
      <c r="E24" s="147"/>
      <c r="F24" s="649">
        <v>0</v>
      </c>
      <c r="H24" s="649">
        <v>0</v>
      </c>
      <c r="I24" s="647"/>
      <c r="J24" s="649">
        <v>0</v>
      </c>
      <c r="K24" s="647"/>
      <c r="L24" s="649">
        <f t="shared" ref="L24:L30" si="2">SUM(H24:J24)</f>
        <v>0</v>
      </c>
      <c r="M24" s="647"/>
      <c r="N24" s="649">
        <f t="shared" si="0"/>
        <v>0</v>
      </c>
    </row>
    <row r="25" spans="1:14" x14ac:dyDescent="0.2">
      <c r="D25" s="145" t="s">
        <v>593</v>
      </c>
      <c r="E25" s="147"/>
      <c r="F25" s="649">
        <v>0</v>
      </c>
      <c r="H25" s="649">
        <v>0</v>
      </c>
      <c r="I25" s="647"/>
      <c r="J25" s="649">
        <v>100000</v>
      </c>
      <c r="K25" s="647"/>
      <c r="L25" s="649">
        <f t="shared" si="2"/>
        <v>100000</v>
      </c>
      <c r="M25" s="647"/>
      <c r="N25" s="649">
        <f t="shared" si="0"/>
        <v>-100000</v>
      </c>
    </row>
    <row r="26" spans="1:14" x14ac:dyDescent="0.2">
      <c r="D26" s="145" t="s">
        <v>594</v>
      </c>
      <c r="E26" s="147"/>
      <c r="F26" s="649">
        <v>0</v>
      </c>
      <c r="H26" s="649">
        <v>0</v>
      </c>
      <c r="I26" s="647"/>
      <c r="J26" s="649">
        <v>0</v>
      </c>
      <c r="K26" s="647"/>
      <c r="L26" s="649">
        <f t="shared" si="2"/>
        <v>0</v>
      </c>
      <c r="M26" s="647"/>
      <c r="N26" s="649">
        <f t="shared" si="0"/>
        <v>0</v>
      </c>
    </row>
    <row r="27" spans="1:14" x14ac:dyDescent="0.2">
      <c r="D27" s="145" t="s">
        <v>595</v>
      </c>
      <c r="E27" s="147"/>
      <c r="F27" s="649">
        <v>0</v>
      </c>
      <c r="H27" s="649">
        <v>0</v>
      </c>
      <c r="I27" s="647"/>
      <c r="J27" s="649">
        <v>0</v>
      </c>
      <c r="K27" s="647"/>
      <c r="L27" s="649">
        <f t="shared" si="2"/>
        <v>0</v>
      </c>
      <c r="M27" s="647"/>
      <c r="N27" s="649">
        <f t="shared" si="0"/>
        <v>0</v>
      </c>
    </row>
    <row r="28" spans="1:14" x14ac:dyDescent="0.2">
      <c r="D28" s="145" t="s">
        <v>596</v>
      </c>
      <c r="E28" s="147"/>
      <c r="F28" s="649">
        <v>0</v>
      </c>
      <c r="H28" s="649">
        <v>0</v>
      </c>
      <c r="I28" s="647">
        <f t="shared" ref="I28:M28" si="3">I26+I27</f>
        <v>0</v>
      </c>
      <c r="J28" s="649">
        <v>0</v>
      </c>
      <c r="K28" s="647"/>
      <c r="L28" s="649">
        <f t="shared" si="2"/>
        <v>0</v>
      </c>
      <c r="M28" s="647">
        <f t="shared" si="3"/>
        <v>0</v>
      </c>
      <c r="N28" s="649">
        <f t="shared" si="0"/>
        <v>0</v>
      </c>
    </row>
    <row r="29" spans="1:14" x14ac:dyDescent="0.2">
      <c r="D29" s="145" t="s">
        <v>597</v>
      </c>
      <c r="E29" s="147"/>
      <c r="F29" s="649">
        <v>0</v>
      </c>
      <c r="H29" s="649">
        <v>0</v>
      </c>
      <c r="I29" s="647"/>
      <c r="J29" s="649">
        <v>0</v>
      </c>
      <c r="K29" s="647"/>
      <c r="L29" s="649">
        <f t="shared" si="2"/>
        <v>0</v>
      </c>
      <c r="M29" s="647"/>
      <c r="N29" s="649">
        <f t="shared" si="0"/>
        <v>0</v>
      </c>
    </row>
    <row r="30" spans="1:14" x14ac:dyDescent="0.2">
      <c r="D30" s="145" t="s">
        <v>598</v>
      </c>
      <c r="F30" s="649">
        <v>0</v>
      </c>
      <c r="H30" s="649">
        <v>0</v>
      </c>
      <c r="I30" s="647"/>
      <c r="J30" s="649">
        <v>0</v>
      </c>
      <c r="K30" s="647"/>
      <c r="L30" s="649">
        <f t="shared" si="2"/>
        <v>0</v>
      </c>
      <c r="M30" s="647"/>
      <c r="N30" s="649">
        <f t="shared" si="0"/>
        <v>0</v>
      </c>
    </row>
    <row r="31" spans="1:14" x14ac:dyDescent="0.2">
      <c r="C31" s="147"/>
      <c r="D31" s="145" t="s">
        <v>599</v>
      </c>
      <c r="F31" s="650">
        <v>0</v>
      </c>
      <c r="H31" s="650">
        <v>0</v>
      </c>
      <c r="I31" s="647"/>
      <c r="J31" s="650">
        <v>50000</v>
      </c>
      <c r="K31" s="647"/>
      <c r="L31" s="650">
        <f>H31+J31</f>
        <v>50000</v>
      </c>
      <c r="M31" s="647"/>
      <c r="N31" s="649">
        <f t="shared" si="0"/>
        <v>-50000</v>
      </c>
    </row>
    <row r="32" spans="1:14" x14ac:dyDescent="0.2">
      <c r="E32" s="633" t="s">
        <v>6</v>
      </c>
      <c r="F32" s="648">
        <f>SUM(F20:F31)</f>
        <v>3200000</v>
      </c>
      <c r="G32" s="646"/>
      <c r="H32" s="648">
        <f>SUM(H20:H31)</f>
        <v>0</v>
      </c>
      <c r="I32" s="646"/>
      <c r="J32" s="648">
        <f>SUM(J20:J31)</f>
        <v>500000</v>
      </c>
      <c r="K32" s="646"/>
      <c r="L32" s="648">
        <f>SUM(L20:L31)</f>
        <v>500000</v>
      </c>
      <c r="M32" s="646"/>
      <c r="N32" s="651">
        <f>SUM(N20:N31)</f>
        <v>2700000</v>
      </c>
    </row>
    <row r="34" spans="1:16" ht="13.5" thickBot="1" x14ac:dyDescent="0.25">
      <c r="A34" s="633" t="s">
        <v>531</v>
      </c>
      <c r="F34" s="652">
        <f>+F15-F32</f>
        <v>0</v>
      </c>
      <c r="G34" s="645"/>
      <c r="H34" s="652">
        <f>+H15-H32</f>
        <v>290000</v>
      </c>
      <c r="I34" s="645"/>
      <c r="J34" s="645">
        <f>+J15-J32</f>
        <v>40000</v>
      </c>
      <c r="K34" s="645"/>
      <c r="L34" s="652">
        <f>+L15-L32</f>
        <v>330000</v>
      </c>
      <c r="M34" s="645"/>
      <c r="N34" s="652">
        <f>+N32+N15</f>
        <v>330000</v>
      </c>
    </row>
    <row r="35" spans="1:16" ht="13.5" thickTop="1" x14ac:dyDescent="0.2">
      <c r="F35" s="646"/>
    </row>
    <row r="36" spans="1:16" x14ac:dyDescent="0.2">
      <c r="A36" s="653" t="s">
        <v>1076</v>
      </c>
      <c r="J36" s="650">
        <v>290000</v>
      </c>
    </row>
    <row r="37" spans="1:16" ht="13.5" thickBot="1" x14ac:dyDescent="0.25">
      <c r="A37" s="653" t="s">
        <v>1083</v>
      </c>
      <c r="J37" s="652">
        <f>J36+J34</f>
        <v>330000</v>
      </c>
    </row>
    <row r="38" spans="1:16" ht="13.5" thickTop="1" x14ac:dyDescent="0.2"/>
    <row r="40" spans="1:16" ht="13.5" thickBot="1" x14ac:dyDescent="0.25"/>
    <row r="41" spans="1:16" ht="42.75" customHeight="1" thickBot="1" x14ac:dyDescent="0.25">
      <c r="E41" s="1100" t="s">
        <v>1019</v>
      </c>
      <c r="F41" s="1101"/>
      <c r="G41" s="1101"/>
      <c r="H41" s="1101"/>
      <c r="I41" s="1101"/>
      <c r="J41" s="1101"/>
      <c r="K41" s="1101"/>
      <c r="L41" s="1101"/>
      <c r="M41" s="1101"/>
      <c r="N41" s="1102"/>
      <c r="O41" s="703"/>
      <c r="P41" s="703"/>
    </row>
    <row r="42" spans="1:16" ht="13.5" thickBot="1" x14ac:dyDescent="0.25"/>
    <row r="43" spans="1:16" ht="102" customHeight="1" thickBot="1" x14ac:dyDescent="0.25">
      <c r="E43" s="1097" t="s">
        <v>1020</v>
      </c>
      <c r="F43" s="1098"/>
      <c r="G43" s="1098"/>
      <c r="H43" s="1098"/>
      <c r="I43" s="1098"/>
      <c r="J43" s="1098"/>
      <c r="K43" s="1098"/>
      <c r="L43" s="1098"/>
      <c r="M43" s="1098"/>
      <c r="N43" s="1099"/>
    </row>
  </sheetData>
  <mergeCells count="3">
    <mergeCell ref="H9:L9"/>
    <mergeCell ref="E43:N43"/>
    <mergeCell ref="E41:N41"/>
  </mergeCells>
  <pageMargins left="0.7" right="0.7" top="0.75" bottom="0.75" header="0.3" footer="0.3"/>
  <pageSetup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67"/>
  <sheetViews>
    <sheetView workbookViewId="0">
      <selection activeCell="D4" sqref="D4"/>
    </sheetView>
  </sheetViews>
  <sheetFormatPr defaultColWidth="9.140625" defaultRowHeight="12.75" x14ac:dyDescent="0.2"/>
  <cols>
    <col min="1" max="1" width="30.7109375" style="310" customWidth="1"/>
    <col min="2" max="2" width="13.5703125" style="310" customWidth="1"/>
    <col min="3" max="3" width="1.28515625" style="310" customWidth="1"/>
    <col min="4" max="4" width="13.5703125" style="310" customWidth="1"/>
    <col min="5" max="5" width="1.28515625" style="310" customWidth="1"/>
    <col min="6" max="6" width="13.5703125" style="310" customWidth="1"/>
    <col min="7" max="7" width="1.28515625" style="310" customWidth="1"/>
    <col min="8" max="8" width="13.5703125" style="310" customWidth="1"/>
    <col min="9" max="9" width="1.28515625" style="310" customWidth="1"/>
    <col min="10" max="10" width="13.5703125" style="310" customWidth="1"/>
    <col min="11" max="11" width="1.28515625" style="310" customWidth="1"/>
    <col min="12" max="12" width="13.5703125" style="310" customWidth="1"/>
    <col min="13" max="13" width="1.28515625" style="310" customWidth="1"/>
    <col min="14" max="14" width="13.5703125" style="310" customWidth="1"/>
    <col min="15" max="15" width="1.28515625" style="310" customWidth="1"/>
    <col min="16" max="16" width="13.140625" style="310" customWidth="1"/>
    <col min="17" max="17" width="1.28515625" style="310" customWidth="1"/>
    <col min="18" max="18" width="12.85546875" style="310" customWidth="1"/>
    <col min="19" max="19" width="1.28515625" style="310" customWidth="1"/>
    <col min="20" max="20" width="12.85546875" style="310" customWidth="1"/>
    <col min="21" max="21" width="12.140625" style="310" bestFit="1" customWidth="1"/>
    <col min="22" max="23" width="9.140625" style="310"/>
    <col min="24" max="24" width="12" style="310" customWidth="1"/>
    <col min="25" max="16384" width="9.140625" style="310"/>
  </cols>
  <sheetData>
    <row r="1" spans="1:24" x14ac:dyDescent="0.2">
      <c r="A1" s="990" t="s">
        <v>0</v>
      </c>
      <c r="B1" s="990"/>
      <c r="C1" s="990"/>
      <c r="D1" s="990"/>
      <c r="E1" s="990"/>
      <c r="F1" s="990"/>
      <c r="G1" s="990"/>
      <c r="H1" s="990"/>
      <c r="I1" s="990"/>
      <c r="J1" s="990"/>
      <c r="K1" s="990"/>
      <c r="L1" s="990"/>
      <c r="M1" s="990"/>
      <c r="N1" s="990"/>
      <c r="O1" s="990"/>
      <c r="P1" s="990"/>
      <c r="Q1" s="990"/>
      <c r="R1" s="990"/>
      <c r="S1" s="990"/>
      <c r="T1" s="990"/>
    </row>
    <row r="2" spans="1:24" x14ac:dyDescent="0.2">
      <c r="A2" s="990" t="s">
        <v>54</v>
      </c>
      <c r="B2" s="990"/>
      <c r="C2" s="990"/>
      <c r="D2" s="990"/>
      <c r="E2" s="990"/>
      <c r="F2" s="990"/>
      <c r="G2" s="990"/>
      <c r="H2" s="990"/>
      <c r="I2" s="990"/>
      <c r="J2" s="990"/>
      <c r="K2" s="990"/>
      <c r="L2" s="990"/>
      <c r="M2" s="990"/>
      <c r="N2" s="990"/>
      <c r="O2" s="990"/>
      <c r="P2" s="990"/>
      <c r="Q2" s="990"/>
      <c r="R2" s="990"/>
      <c r="S2" s="990"/>
      <c r="T2" s="990"/>
    </row>
    <row r="3" spans="1:24" x14ac:dyDescent="0.2">
      <c r="A3" s="990" t="s">
        <v>979</v>
      </c>
      <c r="B3" s="990"/>
      <c r="C3" s="990"/>
      <c r="D3" s="990"/>
      <c r="E3" s="990"/>
      <c r="F3" s="990"/>
      <c r="G3" s="990"/>
      <c r="H3" s="990"/>
      <c r="I3" s="990"/>
      <c r="J3" s="990"/>
      <c r="K3" s="990"/>
      <c r="L3" s="990"/>
      <c r="M3" s="990"/>
      <c r="N3" s="990"/>
      <c r="O3" s="990"/>
      <c r="P3" s="990"/>
      <c r="Q3" s="990"/>
      <c r="R3" s="990"/>
      <c r="S3" s="990"/>
      <c r="T3" s="990"/>
    </row>
    <row r="4" spans="1:24" x14ac:dyDescent="0.2">
      <c r="A4" s="34"/>
      <c r="B4" s="34"/>
      <c r="C4" s="34"/>
      <c r="D4" s="34"/>
      <c r="E4" s="34"/>
      <c r="F4" s="34"/>
      <c r="G4" s="34"/>
      <c r="H4" s="34"/>
      <c r="I4" s="34"/>
      <c r="J4" s="34"/>
      <c r="K4" s="34"/>
      <c r="L4" s="34"/>
      <c r="M4" s="34"/>
      <c r="N4" s="34"/>
      <c r="O4" s="34"/>
      <c r="P4" s="34"/>
      <c r="Q4" s="34"/>
      <c r="R4" s="34"/>
      <c r="S4" s="34"/>
      <c r="T4" s="434" t="s">
        <v>53</v>
      </c>
    </row>
    <row r="5" spans="1:24" ht="13.5" thickBot="1" x14ac:dyDescent="0.25">
      <c r="A5" s="676"/>
      <c r="B5" s="676"/>
      <c r="C5" s="676"/>
      <c r="D5" s="676"/>
      <c r="E5" s="676"/>
      <c r="F5" s="676"/>
      <c r="G5" s="676"/>
      <c r="H5" s="676"/>
      <c r="I5" s="676"/>
      <c r="J5" s="676"/>
      <c r="K5" s="676"/>
      <c r="L5" s="676"/>
      <c r="M5" s="676"/>
      <c r="N5" s="676"/>
      <c r="O5" s="676"/>
      <c r="P5" s="676"/>
      <c r="Q5" s="676"/>
      <c r="R5" s="677"/>
      <c r="S5" s="677"/>
      <c r="T5" s="677"/>
    </row>
    <row r="6" spans="1:24" x14ac:dyDescent="0.2">
      <c r="A6" s="32"/>
      <c r="B6" s="32"/>
      <c r="C6" s="32"/>
      <c r="D6" s="996" t="s">
        <v>56</v>
      </c>
      <c r="E6" s="996"/>
      <c r="F6" s="996"/>
      <c r="G6" s="996"/>
      <c r="H6" s="996"/>
      <c r="I6" s="283"/>
      <c r="J6" s="996" t="s">
        <v>57</v>
      </c>
      <c r="K6" s="996"/>
      <c r="L6" s="996"/>
      <c r="M6" s="996"/>
      <c r="N6" s="996"/>
      <c r="O6" s="996"/>
      <c r="P6" s="996"/>
      <c r="Q6" s="996"/>
      <c r="R6" s="996"/>
      <c r="S6" s="996"/>
      <c r="T6" s="996"/>
    </row>
    <row r="7" spans="1:24" x14ac:dyDescent="0.2">
      <c r="A7" s="32"/>
      <c r="B7" s="32"/>
      <c r="C7" s="32"/>
      <c r="D7" s="32"/>
      <c r="E7" s="32"/>
      <c r="F7" s="32"/>
      <c r="G7" s="32"/>
      <c r="H7" s="32"/>
      <c r="I7" s="32"/>
      <c r="J7" s="995" t="s">
        <v>2</v>
      </c>
      <c r="K7" s="995"/>
      <c r="L7" s="995"/>
      <c r="M7" s="995"/>
      <c r="N7" s="995"/>
      <c r="O7" s="34"/>
      <c r="P7" s="898" t="s">
        <v>3</v>
      </c>
      <c r="Q7" s="898"/>
      <c r="R7" s="899"/>
      <c r="S7" s="899"/>
      <c r="T7" s="899"/>
    </row>
    <row r="8" spans="1:24" ht="65.25" customHeight="1" x14ac:dyDescent="0.2">
      <c r="A8" s="897" t="s">
        <v>58</v>
      </c>
      <c r="B8" s="283" t="s">
        <v>59</v>
      </c>
      <c r="C8" s="34"/>
      <c r="D8" s="473" t="s">
        <v>60</v>
      </c>
      <c r="E8" s="437"/>
      <c r="F8" s="473" t="s">
        <v>61</v>
      </c>
      <c r="G8" s="437"/>
      <c r="H8" s="473" t="s">
        <v>62</v>
      </c>
      <c r="I8" s="437"/>
      <c r="J8" s="473" t="s">
        <v>4</v>
      </c>
      <c r="K8" s="437"/>
      <c r="L8" s="473" t="s">
        <v>5</v>
      </c>
      <c r="M8" s="437"/>
      <c r="N8" s="283" t="s">
        <v>6</v>
      </c>
      <c r="O8" s="34"/>
      <c r="P8" s="1" t="s">
        <v>7</v>
      </c>
      <c r="Q8" s="437"/>
      <c r="R8" s="1" t="s">
        <v>8</v>
      </c>
      <c r="S8" s="437"/>
      <c r="T8" s="1" t="s">
        <v>9</v>
      </c>
    </row>
    <row r="9" spans="1:24" x14ac:dyDescent="0.2">
      <c r="A9" s="32" t="s">
        <v>63</v>
      </c>
      <c r="B9" s="32"/>
      <c r="C9" s="32"/>
      <c r="D9" s="32"/>
      <c r="E9" s="32"/>
      <c r="F9" s="32"/>
      <c r="G9" s="32"/>
      <c r="H9" s="32"/>
      <c r="I9" s="32"/>
      <c r="J9" s="32"/>
      <c r="K9" s="32"/>
      <c r="L9" s="32"/>
      <c r="M9" s="32"/>
      <c r="N9" s="32"/>
      <c r="O9" s="32"/>
      <c r="P9" s="32"/>
      <c r="Q9" s="32"/>
    </row>
    <row r="10" spans="1:24" x14ac:dyDescent="0.2">
      <c r="A10" s="310" t="s">
        <v>64</v>
      </c>
      <c r="U10" s="745"/>
    </row>
    <row r="11" spans="1:24" x14ac:dyDescent="0.2">
      <c r="A11" s="435" t="s">
        <v>65</v>
      </c>
      <c r="B11" s="458">
        <v>16591352</v>
      </c>
      <c r="C11" s="836"/>
      <c r="D11" s="836">
        <v>507312</v>
      </c>
      <c r="E11" s="836"/>
      <c r="F11" s="836">
        <v>0</v>
      </c>
      <c r="G11" s="836"/>
      <c r="H11" s="836">
        <v>0</v>
      </c>
      <c r="I11" s="836"/>
      <c r="J11" s="317">
        <f>SUM(D11:H11)-B11</f>
        <v>-16084040</v>
      </c>
      <c r="K11" s="317"/>
      <c r="L11" s="317">
        <v>0</v>
      </c>
      <c r="M11" s="317"/>
      <c r="N11" s="317">
        <f t="shared" ref="N11:N18" si="0">SUM(J11:L11)</f>
        <v>-16084040</v>
      </c>
      <c r="O11" s="317"/>
      <c r="P11" s="317"/>
      <c r="Q11" s="317"/>
      <c r="T11" s="319"/>
      <c r="X11" s="632">
        <f>+B11-'Rev, exp, chgs in fb Exh 4'!B24</f>
        <v>7495800</v>
      </c>
    </row>
    <row r="12" spans="1:24" x14ac:dyDescent="0.2">
      <c r="A12" s="435" t="s">
        <v>40</v>
      </c>
      <c r="B12" s="459">
        <v>7491633</v>
      </c>
      <c r="C12" s="768"/>
      <c r="D12" s="768">
        <v>1610564</v>
      </c>
      <c r="E12" s="768"/>
      <c r="F12" s="768">
        <v>166916</v>
      </c>
      <c r="G12" s="768"/>
      <c r="H12" s="768">
        <v>0</v>
      </c>
      <c r="I12" s="768"/>
      <c r="J12" s="299">
        <f t="shared" ref="J12:J18" si="1">SUM(D12:H12)-B12</f>
        <v>-5714153</v>
      </c>
      <c r="K12" s="299"/>
      <c r="L12" s="299">
        <v>0</v>
      </c>
      <c r="M12" s="299"/>
      <c r="N12" s="299">
        <f t="shared" si="0"/>
        <v>-5714153</v>
      </c>
      <c r="O12" s="299"/>
      <c r="P12" s="299"/>
      <c r="Q12" s="299"/>
      <c r="R12" s="326"/>
      <c r="S12" s="326"/>
      <c r="T12" s="319"/>
    </row>
    <row r="13" spans="1:24" x14ac:dyDescent="0.2">
      <c r="A13" s="435" t="s">
        <v>66</v>
      </c>
      <c r="B13" s="459">
        <v>1134832</v>
      </c>
      <c r="C13" s="768"/>
      <c r="D13" s="768">
        <v>0</v>
      </c>
      <c r="E13" s="768"/>
      <c r="F13" s="768">
        <v>0</v>
      </c>
      <c r="G13" s="768"/>
      <c r="H13" s="768">
        <v>0</v>
      </c>
      <c r="I13" s="768"/>
      <c r="J13" s="299">
        <f t="shared" si="1"/>
        <v>-1134832</v>
      </c>
      <c r="K13" s="299"/>
      <c r="L13" s="299">
        <v>0</v>
      </c>
      <c r="M13" s="299"/>
      <c r="N13" s="299">
        <f t="shared" si="0"/>
        <v>-1134832</v>
      </c>
      <c r="O13" s="299"/>
      <c r="P13" s="299"/>
      <c r="Q13" s="299"/>
      <c r="R13" s="326"/>
      <c r="S13" s="326"/>
      <c r="T13" s="319"/>
    </row>
    <row r="14" spans="1:24" x14ac:dyDescent="0.2">
      <c r="A14" s="435" t="s">
        <v>67</v>
      </c>
      <c r="B14" s="459">
        <v>1313784</v>
      </c>
      <c r="C14" s="768"/>
      <c r="D14" s="768">
        <v>1226891</v>
      </c>
      <c r="E14" s="768"/>
      <c r="F14" s="768">
        <v>0</v>
      </c>
      <c r="G14" s="768"/>
      <c r="H14" s="768">
        <v>0</v>
      </c>
      <c r="I14" s="768"/>
      <c r="J14" s="299">
        <f t="shared" si="1"/>
        <v>-86893</v>
      </c>
      <c r="K14" s="299"/>
      <c r="L14" s="299">
        <v>0</v>
      </c>
      <c r="M14" s="299"/>
      <c r="N14" s="299">
        <f t="shared" si="0"/>
        <v>-86893</v>
      </c>
      <c r="O14" s="299"/>
      <c r="P14" s="299"/>
      <c r="Q14" s="299"/>
      <c r="T14" s="332"/>
    </row>
    <row r="15" spans="1:24" x14ac:dyDescent="0.2">
      <c r="A15" s="435" t="s">
        <v>956</v>
      </c>
      <c r="B15" s="459">
        <v>23970376</v>
      </c>
      <c r="C15" s="768"/>
      <c r="D15" s="768">
        <f>540000+1938038-1773077</f>
        <v>704961</v>
      </c>
      <c r="E15" s="768"/>
      <c r="F15" s="459">
        <v>13067331</v>
      </c>
      <c r="G15" s="768"/>
      <c r="H15" s="768">
        <v>0</v>
      </c>
      <c r="I15" s="768"/>
      <c r="J15" s="299">
        <f t="shared" si="1"/>
        <v>-10198084</v>
      </c>
      <c r="K15" s="299"/>
      <c r="L15" s="299">
        <v>0</v>
      </c>
      <c r="M15" s="299"/>
      <c r="N15" s="299">
        <f t="shared" si="0"/>
        <v>-10198084</v>
      </c>
      <c r="O15" s="299"/>
      <c r="P15" s="299"/>
      <c r="Q15" s="299"/>
      <c r="T15" s="332"/>
    </row>
    <row r="16" spans="1:24" x14ac:dyDescent="0.2">
      <c r="A16" s="435" t="s">
        <v>69</v>
      </c>
      <c r="B16" s="459">
        <f>1936952+125919</f>
        <v>2062871</v>
      </c>
      <c r="C16" s="768"/>
      <c r="D16" s="768">
        <v>204991</v>
      </c>
      <c r="E16" s="768"/>
      <c r="F16" s="768">
        <v>0</v>
      </c>
      <c r="G16" s="768"/>
      <c r="H16" s="768">
        <v>102832</v>
      </c>
      <c r="I16" s="768"/>
      <c r="J16" s="299">
        <f t="shared" si="1"/>
        <v>-1755048</v>
      </c>
      <c r="K16" s="299"/>
      <c r="L16" s="299">
        <v>0</v>
      </c>
      <c r="M16" s="299"/>
      <c r="N16" s="299">
        <f t="shared" si="0"/>
        <v>-1755048</v>
      </c>
      <c r="O16" s="299"/>
      <c r="P16" s="299"/>
      <c r="Q16" s="299"/>
      <c r="T16" s="332"/>
    </row>
    <row r="17" spans="1:20" x14ac:dyDescent="0.2">
      <c r="A17" s="435" t="s">
        <v>41</v>
      </c>
      <c r="B17" s="768">
        <f>43118616</f>
        <v>43118616</v>
      </c>
      <c r="C17" s="768"/>
      <c r="D17" s="768">
        <v>0</v>
      </c>
      <c r="E17" s="768"/>
      <c r="F17" s="768">
        <v>0</v>
      </c>
      <c r="G17" s="768"/>
      <c r="H17" s="459">
        <v>721066</v>
      </c>
      <c r="I17" s="768"/>
      <c r="J17" s="299">
        <f t="shared" si="1"/>
        <v>-42397550</v>
      </c>
      <c r="K17" s="299"/>
      <c r="L17" s="299">
        <v>0</v>
      </c>
      <c r="M17" s="299"/>
      <c r="N17" s="299">
        <f t="shared" si="0"/>
        <v>-42397550</v>
      </c>
      <c r="O17" s="299"/>
      <c r="P17" s="299"/>
      <c r="Q17" s="299"/>
      <c r="T17" s="332"/>
    </row>
    <row r="18" spans="1:20" x14ac:dyDescent="0.2">
      <c r="A18" s="435" t="s">
        <v>70</v>
      </c>
      <c r="B18" s="765">
        <f>695925+16360+294+74+242</f>
        <v>712895</v>
      </c>
      <c r="C18" s="709"/>
      <c r="D18" s="765">
        <v>0</v>
      </c>
      <c r="E18" s="709"/>
      <c r="F18" s="765">
        <v>0</v>
      </c>
      <c r="G18" s="709"/>
      <c r="H18" s="765">
        <v>0</v>
      </c>
      <c r="I18" s="709"/>
      <c r="J18" s="325">
        <f t="shared" si="1"/>
        <v>-712895</v>
      </c>
      <c r="K18" s="300"/>
      <c r="L18" s="325">
        <v>0</v>
      </c>
      <c r="M18" s="300"/>
      <c r="N18" s="325">
        <f t="shared" si="0"/>
        <v>-712895</v>
      </c>
      <c r="O18" s="300"/>
      <c r="P18" s="300"/>
      <c r="Q18" s="300"/>
      <c r="T18" s="332"/>
    </row>
    <row r="19" spans="1:20" x14ac:dyDescent="0.2">
      <c r="A19" s="330" t="s">
        <v>71</v>
      </c>
      <c r="B19" s="320">
        <f t="shared" ref="B19:L19" si="2">SUM(B11:B18)</f>
        <v>96396359</v>
      </c>
      <c r="C19" s="709"/>
      <c r="D19" s="320">
        <f t="shared" si="2"/>
        <v>4254719</v>
      </c>
      <c r="E19" s="300"/>
      <c r="F19" s="320">
        <f t="shared" si="2"/>
        <v>13234247</v>
      </c>
      <c r="G19" s="300"/>
      <c r="H19" s="320">
        <f t="shared" si="2"/>
        <v>823898</v>
      </c>
      <c r="I19" s="300"/>
      <c r="J19" s="320">
        <f t="shared" si="2"/>
        <v>-78083495</v>
      </c>
      <c r="K19" s="300"/>
      <c r="L19" s="320">
        <f t="shared" si="2"/>
        <v>0</v>
      </c>
      <c r="M19" s="300"/>
      <c r="N19" s="320">
        <f>SUM(J19:L19)</f>
        <v>-78083495</v>
      </c>
      <c r="O19" s="300"/>
      <c r="P19" s="300"/>
      <c r="Q19" s="300"/>
      <c r="T19" s="332"/>
    </row>
    <row r="20" spans="1:20" x14ac:dyDescent="0.2">
      <c r="C20" s="745"/>
      <c r="T20" s="332"/>
    </row>
    <row r="21" spans="1:20" x14ac:dyDescent="0.2">
      <c r="A21" s="310" t="s">
        <v>72</v>
      </c>
      <c r="C21" s="745"/>
      <c r="T21" s="332"/>
    </row>
    <row r="22" spans="1:20" x14ac:dyDescent="0.2">
      <c r="A22" s="435" t="s">
        <v>73</v>
      </c>
      <c r="B22" s="459">
        <v>340559</v>
      </c>
      <c r="C22" s="768"/>
      <c r="D22" s="299">
        <v>225995</v>
      </c>
      <c r="E22" s="299"/>
      <c r="F22" s="299">
        <v>100</v>
      </c>
      <c r="G22" s="299"/>
      <c r="H22" s="299">
        <v>0</v>
      </c>
      <c r="I22" s="299"/>
      <c r="J22" s="299">
        <v>0</v>
      </c>
      <c r="K22" s="299"/>
      <c r="L22" s="335">
        <f>SUM(D22:H22)-B22</f>
        <v>-114464</v>
      </c>
      <c r="M22" s="335"/>
      <c r="N22" s="299">
        <f>SUM(J22:L22)</f>
        <v>-114464</v>
      </c>
      <c r="O22" s="299"/>
      <c r="T22" s="319"/>
    </row>
    <row r="23" spans="1:20" x14ac:dyDescent="0.2">
      <c r="A23" s="435" t="s">
        <v>74</v>
      </c>
      <c r="B23" s="461">
        <v>597264</v>
      </c>
      <c r="C23" s="709"/>
      <c r="D23" s="325">
        <f>779108+1000+12100</f>
        <v>792208</v>
      </c>
      <c r="E23" s="300"/>
      <c r="F23" s="325">
        <v>530</v>
      </c>
      <c r="G23" s="300"/>
      <c r="H23" s="325">
        <v>125348</v>
      </c>
      <c r="I23" s="300"/>
      <c r="J23" s="325">
        <v>0</v>
      </c>
      <c r="K23" s="300"/>
      <c r="L23" s="300">
        <f>SUM(D23:H23)-B23</f>
        <v>320822</v>
      </c>
      <c r="M23" s="300"/>
      <c r="N23" s="300">
        <f>SUM(J23:L23)</f>
        <v>320822</v>
      </c>
      <c r="O23" s="300"/>
      <c r="T23" s="332"/>
    </row>
    <row r="24" spans="1:20" x14ac:dyDescent="0.2">
      <c r="A24" s="330" t="s">
        <v>75</v>
      </c>
      <c r="B24" s="320">
        <f t="shared" ref="B24:L24" si="3">SUM(B22:B23)</f>
        <v>937823</v>
      </c>
      <c r="C24" s="300"/>
      <c r="D24" s="320">
        <f t="shared" si="3"/>
        <v>1018203</v>
      </c>
      <c r="E24" s="300"/>
      <c r="F24" s="320">
        <f t="shared" si="3"/>
        <v>630</v>
      </c>
      <c r="G24" s="300"/>
      <c r="H24" s="320">
        <f t="shared" si="3"/>
        <v>125348</v>
      </c>
      <c r="I24" s="300"/>
      <c r="J24" s="320">
        <f t="shared" si="3"/>
        <v>0</v>
      </c>
      <c r="K24" s="300"/>
      <c r="L24" s="320">
        <f t="shared" si="3"/>
        <v>206358</v>
      </c>
      <c r="M24" s="300"/>
      <c r="N24" s="320">
        <f>SUM(N22:N23)</f>
        <v>206358</v>
      </c>
      <c r="O24" s="300"/>
      <c r="T24" s="332"/>
    </row>
    <row r="25" spans="1:20" ht="13.5" thickBot="1" x14ac:dyDescent="0.25">
      <c r="A25" s="352" t="s">
        <v>76</v>
      </c>
      <c r="B25" s="298">
        <f t="shared" ref="B25:N25" si="4">+B19+B24</f>
        <v>97334182</v>
      </c>
      <c r="C25" s="318"/>
      <c r="D25" s="298">
        <f t="shared" si="4"/>
        <v>5272922</v>
      </c>
      <c r="E25" s="318"/>
      <c r="F25" s="298">
        <f t="shared" si="4"/>
        <v>13234877</v>
      </c>
      <c r="G25" s="318"/>
      <c r="H25" s="298">
        <f t="shared" si="4"/>
        <v>949246</v>
      </c>
      <c r="I25" s="318"/>
      <c r="J25" s="320">
        <f t="shared" si="4"/>
        <v>-78083495</v>
      </c>
      <c r="K25" s="300"/>
      <c r="L25" s="320">
        <f t="shared" si="4"/>
        <v>206358</v>
      </c>
      <c r="M25" s="300"/>
      <c r="N25" s="320">
        <f t="shared" si="4"/>
        <v>-77877137</v>
      </c>
      <c r="O25" s="300"/>
      <c r="P25" s="318"/>
      <c r="Q25" s="318"/>
      <c r="T25" s="332"/>
    </row>
    <row r="26" spans="1:20" ht="13.5" thickTop="1" x14ac:dyDescent="0.2">
      <c r="T26" s="332"/>
    </row>
    <row r="27" spans="1:20" x14ac:dyDescent="0.2">
      <c r="A27" s="32" t="s">
        <v>77</v>
      </c>
      <c r="T27" s="332"/>
    </row>
    <row r="28" spans="1:20" x14ac:dyDescent="0.2">
      <c r="A28" s="435" t="s">
        <v>78</v>
      </c>
      <c r="B28" s="317">
        <f>38441831+2033573+144537+(138450+16840-1207475-48601+716137+1203548)</f>
        <v>41438840</v>
      </c>
      <c r="C28" s="317"/>
      <c r="D28" s="317">
        <v>43127674</v>
      </c>
      <c r="E28" s="317"/>
      <c r="F28" s="317">
        <v>1241035</v>
      </c>
      <c r="G28" s="317"/>
      <c r="H28" s="317">
        <v>974775</v>
      </c>
      <c r="I28" s="317"/>
      <c r="P28" s="317">
        <f>SUM(D28:H28)-B28</f>
        <v>3904644</v>
      </c>
      <c r="Q28" s="317"/>
      <c r="R28" s="332">
        <v>0</v>
      </c>
      <c r="S28" s="332"/>
      <c r="T28" s="332">
        <v>0</v>
      </c>
    </row>
    <row r="29" spans="1:20" x14ac:dyDescent="0.2">
      <c r="A29" s="435" t="s">
        <v>79</v>
      </c>
      <c r="B29" s="300">
        <f>2532470+2773+127850+(216-88-519+1269+1136+1911)</f>
        <v>2667018</v>
      </c>
      <c r="C29" s="300"/>
      <c r="D29" s="300">
        <v>2661222</v>
      </c>
      <c r="E29" s="300"/>
      <c r="F29" s="300">
        <v>0</v>
      </c>
      <c r="G29" s="300"/>
      <c r="H29" s="300">
        <v>0</v>
      </c>
      <c r="I29" s="300"/>
      <c r="P29" s="300">
        <v>0</v>
      </c>
      <c r="Q29" s="300"/>
      <c r="R29" s="302">
        <f>+SUM(D29:H29)-B29</f>
        <v>-5796</v>
      </c>
      <c r="S29" s="302"/>
      <c r="T29" s="302">
        <v>0</v>
      </c>
    </row>
    <row r="30" spans="1:20" x14ac:dyDescent="0.2">
      <c r="A30" s="435" t="s">
        <v>97</v>
      </c>
      <c r="B30" s="300">
        <f>245090-16234+3459-2637-4489</f>
        <v>225189</v>
      </c>
      <c r="C30" s="300"/>
      <c r="D30" s="300">
        <v>0</v>
      </c>
      <c r="E30" s="300"/>
      <c r="F30" s="300">
        <v>0</v>
      </c>
      <c r="G30" s="300"/>
      <c r="H30" s="300">
        <v>0</v>
      </c>
      <c r="I30" s="300"/>
      <c r="P30" s="325">
        <v>0</v>
      </c>
      <c r="Q30" s="300"/>
      <c r="R30" s="336">
        <v>0</v>
      </c>
      <c r="S30" s="302"/>
      <c r="T30" s="336">
        <f>SUM(D30:H30)-B30</f>
        <v>-225189</v>
      </c>
    </row>
    <row r="31" spans="1:20" ht="13.5" thickBot="1" x14ac:dyDescent="0.25">
      <c r="A31" s="310" t="s">
        <v>80</v>
      </c>
      <c r="B31" s="298">
        <f>SUM(B28:B30)</f>
        <v>44331047</v>
      </c>
      <c r="C31" s="318"/>
      <c r="D31" s="298">
        <f>SUM(D28:D30)</f>
        <v>45788896</v>
      </c>
      <c r="E31" s="318"/>
      <c r="F31" s="298">
        <f>SUM(F28:F30)</f>
        <v>1241035</v>
      </c>
      <c r="G31" s="318"/>
      <c r="H31" s="298">
        <f>SUM(H28:H30)</f>
        <v>974775</v>
      </c>
      <c r="I31" s="318"/>
      <c r="L31" s="359"/>
      <c r="M31" s="359"/>
      <c r="P31" s="320">
        <f>SUM(P28:P30)</f>
        <v>3904644</v>
      </c>
      <c r="Q31" s="300"/>
      <c r="R31" s="320">
        <f>SUM(R28:R30)</f>
        <v>-5796</v>
      </c>
      <c r="S31" s="300"/>
      <c r="T31" s="320">
        <f>SUM(T28:T30)</f>
        <v>-225189</v>
      </c>
    </row>
    <row r="32" spans="1:20" ht="13.5" thickTop="1" x14ac:dyDescent="0.2">
      <c r="L32" s="303"/>
      <c r="M32" s="303"/>
      <c r="T32" s="332"/>
    </row>
    <row r="33" spans="1:21" x14ac:dyDescent="0.2">
      <c r="B33" s="310" t="s">
        <v>81</v>
      </c>
      <c r="T33" s="332"/>
    </row>
    <row r="34" spans="1:21" x14ac:dyDescent="0.2">
      <c r="B34" s="435" t="s">
        <v>82</v>
      </c>
      <c r="C34" s="435"/>
      <c r="J34" s="299"/>
      <c r="K34" s="299"/>
      <c r="L34" s="299"/>
      <c r="M34" s="299"/>
      <c r="N34" s="299"/>
      <c r="O34" s="299"/>
      <c r="P34" s="299"/>
      <c r="Q34" s="299"/>
      <c r="T34" s="332"/>
    </row>
    <row r="35" spans="1:21" x14ac:dyDescent="0.2">
      <c r="B35" s="330" t="s">
        <v>83</v>
      </c>
      <c r="C35" s="330"/>
      <c r="J35" s="459">
        <v>55262081</v>
      </c>
      <c r="K35" s="768"/>
      <c r="L35" s="299">
        <v>0</v>
      </c>
      <c r="M35" s="299"/>
      <c r="N35" s="299">
        <f t="shared" ref="N35:N40" si="5">SUM(J35:L35)</f>
        <v>55262081</v>
      </c>
      <c r="O35" s="299"/>
      <c r="P35" s="299">
        <v>0</v>
      </c>
      <c r="Q35" s="299"/>
      <c r="R35" s="390">
        <v>0</v>
      </c>
      <c r="S35" s="390"/>
      <c r="T35" s="299">
        <v>0</v>
      </c>
    </row>
    <row r="36" spans="1:21" x14ac:dyDescent="0.2">
      <c r="B36" s="330" t="s">
        <v>84</v>
      </c>
      <c r="C36" s="330"/>
      <c r="J36" s="299">
        <f>13276224-50000</f>
        <v>13226224</v>
      </c>
      <c r="K36" s="768"/>
      <c r="L36" s="299">
        <v>0</v>
      </c>
      <c r="M36" s="299"/>
      <c r="N36" s="299">
        <f t="shared" si="5"/>
        <v>13226224</v>
      </c>
      <c r="O36" s="299"/>
      <c r="P36" s="299">
        <v>0</v>
      </c>
      <c r="Q36" s="299"/>
      <c r="R36" s="390">
        <v>0</v>
      </c>
      <c r="S36" s="390"/>
      <c r="T36" s="299">
        <v>0</v>
      </c>
    </row>
    <row r="37" spans="1:21" x14ac:dyDescent="0.2">
      <c r="B37" s="330" t="s">
        <v>85</v>
      </c>
      <c r="C37" s="330"/>
      <c r="J37" s="299">
        <f>276471-46111</f>
        <v>230360</v>
      </c>
      <c r="K37" s="768"/>
      <c r="L37" s="299">
        <v>101000</v>
      </c>
      <c r="M37" s="299"/>
      <c r="N37" s="299">
        <f t="shared" si="5"/>
        <v>331360</v>
      </c>
      <c r="O37" s="299"/>
      <c r="P37" s="299">
        <v>0</v>
      </c>
      <c r="Q37" s="299"/>
      <c r="R37" s="390">
        <v>0</v>
      </c>
      <c r="S37" s="390"/>
      <c r="T37" s="299">
        <v>229168</v>
      </c>
    </row>
    <row r="38" spans="1:21" x14ac:dyDescent="0.2">
      <c r="B38" s="435" t="s">
        <v>86</v>
      </c>
      <c r="C38" s="435"/>
      <c r="J38" s="459">
        <v>2405522</v>
      </c>
      <c r="K38" s="768"/>
      <c r="L38" s="299">
        <v>0</v>
      </c>
      <c r="M38" s="299"/>
      <c r="N38" s="299">
        <f t="shared" si="5"/>
        <v>2405522</v>
      </c>
      <c r="O38" s="299"/>
      <c r="P38" s="299">
        <v>0</v>
      </c>
      <c r="Q38" s="299"/>
      <c r="R38" s="390">
        <v>0</v>
      </c>
      <c r="S38" s="390"/>
      <c r="T38" s="299">
        <v>0</v>
      </c>
    </row>
    <row r="39" spans="1:21" x14ac:dyDescent="0.2">
      <c r="B39" s="435" t="s">
        <v>87</v>
      </c>
      <c r="C39" s="435"/>
      <c r="J39" s="459">
        <v>1614828</v>
      </c>
      <c r="K39" s="768"/>
      <c r="L39" s="299">
        <f>917+37196+10</f>
        <v>38123</v>
      </c>
      <c r="M39" s="299"/>
      <c r="N39" s="299">
        <f t="shared" si="5"/>
        <v>1652951</v>
      </c>
      <c r="O39" s="299"/>
      <c r="P39" s="299">
        <v>636856</v>
      </c>
      <c r="Q39" s="299"/>
      <c r="R39" s="299">
        <v>7971</v>
      </c>
      <c r="S39" s="299"/>
      <c r="T39" s="299">
        <v>7268</v>
      </c>
    </row>
    <row r="40" spans="1:21" x14ac:dyDescent="0.2">
      <c r="B40" s="435" t="s">
        <v>88</v>
      </c>
      <c r="C40" s="435"/>
      <c r="J40" s="299">
        <f>149594+549+500000+16257</f>
        <v>666400</v>
      </c>
      <c r="K40" s="299"/>
      <c r="L40" s="299">
        <v>0</v>
      </c>
      <c r="M40" s="299"/>
      <c r="N40" s="299">
        <f t="shared" si="5"/>
        <v>666400</v>
      </c>
      <c r="O40" s="299"/>
      <c r="P40" s="299">
        <v>0</v>
      </c>
      <c r="Q40" s="299"/>
      <c r="R40" s="299">
        <v>0</v>
      </c>
      <c r="S40" s="299"/>
      <c r="T40" s="299">
        <v>0</v>
      </c>
    </row>
    <row r="41" spans="1:21" x14ac:dyDescent="0.2">
      <c r="B41" s="435" t="s">
        <v>89</v>
      </c>
      <c r="C41" s="435"/>
      <c r="J41" s="320">
        <f>SUM(J35:J40)</f>
        <v>73405415</v>
      </c>
      <c r="K41" s="300"/>
      <c r="L41" s="320">
        <f>SUM(L35:L40)</f>
        <v>139123</v>
      </c>
      <c r="M41" s="300"/>
      <c r="N41" s="320">
        <f>SUM(N35:N40)</f>
        <v>73544538</v>
      </c>
      <c r="O41" s="300"/>
      <c r="P41" s="299"/>
      <c r="Q41" s="299"/>
      <c r="R41" s="299"/>
      <c r="S41" s="299"/>
      <c r="T41" s="299"/>
    </row>
    <row r="42" spans="1:21" x14ac:dyDescent="0.2">
      <c r="B42" s="51" t="s">
        <v>90</v>
      </c>
      <c r="C42" s="51"/>
      <c r="J42" s="299">
        <v>27482</v>
      </c>
      <c r="K42" s="299"/>
      <c r="L42" s="299">
        <v>0</v>
      </c>
      <c r="M42" s="299"/>
      <c r="N42" s="299">
        <f>SUM(J42:L42)</f>
        <v>27482</v>
      </c>
      <c r="O42" s="299"/>
      <c r="P42" s="299">
        <v>0</v>
      </c>
      <c r="Q42" s="299"/>
      <c r="R42" s="299">
        <v>0</v>
      </c>
      <c r="S42" s="299"/>
      <c r="T42" s="299">
        <v>0</v>
      </c>
    </row>
    <row r="43" spans="1:21" x14ac:dyDescent="0.2">
      <c r="B43" s="310" t="s">
        <v>92</v>
      </c>
      <c r="J43" s="325">
        <v>-100000</v>
      </c>
      <c r="K43" s="300"/>
      <c r="L43" s="325">
        <v>100000</v>
      </c>
      <c r="M43" s="300"/>
      <c r="N43" s="325">
        <f>SUM(J43:L43)</f>
        <v>0</v>
      </c>
      <c r="O43" s="300"/>
      <c r="P43" s="325">
        <v>0</v>
      </c>
      <c r="Q43" s="300"/>
      <c r="R43" s="325">
        <v>0</v>
      </c>
      <c r="S43" s="300"/>
      <c r="T43" s="325">
        <v>0</v>
      </c>
    </row>
    <row r="44" spans="1:21" x14ac:dyDescent="0.2">
      <c r="A44" s="337"/>
      <c r="B44" s="331" t="s">
        <v>93</v>
      </c>
      <c r="C44" s="331"/>
      <c r="J44" s="320">
        <f>SUM(J35:J40,J42:J43)</f>
        <v>73332897</v>
      </c>
      <c r="K44" s="300"/>
      <c r="L44" s="320">
        <f>SUM(L35:L40,L42:L43)</f>
        <v>239123</v>
      </c>
      <c r="M44" s="300"/>
      <c r="N44" s="320">
        <f>SUM(N35:N40,N42:N43)</f>
        <v>73572020</v>
      </c>
      <c r="O44" s="709"/>
      <c r="P44" s="320">
        <f>SUM(P35:P43)</f>
        <v>636856</v>
      </c>
      <c r="Q44" s="709"/>
      <c r="R44" s="320">
        <f>SUM(R35:R43)</f>
        <v>7971</v>
      </c>
      <c r="S44" s="300"/>
      <c r="T44" s="320">
        <f>SUM(T35:T43)</f>
        <v>236436</v>
      </c>
      <c r="U44" s="332"/>
    </row>
    <row r="45" spans="1:21" x14ac:dyDescent="0.2">
      <c r="A45" s="302"/>
      <c r="B45" s="331" t="s">
        <v>94</v>
      </c>
      <c r="C45" s="331"/>
      <c r="J45" s="299">
        <f>+J25+J44</f>
        <v>-4750598</v>
      </c>
      <c r="K45" s="299"/>
      <c r="L45" s="299">
        <f>+L25+L44</f>
        <v>445481</v>
      </c>
      <c r="M45" s="299"/>
      <c r="N45" s="299">
        <f>+N25+N44</f>
        <v>-4305117</v>
      </c>
      <c r="O45" s="299"/>
      <c r="P45" s="299">
        <f>+P31+P44</f>
        <v>4541500</v>
      </c>
      <c r="Q45" s="299"/>
      <c r="R45" s="299">
        <f>+R31+R44</f>
        <v>2175</v>
      </c>
      <c r="S45" s="299"/>
      <c r="T45" s="299">
        <f>+T31+T44</f>
        <v>11247</v>
      </c>
      <c r="U45" s="302"/>
    </row>
    <row r="46" spans="1:21" x14ac:dyDescent="0.2">
      <c r="A46" s="302"/>
      <c r="B46" s="26" t="s">
        <v>316</v>
      </c>
      <c r="C46" s="26"/>
      <c r="H46" s="302"/>
      <c r="I46" s="302"/>
      <c r="J46" s="462">
        <v>19806344</v>
      </c>
      <c r="K46" s="709"/>
      <c r="L46" s="300">
        <v>6490685</v>
      </c>
      <c r="M46" s="300"/>
      <c r="N46" s="300">
        <f>SUM(J46:L46)</f>
        <v>26297029</v>
      </c>
      <c r="O46" s="300"/>
      <c r="P46" s="300">
        <v>32817547</v>
      </c>
      <c r="Q46" s="300"/>
      <c r="R46" s="300">
        <v>395273</v>
      </c>
      <c r="S46" s="300"/>
      <c r="T46" s="300">
        <v>672654</v>
      </c>
    </row>
    <row r="47" spans="1:21" x14ac:dyDescent="0.2">
      <c r="A47" s="302"/>
      <c r="B47" s="893" t="s">
        <v>1100</v>
      </c>
      <c r="C47" s="893"/>
      <c r="D47" s="576"/>
      <c r="E47" s="576"/>
      <c r="F47" s="576"/>
      <c r="G47" s="576"/>
      <c r="H47" s="302"/>
      <c r="I47" s="302"/>
      <c r="J47" s="461">
        <v>-694416</v>
      </c>
      <c r="K47" s="709"/>
      <c r="L47" s="461">
        <v>-333000</v>
      </c>
      <c r="M47" s="709"/>
      <c r="N47" s="461">
        <f>SUM(J47:L47)</f>
        <v>-1027416</v>
      </c>
      <c r="O47" s="709"/>
      <c r="P47" s="461">
        <v>-517618</v>
      </c>
      <c r="Q47" s="300"/>
      <c r="R47" s="461">
        <v>-49217</v>
      </c>
      <c r="S47" s="300"/>
      <c r="T47" s="461">
        <v>-2323</v>
      </c>
    </row>
    <row r="48" spans="1:21" x14ac:dyDescent="0.2">
      <c r="A48" s="302"/>
      <c r="B48" s="26" t="s">
        <v>1101</v>
      </c>
      <c r="C48" s="26"/>
      <c r="H48" s="302"/>
      <c r="I48" s="302"/>
      <c r="J48" s="462">
        <f>SUM(J46:J47)</f>
        <v>19111928</v>
      </c>
      <c r="K48" s="709"/>
      <c r="L48" s="462">
        <f>SUM(L46:L47)</f>
        <v>6157685</v>
      </c>
      <c r="M48" s="709"/>
      <c r="N48" s="462">
        <f>SUM(J48:L48)</f>
        <v>25269613</v>
      </c>
      <c r="O48" s="709"/>
      <c r="P48" s="300">
        <f>SUM(P46:P47)</f>
        <v>32299929</v>
      </c>
      <c r="Q48" s="709"/>
      <c r="R48" s="300">
        <f>SUM(R46:R47)</f>
        <v>346056</v>
      </c>
      <c r="S48" s="300"/>
      <c r="T48" s="300">
        <f>SUM(T46:T47)</f>
        <v>670331</v>
      </c>
    </row>
    <row r="49" spans="1:21" ht="13.5" thickBot="1" x14ac:dyDescent="0.25">
      <c r="B49" s="310" t="s">
        <v>96</v>
      </c>
      <c r="H49" s="332"/>
      <c r="I49" s="332"/>
      <c r="J49" s="298">
        <f>J45+J48</f>
        <v>14361330</v>
      </c>
      <c r="K49" s="318"/>
      <c r="L49" s="298">
        <f>L45+L48</f>
        <v>6603166</v>
      </c>
      <c r="M49" s="318"/>
      <c r="N49" s="298">
        <f>N45+N48</f>
        <v>20964496</v>
      </c>
      <c r="O49" s="764"/>
      <c r="P49" s="298">
        <f>P45+P48</f>
        <v>36841429</v>
      </c>
      <c r="Q49" s="764"/>
      <c r="R49" s="298">
        <f>R45+R48</f>
        <v>348231</v>
      </c>
      <c r="S49" s="318"/>
      <c r="T49" s="298">
        <f>T45+T48</f>
        <v>681578</v>
      </c>
    </row>
    <row r="50" spans="1:21" ht="14.25" thickTop="1" thickBot="1" x14ac:dyDescent="0.25">
      <c r="A50" s="745"/>
      <c r="H50" s="302"/>
      <c r="I50" s="302"/>
    </row>
    <row r="51" spans="1:21" x14ac:dyDescent="0.2">
      <c r="H51" s="322"/>
      <c r="I51" s="322"/>
      <c r="J51" s="997" t="s">
        <v>1108</v>
      </c>
      <c r="K51" s="998"/>
      <c r="L51" s="999"/>
      <c r="M51" s="999"/>
      <c r="N51" s="999"/>
      <c r="O51" s="999"/>
      <c r="P51" s="999"/>
      <c r="Q51" s="999"/>
      <c r="R51" s="1000"/>
      <c r="S51" s="892"/>
    </row>
    <row r="52" spans="1:21" x14ac:dyDescent="0.2">
      <c r="A52" s="310" t="str">
        <f>'GWNetPos 68 Exh 1'!A59</f>
        <v>The notes to the financial statements are an integral part of this statement.</v>
      </c>
      <c r="H52" s="302"/>
      <c r="I52" s="302"/>
      <c r="J52" s="1001"/>
      <c r="K52" s="1002"/>
      <c r="L52" s="1002"/>
      <c r="M52" s="1002"/>
      <c r="N52" s="1002"/>
      <c r="O52" s="1002"/>
      <c r="P52" s="1002"/>
      <c r="Q52" s="1002"/>
      <c r="R52" s="1003"/>
      <c r="S52" s="892"/>
    </row>
    <row r="53" spans="1:21" ht="13.5" thickBot="1" x14ac:dyDescent="0.25">
      <c r="F53" s="302"/>
      <c r="G53" s="302"/>
      <c r="J53" s="1004"/>
      <c r="K53" s="1005"/>
      <c r="L53" s="1005"/>
      <c r="M53" s="1005"/>
      <c r="N53" s="1005"/>
      <c r="O53" s="1005"/>
      <c r="P53" s="1005"/>
      <c r="Q53" s="1005"/>
      <c r="R53" s="1006"/>
      <c r="S53" s="892"/>
    </row>
    <row r="54" spans="1:21" x14ac:dyDescent="0.2">
      <c r="L54" s="302"/>
      <c r="M54" s="302"/>
    </row>
    <row r="55" spans="1:21" hidden="1" x14ac:dyDescent="0.2">
      <c r="B55" s="332"/>
      <c r="C55" s="332"/>
      <c r="D55" s="332"/>
      <c r="E55" s="332"/>
      <c r="F55" s="332"/>
      <c r="G55" s="332"/>
      <c r="J55" s="302">
        <f>'GWNetPos 68 Exh 1'!B56</f>
        <v>14361330</v>
      </c>
      <c r="K55" s="302"/>
      <c r="L55" s="302">
        <f>'GWNetPos 68 Exh 1'!D56</f>
        <v>6603166.1999999993</v>
      </c>
      <c r="M55" s="302"/>
      <c r="N55" s="302">
        <f>'GWNetPos 68 Exh 1'!F56</f>
        <v>20964496.199999999</v>
      </c>
      <c r="O55" s="302"/>
      <c r="P55" s="302">
        <f>'GWNetPos 68 Exh 1'!H56</f>
        <v>36841429</v>
      </c>
      <c r="Q55" s="302"/>
      <c r="R55" s="302">
        <f>'GWNetPos 68 Exh 1'!J56</f>
        <v>348231</v>
      </c>
      <c r="S55" s="302"/>
      <c r="T55" s="299">
        <f>'GWNetPos 68 Exh 1'!L56</f>
        <v>681578</v>
      </c>
    </row>
    <row r="56" spans="1:21" hidden="1" x14ac:dyDescent="0.2">
      <c r="B56" s="338"/>
      <c r="C56" s="338"/>
      <c r="H56" s="326"/>
      <c r="I56" s="326"/>
      <c r="J56" s="302"/>
      <c r="K56" s="302"/>
    </row>
    <row r="57" spans="1:21" hidden="1" x14ac:dyDescent="0.2">
      <c r="J57" s="332">
        <f>J49-J55</f>
        <v>0</v>
      </c>
      <c r="K57" s="332"/>
    </row>
    <row r="58" spans="1:21" x14ac:dyDescent="0.2">
      <c r="U58" s="302"/>
    </row>
    <row r="59" spans="1:21" x14ac:dyDescent="0.2">
      <c r="U59" s="302"/>
    </row>
    <row r="60" spans="1:21" x14ac:dyDescent="0.2">
      <c r="J60" s="302"/>
      <c r="U60" s="302"/>
    </row>
    <row r="61" spans="1:21" x14ac:dyDescent="0.2">
      <c r="J61" s="302"/>
    </row>
    <row r="62" spans="1:21" x14ac:dyDescent="0.2">
      <c r="J62" s="302"/>
      <c r="L62" s="302"/>
      <c r="U62" s="302"/>
    </row>
    <row r="63" spans="1:21" x14ac:dyDescent="0.2">
      <c r="J63" s="302"/>
    </row>
    <row r="64" spans="1:21" x14ac:dyDescent="0.2">
      <c r="J64" s="332"/>
    </row>
    <row r="65" spans="10:10" x14ac:dyDescent="0.2">
      <c r="J65" s="302"/>
    </row>
    <row r="66" spans="10:10" x14ac:dyDescent="0.2">
      <c r="J66" s="302"/>
    </row>
    <row r="67" spans="10:10" x14ac:dyDescent="0.2">
      <c r="J67" s="332"/>
    </row>
  </sheetData>
  <customSheetViews>
    <customSheetView guid="{E0C60316-4586-4AAF-92CB-FA82BB1EB755}" topLeftCell="A16">
      <selection activeCell="B28" sqref="B28"/>
      <pageMargins left="0" right="0" top="0" bottom="0" header="0" footer="0"/>
      <printOptions horizontalCentered="1"/>
      <pageSetup scale="64" firstPageNumber="28" fitToHeight="0" orientation="landscape" useFirstPageNumber="1" r:id="rId1"/>
      <headerFooter alignWithMargins="0"/>
    </customSheetView>
    <customSheetView guid="{A8748736-0722-49EB-85B6-C9B52DDCFE0E}" showPageBreaks="1" printArea="1" topLeftCell="A28">
      <selection activeCell="B11" sqref="B11"/>
      <pageMargins left="0.75" right="0.75" top="1" bottom="1" header="0.5" footer="0.5"/>
      <printOptions horizontalCentered="1"/>
      <pageSetup scale="64" firstPageNumber="28" fitToHeight="0" orientation="landscape" useFirstPageNumber="1" r:id="rId2"/>
      <headerFooter alignWithMargins="0"/>
    </customSheetView>
  </customSheetViews>
  <mergeCells count="7">
    <mergeCell ref="D6:H6"/>
    <mergeCell ref="J7:N7"/>
    <mergeCell ref="J51:R53"/>
    <mergeCell ref="J6:T6"/>
    <mergeCell ref="A1:T1"/>
    <mergeCell ref="A2:T2"/>
    <mergeCell ref="A3:T3"/>
  </mergeCells>
  <printOptions horizontalCentered="1"/>
  <pageMargins left="0.75" right="0.75" top="1" bottom="1" header="0.5" footer="0.5"/>
  <pageSetup scale="64" firstPageNumber="28" fitToHeight="0" orientation="landscape" useFirstPageNumber="1" r:id="rId3"/>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tint="0.39997558519241921"/>
    <pageSetUpPr fitToPage="1"/>
  </sheetPr>
  <dimension ref="A1:W53"/>
  <sheetViews>
    <sheetView workbookViewId="0">
      <selection activeCell="T13" sqref="T13"/>
    </sheetView>
  </sheetViews>
  <sheetFormatPr defaultColWidth="9.140625" defaultRowHeight="12.75" x14ac:dyDescent="0.2"/>
  <cols>
    <col min="1" max="1" width="36.42578125" style="30" customWidth="1"/>
    <col min="2" max="2" width="11.140625" style="30" customWidth="1"/>
    <col min="3" max="3" width="1.7109375" style="30" customWidth="1"/>
    <col min="4" max="4" width="12" style="30" customWidth="1"/>
    <col min="5" max="5" width="1.7109375" style="30" customWidth="1"/>
    <col min="6" max="6" width="13.140625" style="30" customWidth="1"/>
    <col min="7" max="7" width="1.7109375" style="30" customWidth="1"/>
    <col min="8" max="8" width="11" style="30" customWidth="1"/>
    <col min="9" max="9" width="1.7109375" style="30" customWidth="1"/>
    <col min="10" max="10" width="11.28515625" style="30" customWidth="1"/>
    <col min="11" max="11" width="1.7109375" style="30" customWidth="1"/>
    <col min="12" max="12" width="11.7109375" style="30" customWidth="1"/>
    <col min="13" max="13" width="1.7109375" style="30" customWidth="1"/>
    <col min="14" max="14" width="10.85546875" style="30" customWidth="1"/>
    <col min="15" max="15" width="1.7109375" style="30" customWidth="1"/>
    <col min="16" max="16" width="11.5703125" style="30" customWidth="1"/>
    <col min="17" max="17" width="1.7109375" style="30" customWidth="1"/>
    <col min="18" max="18" width="11.140625" style="30" customWidth="1"/>
    <col min="19" max="19" width="1.7109375" style="30" customWidth="1"/>
    <col min="20" max="20" width="13.28515625" style="30" customWidth="1"/>
    <col min="21" max="21" width="11.28515625" style="71" bestFit="1" customWidth="1"/>
    <col min="22" max="22" width="11.42578125" style="30" bestFit="1" customWidth="1"/>
    <col min="23" max="23" width="10.5703125" style="30" bestFit="1" customWidth="1"/>
    <col min="24" max="16384" width="9.140625" style="30"/>
  </cols>
  <sheetData>
    <row r="1" spans="1:21" x14ac:dyDescent="0.2">
      <c r="A1" s="1016" t="s">
        <v>0</v>
      </c>
      <c r="B1" s="1016"/>
      <c r="C1" s="1016"/>
      <c r="D1" s="1016"/>
      <c r="E1" s="1016"/>
      <c r="F1" s="1016"/>
      <c r="G1" s="1016"/>
      <c r="H1" s="1016"/>
      <c r="I1" s="1016"/>
      <c r="J1" s="1016"/>
      <c r="K1" s="1016"/>
      <c r="L1" s="1016"/>
      <c r="M1" s="1016"/>
      <c r="N1" s="1016"/>
      <c r="O1" s="1016"/>
      <c r="P1" s="1016"/>
      <c r="Q1" s="1016"/>
      <c r="R1" s="1016"/>
      <c r="S1" s="1016"/>
      <c r="T1" s="1016"/>
      <c r="U1" s="370"/>
    </row>
    <row r="2" spans="1:21" x14ac:dyDescent="0.2">
      <c r="A2" s="1016" t="s">
        <v>547</v>
      </c>
      <c r="B2" s="1016"/>
      <c r="C2" s="1016"/>
      <c r="D2" s="1016"/>
      <c r="E2" s="1016"/>
      <c r="F2" s="1016"/>
      <c r="G2" s="1016"/>
      <c r="H2" s="1016"/>
      <c r="I2" s="1016"/>
      <c r="J2" s="1016"/>
      <c r="K2" s="1016"/>
      <c r="L2" s="1016"/>
      <c r="M2" s="1016"/>
      <c r="N2" s="1016"/>
      <c r="O2" s="1016"/>
      <c r="P2" s="1016"/>
      <c r="Q2" s="1016"/>
      <c r="R2" s="1016"/>
      <c r="S2" s="1016"/>
      <c r="T2" s="1016"/>
      <c r="U2" s="370"/>
    </row>
    <row r="3" spans="1:21" x14ac:dyDescent="0.2">
      <c r="A3" s="1016" t="s">
        <v>548</v>
      </c>
      <c r="B3" s="1016"/>
      <c r="C3" s="1016"/>
      <c r="D3" s="1016"/>
      <c r="E3" s="1016"/>
      <c r="F3" s="1016"/>
      <c r="G3" s="1016"/>
      <c r="H3" s="1016"/>
      <c r="I3" s="1016"/>
      <c r="J3" s="1016"/>
      <c r="K3" s="1016"/>
      <c r="L3" s="1016"/>
      <c r="M3" s="1016"/>
      <c r="N3" s="1016"/>
      <c r="O3" s="1016"/>
      <c r="P3" s="1016"/>
      <c r="Q3" s="1016"/>
      <c r="R3" s="1016"/>
      <c r="S3" s="1016"/>
      <c r="T3" s="1016"/>
      <c r="U3" s="370"/>
    </row>
    <row r="4" spans="1:21" x14ac:dyDescent="0.2">
      <c r="A4" s="1106" t="str">
        <f>'GWNetPos 68 Exh 1'!A3:J3</f>
        <v>June 30, 2025</v>
      </c>
      <c r="B4" s="1106"/>
      <c r="C4" s="1106"/>
      <c r="D4" s="1106"/>
      <c r="E4" s="1106"/>
      <c r="F4" s="1106"/>
      <c r="G4" s="1106"/>
      <c r="H4" s="1106"/>
      <c r="I4" s="1106"/>
      <c r="J4" s="1106"/>
      <c r="K4" s="1106"/>
      <c r="L4" s="1106"/>
      <c r="M4" s="1106"/>
      <c r="N4" s="1106"/>
      <c r="O4" s="1106"/>
      <c r="P4" s="1106"/>
      <c r="Q4" s="1106"/>
      <c r="R4" s="1106"/>
      <c r="S4" s="1106"/>
      <c r="T4" s="1106"/>
      <c r="U4" s="370"/>
    </row>
    <row r="5" spans="1:21" x14ac:dyDescent="0.2">
      <c r="A5" s="668"/>
      <c r="B5" s="668"/>
      <c r="C5" s="668"/>
      <c r="D5" s="668"/>
      <c r="E5" s="668"/>
      <c r="F5" s="668"/>
      <c r="G5" s="668"/>
      <c r="H5" s="668"/>
      <c r="I5" s="668"/>
      <c r="J5" s="668"/>
      <c r="K5" s="668"/>
      <c r="L5" s="668"/>
      <c r="M5" s="668"/>
      <c r="T5" s="668"/>
      <c r="U5" s="370"/>
    </row>
    <row r="6" spans="1:21" ht="13.5" thickBot="1" x14ac:dyDescent="0.25">
      <c r="A6" s="680"/>
      <c r="B6" s="680"/>
      <c r="C6" s="680"/>
      <c r="D6" s="680"/>
      <c r="E6" s="680"/>
      <c r="F6" s="680"/>
      <c r="G6" s="680"/>
      <c r="H6" s="680"/>
      <c r="I6" s="680"/>
      <c r="J6" s="680"/>
      <c r="K6" s="680"/>
      <c r="L6" s="680"/>
      <c r="M6" s="680"/>
      <c r="N6" s="680"/>
      <c r="O6" s="680"/>
      <c r="P6" s="680"/>
      <c r="Q6" s="680"/>
      <c r="R6" s="680"/>
      <c r="S6" s="680"/>
      <c r="T6" s="680"/>
      <c r="U6" s="370"/>
    </row>
    <row r="7" spans="1:21" ht="13.5" thickBot="1" x14ac:dyDescent="0.25">
      <c r="A7" s="26"/>
      <c r="B7" s="737"/>
      <c r="C7" s="737"/>
      <c r="D7" s="738" t="s">
        <v>549</v>
      </c>
      <c r="E7" s="738"/>
      <c r="F7" s="738"/>
      <c r="G7" s="738"/>
      <c r="H7" s="738"/>
      <c r="I7" s="738"/>
      <c r="J7" s="738"/>
      <c r="K7" s="738"/>
      <c r="L7" s="737"/>
      <c r="M7" s="111"/>
      <c r="N7" s="1107" t="s">
        <v>550</v>
      </c>
      <c r="O7" s="1107"/>
      <c r="P7" s="1107"/>
      <c r="Q7" s="1107"/>
      <c r="R7" s="1107"/>
      <c r="S7" s="666"/>
      <c r="T7" s="26"/>
      <c r="U7" s="370"/>
    </row>
    <row r="8" spans="1:21" ht="60" x14ac:dyDescent="0.2">
      <c r="A8" s="26"/>
      <c r="B8" s="91" t="s">
        <v>551</v>
      </c>
      <c r="C8" s="416"/>
      <c r="D8" s="91" t="s">
        <v>552</v>
      </c>
      <c r="E8" s="416"/>
      <c r="F8" s="91" t="s">
        <v>553</v>
      </c>
      <c r="G8" s="416"/>
      <c r="H8" s="91" t="s">
        <v>554</v>
      </c>
      <c r="I8" s="416"/>
      <c r="J8" s="91" t="s">
        <v>555</v>
      </c>
      <c r="K8" s="416"/>
      <c r="L8" s="91" t="s">
        <v>557</v>
      </c>
      <c r="M8" s="416"/>
      <c r="N8" s="91" t="s">
        <v>558</v>
      </c>
      <c r="O8" s="416"/>
      <c r="P8" s="91" t="s">
        <v>559</v>
      </c>
      <c r="Q8" s="416"/>
      <c r="R8" s="91" t="s">
        <v>560</v>
      </c>
      <c r="S8" s="416"/>
      <c r="T8" s="91" t="s">
        <v>561</v>
      </c>
      <c r="U8" s="92"/>
    </row>
    <row r="9" spans="1:21" x14ac:dyDescent="0.2">
      <c r="A9" s="93" t="s">
        <v>10</v>
      </c>
      <c r="B9" s="26"/>
      <c r="C9" s="26"/>
      <c r="D9" s="26"/>
      <c r="E9" s="26"/>
      <c r="F9" s="26"/>
      <c r="G9" s="26"/>
      <c r="H9" s="26"/>
      <c r="I9" s="26"/>
      <c r="J9" s="26"/>
      <c r="K9" s="26"/>
      <c r="L9" s="26"/>
      <c r="M9" s="26"/>
      <c r="N9" s="26"/>
      <c r="O9" s="26"/>
      <c r="P9" s="26"/>
      <c r="Q9" s="26"/>
      <c r="R9" s="26"/>
      <c r="S9" s="26"/>
      <c r="T9" s="26"/>
      <c r="U9" s="370"/>
    </row>
    <row r="10" spans="1:21" x14ac:dyDescent="0.2">
      <c r="A10" s="100" t="s">
        <v>11</v>
      </c>
      <c r="B10" s="94">
        <f>1450+1000</f>
        <v>2450</v>
      </c>
      <c r="C10" s="94"/>
      <c r="D10" s="94">
        <v>1783</v>
      </c>
      <c r="E10" s="94"/>
      <c r="F10" s="94">
        <v>53478</v>
      </c>
      <c r="G10" s="94"/>
      <c r="H10" s="94">
        <v>2724</v>
      </c>
      <c r="I10" s="94"/>
      <c r="J10" s="94">
        <v>72179</v>
      </c>
      <c r="K10" s="94"/>
      <c r="L10" s="94">
        <f t="shared" ref="L10:L14" si="0">SUM(B10:J10)</f>
        <v>132614</v>
      </c>
      <c r="M10" s="94"/>
      <c r="N10" s="94">
        <f>2244-1720</f>
        <v>524</v>
      </c>
      <c r="O10" s="94"/>
      <c r="P10" s="94">
        <f>46000+558550-558550</f>
        <v>46000</v>
      </c>
      <c r="Q10" s="94"/>
      <c r="R10" s="94">
        <f>SUM(N10:P10)</f>
        <v>46524</v>
      </c>
      <c r="S10" s="94"/>
      <c r="T10" s="94">
        <f>+L10+R10</f>
        <v>179138</v>
      </c>
      <c r="U10" s="370"/>
    </row>
    <row r="11" spans="1:21" x14ac:dyDescent="0.2">
      <c r="A11" s="100" t="s">
        <v>17</v>
      </c>
      <c r="B11" s="95">
        <v>0</v>
      </c>
      <c r="C11" s="95"/>
      <c r="D11" s="95">
        <v>0</v>
      </c>
      <c r="E11" s="95"/>
      <c r="F11" s="95">
        <v>0</v>
      </c>
      <c r="G11" s="95"/>
      <c r="H11" s="95">
        <v>0</v>
      </c>
      <c r="I11" s="95"/>
      <c r="J11" s="95">
        <v>0</v>
      </c>
      <c r="K11" s="95"/>
      <c r="L11" s="95">
        <f t="shared" si="0"/>
        <v>0</v>
      </c>
      <c r="M11" s="94"/>
      <c r="N11" s="95">
        <v>1720</v>
      </c>
      <c r="O11" s="95"/>
      <c r="P11" s="95">
        <v>558550</v>
      </c>
      <c r="Q11" s="95"/>
      <c r="R11" s="95">
        <f>SUM(N11:P11)</f>
        <v>560270</v>
      </c>
      <c r="S11" s="95"/>
      <c r="T11" s="95">
        <f t="shared" ref="T11:T14" si="1">+L11+R11</f>
        <v>560270</v>
      </c>
      <c r="U11" s="370"/>
    </row>
    <row r="12" spans="1:21" x14ac:dyDescent="0.2">
      <c r="A12" s="100" t="s">
        <v>562</v>
      </c>
      <c r="B12" s="95">
        <v>0</v>
      </c>
      <c r="C12" s="95"/>
      <c r="D12" s="95">
        <v>0</v>
      </c>
      <c r="E12" s="95"/>
      <c r="F12" s="95">
        <v>0</v>
      </c>
      <c r="G12" s="95"/>
      <c r="H12" s="95">
        <v>0</v>
      </c>
      <c r="I12" s="95"/>
      <c r="J12" s="95">
        <v>2687</v>
      </c>
      <c r="K12" s="95"/>
      <c r="L12" s="95">
        <f t="shared" si="0"/>
        <v>2687</v>
      </c>
      <c r="M12" s="94"/>
      <c r="N12" s="95">
        <v>9093</v>
      </c>
      <c r="O12" s="95"/>
      <c r="P12" s="95">
        <v>0</v>
      </c>
      <c r="Q12" s="95"/>
      <c r="R12" s="95">
        <f>SUM(N12:P12)</f>
        <v>9093</v>
      </c>
      <c r="S12" s="95"/>
      <c r="T12" s="95">
        <f t="shared" si="1"/>
        <v>11780</v>
      </c>
      <c r="U12" s="370"/>
    </row>
    <row r="13" spans="1:21" x14ac:dyDescent="0.2">
      <c r="A13" s="100" t="s">
        <v>563</v>
      </c>
      <c r="B13" s="95">
        <v>4478</v>
      </c>
      <c r="C13" s="95"/>
      <c r="D13" s="95">
        <v>1345</v>
      </c>
      <c r="E13" s="95"/>
      <c r="F13" s="95">
        <v>0</v>
      </c>
      <c r="G13" s="95"/>
      <c r="H13" s="95">
        <v>0</v>
      </c>
      <c r="I13" s="95"/>
      <c r="J13" s="95">
        <v>0</v>
      </c>
      <c r="K13" s="95"/>
      <c r="L13" s="95">
        <f t="shared" si="0"/>
        <v>5823</v>
      </c>
      <c r="M13" s="94"/>
      <c r="N13" s="95">
        <v>0</v>
      </c>
      <c r="O13" s="95"/>
      <c r="P13" s="95">
        <v>0</v>
      </c>
      <c r="Q13" s="95"/>
      <c r="R13" s="95">
        <v>0</v>
      </c>
      <c r="S13" s="95"/>
      <c r="T13" s="95">
        <f t="shared" si="1"/>
        <v>5823</v>
      </c>
      <c r="U13" s="370"/>
    </row>
    <row r="14" spans="1:21" x14ac:dyDescent="0.2">
      <c r="A14" s="100" t="s">
        <v>13</v>
      </c>
      <c r="B14" s="97">
        <v>0</v>
      </c>
      <c r="C14" s="96"/>
      <c r="D14" s="97">
        <v>0</v>
      </c>
      <c r="E14" s="96"/>
      <c r="F14" s="96">
        <v>0</v>
      </c>
      <c r="G14" s="96"/>
      <c r="H14" s="96">
        <v>0</v>
      </c>
      <c r="I14" s="96"/>
      <c r="J14" s="96">
        <v>0</v>
      </c>
      <c r="K14" s="96"/>
      <c r="L14" s="95">
        <f t="shared" si="0"/>
        <v>0</v>
      </c>
      <c r="M14" s="94"/>
      <c r="N14" s="97">
        <v>0</v>
      </c>
      <c r="O14" s="96"/>
      <c r="P14" s="97">
        <f>57800-3000</f>
        <v>54800</v>
      </c>
      <c r="Q14" s="96"/>
      <c r="R14" s="95">
        <f>SUM(N14:P14)</f>
        <v>54800</v>
      </c>
      <c r="S14" s="95"/>
      <c r="T14" s="95">
        <f t="shared" si="1"/>
        <v>54800</v>
      </c>
      <c r="U14" s="370"/>
    </row>
    <row r="15" spans="1:21" ht="13.5" thickBot="1" x14ac:dyDescent="0.25">
      <c r="A15" s="101" t="s">
        <v>23</v>
      </c>
      <c r="B15" s="98">
        <f t="shared" ref="B15:T15" si="2">SUM(B10:B14)</f>
        <v>6928</v>
      </c>
      <c r="C15" s="417"/>
      <c r="D15" s="98">
        <f t="shared" si="2"/>
        <v>3128</v>
      </c>
      <c r="E15" s="417"/>
      <c r="F15" s="98">
        <f t="shared" si="2"/>
        <v>53478</v>
      </c>
      <c r="G15" s="417"/>
      <c r="H15" s="98">
        <f t="shared" si="2"/>
        <v>2724</v>
      </c>
      <c r="I15" s="417"/>
      <c r="J15" s="98">
        <f t="shared" si="2"/>
        <v>74866</v>
      </c>
      <c r="K15" s="417"/>
      <c r="L15" s="98">
        <f t="shared" si="2"/>
        <v>141124</v>
      </c>
      <c r="M15" s="417"/>
      <c r="N15" s="98">
        <f t="shared" si="2"/>
        <v>11337</v>
      </c>
      <c r="O15" s="417"/>
      <c r="P15" s="98">
        <f t="shared" si="2"/>
        <v>659350</v>
      </c>
      <c r="Q15" s="417"/>
      <c r="R15" s="98">
        <f t="shared" si="2"/>
        <v>670687</v>
      </c>
      <c r="S15" s="417"/>
      <c r="T15" s="735">
        <f t="shared" si="2"/>
        <v>811811</v>
      </c>
      <c r="U15" s="370"/>
    </row>
    <row r="16" spans="1:21" ht="12.75" customHeight="1" thickTop="1" x14ac:dyDescent="0.2">
      <c r="A16" s="26"/>
      <c r="B16" s="26"/>
      <c r="C16" s="26"/>
      <c r="D16" s="26"/>
      <c r="E16" s="26"/>
      <c r="F16" s="26"/>
      <c r="G16" s="26"/>
      <c r="H16" s="26"/>
      <c r="I16" s="26"/>
      <c r="J16" s="26"/>
      <c r="K16" s="26"/>
      <c r="L16" s="26"/>
      <c r="M16" s="26"/>
      <c r="N16" s="26"/>
      <c r="O16" s="26"/>
      <c r="P16" s="26"/>
      <c r="Q16" s="26"/>
      <c r="R16" s="26"/>
      <c r="S16" s="26"/>
      <c r="T16" s="26"/>
      <c r="U16" s="370"/>
    </row>
    <row r="17" spans="1:20" x14ac:dyDescent="0.2">
      <c r="A17" s="93" t="s">
        <v>25</v>
      </c>
      <c r="B17" s="26"/>
      <c r="C17" s="26"/>
      <c r="D17" s="26"/>
      <c r="E17" s="26"/>
      <c r="F17" s="26"/>
      <c r="G17" s="26"/>
      <c r="H17" s="26"/>
      <c r="I17" s="26"/>
      <c r="J17" s="26"/>
      <c r="K17" s="26"/>
      <c r="L17" s="26"/>
      <c r="M17" s="26"/>
      <c r="N17" s="26"/>
      <c r="O17" s="26"/>
      <c r="P17" s="26"/>
      <c r="Q17" s="26"/>
      <c r="R17" s="26"/>
      <c r="S17" s="26"/>
      <c r="T17" s="26"/>
    </row>
    <row r="18" spans="1:20" ht="27.95" customHeight="1" x14ac:dyDescent="0.2">
      <c r="A18" s="99" t="s">
        <v>564</v>
      </c>
      <c r="B18" s="94">
        <v>4478</v>
      </c>
      <c r="C18" s="94"/>
      <c r="D18" s="94">
        <v>0</v>
      </c>
      <c r="E18" s="94"/>
      <c r="F18" s="94">
        <v>7132</v>
      </c>
      <c r="G18" s="94"/>
      <c r="H18" s="94">
        <v>0</v>
      </c>
      <c r="I18" s="94"/>
      <c r="J18" s="94">
        <v>0</v>
      </c>
      <c r="K18" s="94"/>
      <c r="L18" s="94">
        <f>SUM(B18:J18)</f>
        <v>11610</v>
      </c>
      <c r="M18" s="94"/>
      <c r="N18" s="94">
        <v>3368</v>
      </c>
      <c r="O18" s="94"/>
      <c r="P18" s="94">
        <v>5500</v>
      </c>
      <c r="Q18" s="94"/>
      <c r="R18" s="94">
        <f>SUM(N18:P18)</f>
        <v>8868</v>
      </c>
      <c r="S18" s="94"/>
      <c r="T18" s="94">
        <f>R18+L18</f>
        <v>20478</v>
      </c>
    </row>
    <row r="19" spans="1:20" x14ac:dyDescent="0.2">
      <c r="A19" s="100" t="s">
        <v>28</v>
      </c>
      <c r="B19" s="95">
        <v>0</v>
      </c>
      <c r="C19" s="95"/>
      <c r="D19" s="95">
        <v>0</v>
      </c>
      <c r="E19" s="95"/>
      <c r="F19" s="95">
        <v>0</v>
      </c>
      <c r="G19" s="95"/>
      <c r="H19" s="95">
        <v>2724</v>
      </c>
      <c r="I19" s="95"/>
      <c r="J19" s="95">
        <v>72179</v>
      </c>
      <c r="K19" s="95"/>
      <c r="L19" s="94">
        <f>SUM(B19:J19)</f>
        <v>74903</v>
      </c>
      <c r="M19" s="94"/>
      <c r="N19" s="95">
        <v>0</v>
      </c>
      <c r="O19" s="95"/>
      <c r="P19" s="95">
        <v>0</v>
      </c>
      <c r="Q19" s="95"/>
      <c r="R19" s="95">
        <f>SUM(N19:P19)</f>
        <v>0</v>
      </c>
      <c r="S19" s="95"/>
      <c r="T19" s="95">
        <f t="shared" ref="T19:T20" si="3">R19+L19</f>
        <v>74903</v>
      </c>
    </row>
    <row r="20" spans="1:20" x14ac:dyDescent="0.2">
      <c r="A20" s="100" t="s">
        <v>111</v>
      </c>
      <c r="B20" s="95">
        <v>0</v>
      </c>
      <c r="C20" s="95"/>
      <c r="D20" s="95">
        <v>0</v>
      </c>
      <c r="E20" s="95"/>
      <c r="F20" s="95">
        <v>0</v>
      </c>
      <c r="G20" s="95"/>
      <c r="H20" s="95">
        <v>0</v>
      </c>
      <c r="I20" s="95"/>
      <c r="J20" s="95">
        <v>0</v>
      </c>
      <c r="K20" s="95"/>
      <c r="L20" s="94">
        <f>SUM(B20:J20)</f>
        <v>0</v>
      </c>
      <c r="M20" s="94"/>
      <c r="N20" s="95">
        <v>0</v>
      </c>
      <c r="O20" s="95"/>
      <c r="P20" s="95">
        <v>85030</v>
      </c>
      <c r="Q20" s="95"/>
      <c r="R20" s="95">
        <f>SUM(N20:P20)</f>
        <v>85030</v>
      </c>
      <c r="S20" s="95"/>
      <c r="T20" s="95">
        <f t="shared" si="3"/>
        <v>85030</v>
      </c>
    </row>
    <row r="21" spans="1:20" x14ac:dyDescent="0.2">
      <c r="A21" s="101" t="s">
        <v>35</v>
      </c>
      <c r="B21" s="102">
        <f t="shared" ref="B21:T21" si="4">SUM(B18:B20)</f>
        <v>4478</v>
      </c>
      <c r="C21" s="96"/>
      <c r="D21" s="102">
        <f t="shared" si="4"/>
        <v>0</v>
      </c>
      <c r="E21" s="96"/>
      <c r="F21" s="102">
        <f t="shared" si="4"/>
        <v>7132</v>
      </c>
      <c r="G21" s="96"/>
      <c r="H21" s="102">
        <f t="shared" si="4"/>
        <v>2724</v>
      </c>
      <c r="I21" s="96"/>
      <c r="J21" s="102">
        <f t="shared" si="4"/>
        <v>72179</v>
      </c>
      <c r="K21" s="96"/>
      <c r="L21" s="102">
        <f t="shared" si="4"/>
        <v>86513</v>
      </c>
      <c r="M21" s="96"/>
      <c r="N21" s="102">
        <f t="shared" si="4"/>
        <v>3368</v>
      </c>
      <c r="O21" s="96"/>
      <c r="P21" s="102">
        <f t="shared" si="4"/>
        <v>90530</v>
      </c>
      <c r="Q21" s="96"/>
      <c r="R21" s="102">
        <f t="shared" si="4"/>
        <v>93898</v>
      </c>
      <c r="S21" s="96"/>
      <c r="T21" s="736">
        <f t="shared" si="4"/>
        <v>180411</v>
      </c>
    </row>
    <row r="22" spans="1:20" ht="12.75" customHeight="1" x14ac:dyDescent="0.2">
      <c r="A22" s="101"/>
      <c r="B22" s="96"/>
      <c r="C22" s="96"/>
      <c r="D22" s="96"/>
      <c r="E22" s="96"/>
      <c r="F22" s="96"/>
      <c r="G22" s="96"/>
      <c r="H22" s="96"/>
      <c r="I22" s="96"/>
      <c r="J22" s="96"/>
      <c r="K22" s="96"/>
      <c r="L22" s="96"/>
      <c r="M22" s="96"/>
      <c r="N22" s="96"/>
      <c r="O22" s="96"/>
      <c r="P22" s="96"/>
      <c r="Q22" s="96"/>
      <c r="R22" s="96"/>
      <c r="S22" s="96"/>
      <c r="T22" s="96"/>
    </row>
    <row r="23" spans="1:20" x14ac:dyDescent="0.2">
      <c r="A23" s="93" t="s">
        <v>36</v>
      </c>
      <c r="B23" s="96"/>
      <c r="C23" s="96"/>
      <c r="D23" s="96"/>
      <c r="E23" s="96"/>
      <c r="F23" s="96"/>
      <c r="G23" s="96"/>
      <c r="H23" s="96"/>
      <c r="I23" s="96"/>
      <c r="J23" s="96"/>
      <c r="K23" s="96"/>
      <c r="L23" s="96"/>
      <c r="M23" s="96"/>
      <c r="N23" s="96"/>
      <c r="O23" s="96"/>
      <c r="P23" s="96"/>
      <c r="Q23" s="96"/>
      <c r="R23" s="96"/>
      <c r="S23" s="96"/>
      <c r="T23" s="96"/>
    </row>
    <row r="24" spans="1:20" hidden="1" x14ac:dyDescent="0.2">
      <c r="A24" s="100" t="s">
        <v>957</v>
      </c>
      <c r="B24" s="96">
        <v>0</v>
      </c>
      <c r="C24" s="96"/>
      <c r="D24" s="96">
        <v>0</v>
      </c>
      <c r="E24" s="96"/>
      <c r="F24" s="96">
        <v>0</v>
      </c>
      <c r="G24" s="96"/>
      <c r="H24" s="96">
        <v>0</v>
      </c>
      <c r="I24" s="96"/>
      <c r="J24" s="96">
        <v>0</v>
      </c>
      <c r="K24" s="96"/>
      <c r="L24" s="96">
        <f>SUM(B24:J24)</f>
        <v>0</v>
      </c>
      <c r="M24" s="96"/>
      <c r="N24" s="96">
        <v>0</v>
      </c>
      <c r="O24" s="96"/>
      <c r="P24" s="96">
        <v>0</v>
      </c>
      <c r="Q24" s="96"/>
      <c r="R24" s="96">
        <v>0</v>
      </c>
      <c r="S24" s="96"/>
      <c r="T24" s="96">
        <f>R24+L24</f>
        <v>0</v>
      </c>
    </row>
    <row r="25" spans="1:20" x14ac:dyDescent="0.2">
      <c r="A25" s="99" t="s">
        <v>565</v>
      </c>
      <c r="B25" s="96">
        <v>0</v>
      </c>
      <c r="C25" s="96"/>
      <c r="D25" s="96">
        <v>1345</v>
      </c>
      <c r="E25" s="96"/>
      <c r="F25" s="96">
        <v>0</v>
      </c>
      <c r="G25" s="96"/>
      <c r="H25" s="96">
        <v>0</v>
      </c>
      <c r="I25" s="96"/>
      <c r="J25" s="96">
        <v>0</v>
      </c>
      <c r="K25" s="96"/>
      <c r="L25" s="96">
        <f>SUM(B25:J25)</f>
        <v>1345</v>
      </c>
      <c r="M25" s="96"/>
      <c r="N25" s="96">
        <v>0</v>
      </c>
      <c r="O25" s="96"/>
      <c r="P25" s="96">
        <v>0</v>
      </c>
      <c r="Q25" s="96"/>
      <c r="R25" s="96">
        <v>0</v>
      </c>
      <c r="S25" s="96"/>
      <c r="T25" s="96">
        <f>R25+L25</f>
        <v>1345</v>
      </c>
    </row>
    <row r="26" spans="1:20" x14ac:dyDescent="0.2">
      <c r="A26" s="101" t="s">
        <v>566</v>
      </c>
      <c r="B26" s="102">
        <f>SUM(B24:B25)</f>
        <v>0</v>
      </c>
      <c r="C26" s="96"/>
      <c r="D26" s="102">
        <f t="shared" ref="D26:J26" si="5">SUM(D24:D25)</f>
        <v>1345</v>
      </c>
      <c r="E26" s="96"/>
      <c r="F26" s="102">
        <f t="shared" si="5"/>
        <v>0</v>
      </c>
      <c r="G26" s="96"/>
      <c r="H26" s="102">
        <f t="shared" si="5"/>
        <v>0</v>
      </c>
      <c r="I26" s="96"/>
      <c r="J26" s="102">
        <f t="shared" si="5"/>
        <v>0</v>
      </c>
      <c r="K26" s="96"/>
      <c r="L26" s="102">
        <f t="shared" ref="L26" si="6">SUM(L24:L25)</f>
        <v>1345</v>
      </c>
      <c r="M26" s="96"/>
      <c r="N26" s="102">
        <f t="shared" ref="N26" si="7">SUM(N24:N25)</f>
        <v>0</v>
      </c>
      <c r="O26" s="96"/>
      <c r="P26" s="102">
        <f t="shared" ref="P26" si="8">SUM(P24:P25)</f>
        <v>0</v>
      </c>
      <c r="Q26" s="96"/>
      <c r="R26" s="102">
        <f t="shared" ref="R26" si="9">SUM(R24:R25)</f>
        <v>0</v>
      </c>
      <c r="S26" s="96"/>
      <c r="T26" s="102">
        <f t="shared" ref="T26" si="10">SUM(T24:T25)</f>
        <v>1345</v>
      </c>
    </row>
    <row r="27" spans="1:20" ht="12.75" customHeight="1" x14ac:dyDescent="0.2">
      <c r="A27" s="26"/>
      <c r="B27" s="26"/>
      <c r="C27" s="26"/>
      <c r="D27" s="26"/>
      <c r="E27" s="26"/>
      <c r="F27" s="26"/>
      <c r="G27" s="26"/>
      <c r="H27" s="26"/>
      <c r="I27" s="26"/>
      <c r="J27" s="26"/>
      <c r="K27" s="26"/>
      <c r="L27" s="26"/>
      <c r="M27" s="26"/>
      <c r="N27" s="26"/>
      <c r="O27" s="26"/>
      <c r="P27" s="26"/>
      <c r="Q27" s="26"/>
      <c r="R27" s="26"/>
      <c r="S27" s="26"/>
      <c r="T27" s="26"/>
    </row>
    <row r="28" spans="1:20" x14ac:dyDescent="0.2">
      <c r="A28" s="93" t="s">
        <v>995</v>
      </c>
      <c r="B28" s="26"/>
      <c r="C28" s="26"/>
      <c r="D28" s="26"/>
      <c r="E28" s="26"/>
      <c r="F28" s="26"/>
      <c r="G28" s="26"/>
      <c r="H28" s="26"/>
      <c r="I28" s="26"/>
      <c r="J28" s="26"/>
      <c r="K28" s="26"/>
      <c r="L28" s="26"/>
      <c r="M28" s="26"/>
      <c r="N28" s="26"/>
      <c r="O28" s="26"/>
      <c r="P28" s="26"/>
      <c r="Q28" s="26"/>
      <c r="R28" s="26"/>
      <c r="S28" s="26"/>
      <c r="T28" s="26"/>
    </row>
    <row r="29" spans="1:20" x14ac:dyDescent="0.2">
      <c r="A29" s="464" t="s">
        <v>39</v>
      </c>
      <c r="B29" s="95"/>
      <c r="C29" s="95"/>
      <c r="D29" s="95"/>
      <c r="E29" s="95"/>
      <c r="F29" s="95"/>
      <c r="G29" s="95"/>
      <c r="H29" s="95"/>
      <c r="I29" s="95"/>
      <c r="J29" s="95"/>
      <c r="K29" s="95"/>
      <c r="L29" s="95"/>
      <c r="M29" s="95"/>
      <c r="N29" s="95"/>
      <c r="O29" s="95"/>
      <c r="P29" s="95"/>
      <c r="Q29" s="95"/>
      <c r="R29" s="95"/>
      <c r="S29" s="95"/>
      <c r="T29" s="310"/>
    </row>
    <row r="30" spans="1:20" x14ac:dyDescent="0.2">
      <c r="A30" s="101" t="s">
        <v>45</v>
      </c>
      <c r="B30" s="95">
        <v>4478</v>
      </c>
      <c r="C30" s="95"/>
      <c r="D30" s="95">
        <v>0</v>
      </c>
      <c r="E30" s="95"/>
      <c r="F30" s="95">
        <v>0</v>
      </c>
      <c r="G30" s="95"/>
      <c r="H30" s="95">
        <v>0</v>
      </c>
      <c r="I30" s="95"/>
      <c r="J30" s="95">
        <v>0</v>
      </c>
      <c r="K30" s="95"/>
      <c r="L30" s="95">
        <f t="shared" ref="L30:L39" si="11">SUM(B30:J30)</f>
        <v>4478</v>
      </c>
      <c r="M30" s="95"/>
      <c r="N30" s="95">
        <v>0</v>
      </c>
      <c r="O30" s="95"/>
      <c r="P30" s="95">
        <v>0</v>
      </c>
      <c r="Q30" s="95"/>
      <c r="R30" s="95">
        <f>SUM(N30:P30)</f>
        <v>0</v>
      </c>
      <c r="S30" s="95"/>
      <c r="T30" s="95">
        <f>R30+L30</f>
        <v>4478</v>
      </c>
    </row>
    <row r="31" spans="1:20" x14ac:dyDescent="0.2">
      <c r="A31" s="101" t="s">
        <v>115</v>
      </c>
      <c r="B31" s="95">
        <v>0</v>
      </c>
      <c r="C31" s="95"/>
      <c r="D31" s="95">
        <v>1783</v>
      </c>
      <c r="E31" s="95"/>
      <c r="F31" s="95">
        <v>0</v>
      </c>
      <c r="G31" s="95"/>
      <c r="H31" s="95">
        <v>0</v>
      </c>
      <c r="I31" s="95"/>
      <c r="J31" s="95">
        <v>0</v>
      </c>
      <c r="K31" s="95"/>
      <c r="L31" s="95">
        <f t="shared" si="11"/>
        <v>1783</v>
      </c>
      <c r="M31" s="95"/>
      <c r="N31" s="95">
        <v>0</v>
      </c>
      <c r="O31" s="95"/>
      <c r="P31" s="95">
        <v>0</v>
      </c>
      <c r="Q31" s="95"/>
      <c r="R31" s="95">
        <f>SUM(N31:P31)</f>
        <v>0</v>
      </c>
      <c r="S31" s="95"/>
      <c r="T31" s="95">
        <f t="shared" ref="T31:T39" si="12">R31+L31</f>
        <v>1783</v>
      </c>
    </row>
    <row r="32" spans="1:20" x14ac:dyDescent="0.2">
      <c r="A32" s="101" t="s">
        <v>116</v>
      </c>
      <c r="B32" s="95">
        <v>0</v>
      </c>
      <c r="C32" s="95"/>
      <c r="D32" s="95">
        <v>0</v>
      </c>
      <c r="E32" s="95"/>
      <c r="F32" s="95">
        <v>0</v>
      </c>
      <c r="G32" s="95"/>
      <c r="H32" s="95">
        <v>0</v>
      </c>
      <c r="I32" s="95"/>
      <c r="J32" s="95">
        <v>0</v>
      </c>
      <c r="K32" s="95"/>
      <c r="L32" s="95">
        <f t="shared" si="11"/>
        <v>0</v>
      </c>
      <c r="M32" s="95"/>
      <c r="N32" s="95">
        <v>0</v>
      </c>
      <c r="O32" s="95"/>
      <c r="P32" s="95">
        <v>558550</v>
      </c>
      <c r="Q32" s="95"/>
      <c r="R32" s="95">
        <f>SUM(N32:P32)</f>
        <v>558550</v>
      </c>
      <c r="S32" s="95"/>
      <c r="T32" s="95">
        <f t="shared" si="12"/>
        <v>558550</v>
      </c>
    </row>
    <row r="33" spans="1:23" x14ac:dyDescent="0.2">
      <c r="A33" s="101" t="s">
        <v>117</v>
      </c>
      <c r="B33" s="95">
        <v>0</v>
      </c>
      <c r="C33" s="95"/>
      <c r="D33" s="95">
        <v>0</v>
      </c>
      <c r="E33" s="95"/>
      <c r="F33" s="95">
        <v>46346</v>
      </c>
      <c r="G33" s="95"/>
      <c r="H33" s="95">
        <v>0</v>
      </c>
      <c r="I33" s="95"/>
      <c r="J33" s="95">
        <v>0</v>
      </c>
      <c r="K33" s="95"/>
      <c r="L33" s="95">
        <f t="shared" si="11"/>
        <v>46346</v>
      </c>
      <c r="M33" s="95"/>
      <c r="N33" s="95">
        <v>0</v>
      </c>
      <c r="O33" s="95"/>
      <c r="P33" s="95">
        <v>0</v>
      </c>
      <c r="Q33" s="95"/>
      <c r="R33" s="95">
        <v>0</v>
      </c>
      <c r="S33" s="95"/>
      <c r="T33" s="95">
        <f t="shared" si="12"/>
        <v>46346</v>
      </c>
      <c r="U33" s="370"/>
      <c r="V33" s="310"/>
    </row>
    <row r="34" spans="1:23" hidden="1" x14ac:dyDescent="0.2">
      <c r="A34" s="928" t="s">
        <v>912</v>
      </c>
      <c r="B34" s="95">
        <v>0</v>
      </c>
      <c r="C34" s="95"/>
      <c r="D34" s="95">
        <v>0</v>
      </c>
      <c r="E34" s="95"/>
      <c r="F34" s="95">
        <v>0</v>
      </c>
      <c r="G34" s="95"/>
      <c r="H34" s="95">
        <v>0</v>
      </c>
      <c r="I34" s="95"/>
      <c r="J34" s="95">
        <v>0</v>
      </c>
      <c r="K34" s="95"/>
      <c r="L34" s="95">
        <f t="shared" si="11"/>
        <v>0</v>
      </c>
      <c r="M34" s="95"/>
      <c r="N34" s="95"/>
      <c r="O34" s="95"/>
      <c r="P34" s="95"/>
      <c r="Q34" s="95"/>
      <c r="R34" s="95"/>
      <c r="S34" s="95"/>
      <c r="T34" s="95">
        <f t="shared" si="12"/>
        <v>0</v>
      </c>
      <c r="U34" s="370"/>
      <c r="V34" s="310"/>
    </row>
    <row r="35" spans="1:23" x14ac:dyDescent="0.2">
      <c r="A35" s="101" t="s">
        <v>41</v>
      </c>
      <c r="B35" s="95">
        <v>0</v>
      </c>
      <c r="C35" s="95"/>
      <c r="D35" s="95">
        <v>0</v>
      </c>
      <c r="E35" s="95"/>
      <c r="F35" s="95">
        <v>0</v>
      </c>
      <c r="G35" s="95"/>
      <c r="H35" s="95">
        <v>0</v>
      </c>
      <c r="I35" s="95"/>
      <c r="J35" s="95">
        <v>2687</v>
      </c>
      <c r="K35" s="95"/>
      <c r="L35" s="95">
        <f t="shared" si="11"/>
        <v>2687</v>
      </c>
      <c r="M35" s="95"/>
      <c r="N35" s="95">
        <v>0</v>
      </c>
      <c r="O35" s="95"/>
      <c r="P35" s="95">
        <v>0</v>
      </c>
      <c r="Q35" s="95"/>
      <c r="R35" s="95">
        <v>0</v>
      </c>
      <c r="S35" s="95"/>
      <c r="T35" s="95">
        <f t="shared" si="12"/>
        <v>2687</v>
      </c>
      <c r="U35" s="370"/>
      <c r="V35" s="310"/>
    </row>
    <row r="36" spans="1:23" x14ac:dyDescent="0.2">
      <c r="A36" s="464" t="s">
        <v>1044</v>
      </c>
      <c r="B36" s="95"/>
      <c r="C36" s="95"/>
      <c r="D36" s="95"/>
      <c r="E36" s="95"/>
      <c r="F36" s="95"/>
      <c r="G36" s="95"/>
      <c r="H36" s="95"/>
      <c r="I36" s="95"/>
      <c r="J36" s="95"/>
      <c r="K36" s="95"/>
      <c r="L36" s="95">
        <f t="shared" si="11"/>
        <v>0</v>
      </c>
      <c r="M36" s="95"/>
      <c r="N36" s="95"/>
      <c r="O36" s="95"/>
      <c r="P36" s="95"/>
      <c r="Q36" s="95"/>
      <c r="R36" s="95"/>
      <c r="S36" s="95"/>
      <c r="T36" s="95">
        <f t="shared" si="12"/>
        <v>0</v>
      </c>
      <c r="U36" s="370"/>
      <c r="V36" s="310"/>
    </row>
    <row r="37" spans="1:23" x14ac:dyDescent="0.2">
      <c r="A37" s="101" t="s">
        <v>122</v>
      </c>
      <c r="B37" s="95"/>
      <c r="C37" s="95"/>
      <c r="D37" s="95">
        <v>0</v>
      </c>
      <c r="E37" s="95"/>
      <c r="F37" s="95">
        <v>0</v>
      </c>
      <c r="G37" s="95"/>
      <c r="H37" s="95">
        <v>0</v>
      </c>
      <c r="I37" s="95"/>
      <c r="J37" s="95">
        <v>0</v>
      </c>
      <c r="K37" s="95"/>
      <c r="L37" s="95">
        <f t="shared" si="11"/>
        <v>0</v>
      </c>
      <c r="M37" s="95"/>
      <c r="N37" s="95">
        <v>7969</v>
      </c>
      <c r="O37" s="95"/>
      <c r="P37" s="95">
        <v>0</v>
      </c>
      <c r="Q37" s="95"/>
      <c r="R37" s="95">
        <f>SUM(N37:P37)</f>
        <v>7969</v>
      </c>
      <c r="S37" s="95"/>
      <c r="T37" s="95">
        <f t="shared" si="12"/>
        <v>7969</v>
      </c>
      <c r="U37" s="370"/>
      <c r="V37" s="310"/>
    </row>
    <row r="38" spans="1:23" x14ac:dyDescent="0.2">
      <c r="A38" s="101" t="s">
        <v>123</v>
      </c>
      <c r="B38" s="95">
        <v>0</v>
      </c>
      <c r="C38" s="95"/>
      <c r="D38" s="95">
        <v>0</v>
      </c>
      <c r="E38" s="95"/>
      <c r="F38" s="95">
        <v>0</v>
      </c>
      <c r="G38" s="95"/>
      <c r="H38" s="95">
        <v>0</v>
      </c>
      <c r="I38" s="95"/>
      <c r="J38" s="95">
        <v>0</v>
      </c>
      <c r="K38" s="95"/>
      <c r="L38" s="95">
        <f t="shared" si="11"/>
        <v>0</v>
      </c>
      <c r="M38" s="95"/>
      <c r="N38" s="95">
        <v>0</v>
      </c>
      <c r="O38" s="95"/>
      <c r="P38" s="95">
        <v>10270</v>
      </c>
      <c r="Q38" s="95"/>
      <c r="R38" s="95">
        <f>SUM(N38:P38)</f>
        <v>10270</v>
      </c>
      <c r="S38" s="95"/>
      <c r="T38" s="95">
        <f t="shared" si="12"/>
        <v>10270</v>
      </c>
      <c r="U38" s="370"/>
      <c r="V38" s="310"/>
    </row>
    <row r="39" spans="1:23" x14ac:dyDescent="0.2">
      <c r="A39" s="100" t="s">
        <v>567</v>
      </c>
      <c r="B39" s="97">
        <f>-3028+1000</f>
        <v>-2028</v>
      </c>
      <c r="C39" s="96"/>
      <c r="D39" s="97">
        <v>0</v>
      </c>
      <c r="E39" s="96"/>
      <c r="F39" s="96">
        <v>0</v>
      </c>
      <c r="G39" s="96"/>
      <c r="H39" s="96">
        <v>0</v>
      </c>
      <c r="I39" s="96"/>
      <c r="J39" s="96">
        <v>0</v>
      </c>
      <c r="K39" s="96"/>
      <c r="L39" s="95">
        <f t="shared" si="11"/>
        <v>-2028</v>
      </c>
      <c r="M39" s="95"/>
      <c r="N39" s="97">
        <v>0</v>
      </c>
      <c r="O39" s="96"/>
      <c r="P39" s="97">
        <v>0</v>
      </c>
      <c r="Q39" s="96"/>
      <c r="R39" s="95">
        <f>SUM(N39:P39)</f>
        <v>0</v>
      </c>
      <c r="S39" s="95"/>
      <c r="T39" s="95">
        <f t="shared" si="12"/>
        <v>-2028</v>
      </c>
      <c r="U39" s="370"/>
      <c r="V39" s="310"/>
    </row>
    <row r="40" spans="1:23" x14ac:dyDescent="0.2">
      <c r="A40" s="103" t="s">
        <v>126</v>
      </c>
      <c r="B40" s="102">
        <f t="shared" ref="B40:R40" si="13">SUM(B29:B39)</f>
        <v>2450</v>
      </c>
      <c r="C40" s="96"/>
      <c r="D40" s="102">
        <f t="shared" si="13"/>
        <v>1783</v>
      </c>
      <c r="E40" s="96"/>
      <c r="F40" s="102">
        <f t="shared" si="13"/>
        <v>46346</v>
      </c>
      <c r="G40" s="96"/>
      <c r="H40" s="102">
        <f t="shared" si="13"/>
        <v>0</v>
      </c>
      <c r="I40" s="96"/>
      <c r="J40" s="102">
        <f t="shared" si="13"/>
        <v>2687</v>
      </c>
      <c r="K40" s="96"/>
      <c r="L40" s="102">
        <f t="shared" si="13"/>
        <v>53266</v>
      </c>
      <c r="M40" s="96"/>
      <c r="N40" s="102">
        <f t="shared" si="13"/>
        <v>7969</v>
      </c>
      <c r="O40" s="96"/>
      <c r="P40" s="102">
        <f t="shared" si="13"/>
        <v>568820</v>
      </c>
      <c r="Q40" s="96"/>
      <c r="R40" s="102">
        <f t="shared" si="13"/>
        <v>576789</v>
      </c>
      <c r="S40" s="96"/>
      <c r="T40" s="102">
        <f>SUM(T30:T39)</f>
        <v>630055</v>
      </c>
      <c r="U40" s="370"/>
      <c r="V40" s="310" t="str">
        <f>IF(T15=T41," ", "Out of balance")</f>
        <v xml:space="preserve"> </v>
      </c>
    </row>
    <row r="41" spans="1:23" ht="27.75" customHeight="1" thickBot="1" x14ac:dyDescent="0.25">
      <c r="A41" s="107" t="s">
        <v>127</v>
      </c>
      <c r="B41" s="104">
        <f t="shared" ref="B41:T41" si="14">+B21+B40+B26</f>
        <v>6928</v>
      </c>
      <c r="C41" s="417"/>
      <c r="D41" s="104">
        <f t="shared" si="14"/>
        <v>3128</v>
      </c>
      <c r="E41" s="417"/>
      <c r="F41" s="104">
        <f t="shared" si="14"/>
        <v>53478</v>
      </c>
      <c r="G41" s="417"/>
      <c r="H41" s="104">
        <f t="shared" si="14"/>
        <v>2724</v>
      </c>
      <c r="I41" s="417"/>
      <c r="J41" s="104">
        <f t="shared" si="14"/>
        <v>74866</v>
      </c>
      <c r="K41" s="417"/>
      <c r="L41" s="104">
        <f t="shared" si="14"/>
        <v>141124</v>
      </c>
      <c r="M41" s="417"/>
      <c r="N41" s="104">
        <f t="shared" si="14"/>
        <v>11337</v>
      </c>
      <c r="O41" s="417"/>
      <c r="P41" s="104">
        <f t="shared" si="14"/>
        <v>659350</v>
      </c>
      <c r="Q41" s="417"/>
      <c r="R41" s="104">
        <f t="shared" si="14"/>
        <v>670687</v>
      </c>
      <c r="S41" s="417"/>
      <c r="T41" s="739">
        <f t="shared" si="14"/>
        <v>811811</v>
      </c>
      <c r="U41" s="370"/>
      <c r="V41" s="332"/>
      <c r="W41" s="592"/>
    </row>
    <row r="42" spans="1:23" ht="12.75" customHeight="1" thickTop="1" x14ac:dyDescent="0.2">
      <c r="A42" s="107"/>
      <c r="B42" s="417"/>
      <c r="C42" s="417"/>
      <c r="D42" s="417"/>
      <c r="E42" s="417"/>
      <c r="F42" s="417"/>
      <c r="G42" s="417"/>
      <c r="H42" s="417"/>
      <c r="I42" s="417"/>
      <c r="J42" s="417"/>
      <c r="K42" s="417"/>
      <c r="L42" s="417"/>
      <c r="M42" s="417"/>
      <c r="N42" s="417"/>
      <c r="O42" s="417"/>
      <c r="P42" s="417"/>
      <c r="Q42" s="417"/>
      <c r="R42" s="417"/>
      <c r="S42" s="417"/>
      <c r="T42" s="740"/>
      <c r="U42" s="370"/>
      <c r="V42" s="332"/>
      <c r="W42" s="592"/>
    </row>
    <row r="43" spans="1:23" ht="12.75" customHeight="1" x14ac:dyDescent="0.2">
      <c r="A43" s="107"/>
      <c r="B43" s="417"/>
      <c r="C43" s="417"/>
      <c r="D43" s="417"/>
      <c r="E43" s="417"/>
      <c r="F43" s="417"/>
      <c r="G43" s="417"/>
      <c r="H43" s="417"/>
      <c r="I43" s="417"/>
      <c r="J43" s="417"/>
      <c r="K43" s="417"/>
      <c r="L43" s="417"/>
      <c r="M43" s="417"/>
      <c r="N43" s="417"/>
      <c r="O43" s="417"/>
      <c r="P43" s="417"/>
      <c r="Q43" s="417"/>
      <c r="R43" s="417"/>
      <c r="S43" s="417"/>
      <c r="T43" s="740"/>
      <c r="U43" s="370"/>
      <c r="V43" s="332"/>
      <c r="W43" s="592"/>
    </row>
    <row r="44" spans="1:23" x14ac:dyDescent="0.2">
      <c r="A44" s="310"/>
      <c r="B44" s="310"/>
      <c r="C44" s="310"/>
      <c r="D44" s="310"/>
      <c r="E44" s="310"/>
      <c r="F44" s="310"/>
      <c r="G44" s="310"/>
      <c r="H44" s="310"/>
      <c r="I44" s="310"/>
      <c r="J44" s="310"/>
      <c r="K44" s="310"/>
      <c r="L44" s="310"/>
      <c r="M44" s="310"/>
      <c r="N44" s="310"/>
      <c r="O44" s="310"/>
      <c r="P44" s="310"/>
      <c r="Q44" s="310"/>
      <c r="R44" s="310"/>
      <c r="S44" s="310"/>
      <c r="T44" s="332"/>
      <c r="U44" s="370"/>
      <c r="V44" s="310"/>
    </row>
    <row r="45" spans="1:23" ht="45" customHeight="1" x14ac:dyDescent="0.2">
      <c r="A45" s="1103" t="s">
        <v>568</v>
      </c>
      <c r="B45" s="1104"/>
      <c r="C45" s="1104"/>
      <c r="D45" s="1104"/>
      <c r="E45" s="1104"/>
      <c r="F45" s="1105"/>
      <c r="G45" s="734"/>
      <c r="H45" s="310"/>
      <c r="I45" s="310"/>
      <c r="J45" s="1103" t="s">
        <v>1045</v>
      </c>
      <c r="K45" s="1104"/>
      <c r="L45" s="1104"/>
      <c r="M45" s="1104"/>
      <c r="N45" s="1104"/>
      <c r="O45" s="1104"/>
      <c r="P45" s="1104"/>
      <c r="Q45" s="1104"/>
      <c r="R45" s="1104"/>
      <c r="S45" s="1104"/>
      <c r="T45" s="1105"/>
      <c r="U45" s="370"/>
      <c r="V45" s="310"/>
    </row>
    <row r="46" spans="1:23" ht="13.15" customHeight="1" x14ac:dyDescent="0.2">
      <c r="A46" s="310"/>
      <c r="B46" s="310"/>
      <c r="C46" s="310"/>
      <c r="D46" s="310"/>
      <c r="E46" s="310"/>
      <c r="F46" s="310"/>
      <c r="G46" s="310"/>
      <c r="H46" s="310"/>
      <c r="I46" s="310"/>
      <c r="J46" s="310"/>
      <c r="K46" s="310"/>
      <c r="L46"/>
      <c r="M46"/>
      <c r="N46"/>
      <c r="O46"/>
      <c r="P46"/>
      <c r="Q46"/>
      <c r="R46"/>
      <c r="S46"/>
      <c r="T46"/>
      <c r="U46" s="370"/>
      <c r="V46" s="310"/>
    </row>
    <row r="47" spans="1:23" ht="13.15" customHeight="1" x14ac:dyDescent="0.2">
      <c r="A47" s="310"/>
      <c r="B47" s="310"/>
      <c r="C47" s="310"/>
      <c r="D47" s="310"/>
      <c r="E47" s="310"/>
      <c r="F47" s="310"/>
      <c r="G47" s="310"/>
      <c r="H47" s="310"/>
      <c r="I47" s="310"/>
      <c r="J47" s="310"/>
      <c r="K47" s="310"/>
      <c r="L47"/>
      <c r="M47"/>
      <c r="N47"/>
      <c r="O47"/>
      <c r="P47"/>
      <c r="Q47"/>
      <c r="R47"/>
      <c r="S47"/>
      <c r="T47"/>
      <c r="U47" s="370"/>
      <c r="V47" s="310"/>
    </row>
    <row r="48" spans="1:23" ht="13.15" customHeight="1" x14ac:dyDescent="0.2">
      <c r="A48" s="310"/>
      <c r="B48" s="310"/>
      <c r="C48" s="310"/>
      <c r="D48" s="310"/>
      <c r="E48" s="310"/>
      <c r="F48" s="310"/>
      <c r="G48" s="310"/>
      <c r="H48" s="310"/>
      <c r="I48" s="310"/>
      <c r="J48" s="310"/>
      <c r="K48" s="310"/>
      <c r="L48"/>
      <c r="M48"/>
      <c r="N48"/>
      <c r="O48"/>
      <c r="P48"/>
      <c r="Q48"/>
      <c r="R48"/>
      <c r="S48"/>
      <c r="T48"/>
      <c r="U48" s="370"/>
      <c r="V48" s="310"/>
    </row>
    <row r="49" spans="1:22" ht="13.15" customHeight="1" x14ac:dyDescent="0.2">
      <c r="A49" s="310"/>
      <c r="B49" s="310"/>
      <c r="C49" s="310"/>
      <c r="D49" s="310"/>
      <c r="E49" s="310"/>
      <c r="F49" s="310"/>
      <c r="G49" s="310"/>
      <c r="H49" s="310"/>
      <c r="I49" s="310"/>
      <c r="J49" s="310"/>
      <c r="K49" s="310"/>
      <c r="L49"/>
      <c r="M49"/>
      <c r="N49"/>
      <c r="O49"/>
      <c r="P49"/>
      <c r="Q49"/>
      <c r="R49"/>
      <c r="S49"/>
      <c r="T49"/>
      <c r="U49" s="370"/>
      <c r="V49" s="310"/>
    </row>
    <row r="50" spans="1:22" x14ac:dyDescent="0.2">
      <c r="A50" s="310"/>
      <c r="B50" s="310"/>
      <c r="C50" s="310"/>
      <c r="D50" s="310"/>
      <c r="E50" s="310"/>
      <c r="F50" s="310"/>
      <c r="G50" s="310"/>
      <c r="H50" s="310"/>
      <c r="I50" s="310"/>
      <c r="J50" s="310"/>
      <c r="K50" s="310"/>
      <c r="L50" s="310"/>
      <c r="M50" s="310"/>
      <c r="N50" s="105"/>
      <c r="O50" s="105"/>
      <c r="P50" s="105"/>
      <c r="Q50" s="105"/>
      <c r="R50" s="105"/>
      <c r="S50" s="105"/>
      <c r="T50" s="105"/>
      <c r="U50" s="370"/>
      <c r="V50" s="310"/>
    </row>
    <row r="53" spans="1:22" x14ac:dyDescent="0.2">
      <c r="L53" s="384"/>
      <c r="M53" s="384"/>
    </row>
  </sheetData>
  <customSheetViews>
    <customSheetView guid="{E0C60316-4586-4AAF-92CB-FA82BB1EB755}">
      <selection activeCell="D11" sqref="D11"/>
      <colBreaks count="1" manualBreakCount="1">
        <brk id="8" max="1048575" man="1"/>
      </colBreaks>
      <pageMargins left="0" right="0" top="0" bottom="0" header="0" footer="0"/>
      <printOptions horizontalCentered="1"/>
      <pageSetup scale="79" firstPageNumber="112" fitToHeight="0" orientation="landscape" useFirstPageNumber="1" r:id="rId1"/>
      <headerFooter alignWithMargins="0"/>
    </customSheetView>
    <customSheetView guid="{A8748736-0722-49EB-85B6-C9B52DDCFE0E}" showPageBreaks="1" printArea="1" topLeftCell="A4">
      <selection activeCell="N33" sqref="N33"/>
      <colBreaks count="1" manualBreakCount="1">
        <brk id="13" max="1048575" man="1"/>
      </colBreaks>
      <pageMargins left="0.75" right="0.75" top="1" bottom="1" header="0.5" footer="0.5"/>
      <printOptions horizontalCentered="1"/>
      <pageSetup scale="76" firstPageNumber="112" fitToWidth="0" orientation="landscape" useFirstPageNumber="1" r:id="rId2"/>
      <headerFooter alignWithMargins="0"/>
    </customSheetView>
  </customSheetViews>
  <mergeCells count="7">
    <mergeCell ref="A45:F45"/>
    <mergeCell ref="J45:T45"/>
    <mergeCell ref="A1:T1"/>
    <mergeCell ref="A2:T2"/>
    <mergeCell ref="A3:T3"/>
    <mergeCell ref="A4:T4"/>
    <mergeCell ref="N7:R7"/>
  </mergeCells>
  <printOptions horizontalCentered="1"/>
  <pageMargins left="0.75" right="0.75" top="1" bottom="1" header="0.5" footer="0.5"/>
  <pageSetup scale="72" firstPageNumber="112" orientation="landscape" useFirstPageNumber="1" r:id="rId3"/>
  <headerFooter alignWithMargins="0"/>
  <colBreaks count="1" manualBreakCount="1">
    <brk id="19"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tint="0.39997558519241921"/>
  </sheetPr>
  <dimension ref="A1:X42"/>
  <sheetViews>
    <sheetView workbookViewId="0">
      <selection activeCell="A41" sqref="A41"/>
    </sheetView>
  </sheetViews>
  <sheetFormatPr defaultColWidth="9.140625" defaultRowHeight="12.75" x14ac:dyDescent="0.2"/>
  <cols>
    <col min="1" max="1" width="31.5703125" style="52" customWidth="1"/>
    <col min="2" max="2" width="12.28515625" style="30" customWidth="1"/>
    <col min="3" max="3" width="1.7109375" style="30" customWidth="1"/>
    <col min="4" max="4" width="10.7109375" style="30" customWidth="1"/>
    <col min="5" max="5" width="1.7109375" style="30" customWidth="1"/>
    <col min="6" max="6" width="13.42578125" style="30" customWidth="1"/>
    <col min="7" max="7" width="1.7109375" style="30" customWidth="1"/>
    <col min="8" max="8" width="10.7109375" style="30" customWidth="1"/>
    <col min="9" max="9" width="1.7109375" style="30" customWidth="1"/>
    <col min="10" max="10" width="11.28515625" style="30" customWidth="1"/>
    <col min="11" max="11" width="1.7109375" style="30" customWidth="1"/>
    <col min="12" max="12" width="12.85546875" style="30" customWidth="1"/>
    <col min="13" max="13" width="1.7109375" style="30" customWidth="1"/>
    <col min="14" max="14" width="12.85546875" style="30" customWidth="1"/>
    <col min="15" max="15" width="1.7109375" style="30" customWidth="1"/>
    <col min="16" max="16" width="12.5703125" style="30" customWidth="1"/>
    <col min="17" max="17" width="1.7109375" style="30" customWidth="1"/>
    <col min="18" max="18" width="12" style="30" customWidth="1"/>
    <col min="19" max="19" width="1.7109375" style="30" customWidth="1"/>
    <col min="20" max="20" width="12.28515625" style="30" customWidth="1"/>
    <col min="21" max="21" width="11" style="71" bestFit="1" customWidth="1"/>
    <col min="22" max="16384" width="9.140625" style="30"/>
  </cols>
  <sheetData>
    <row r="1" spans="1:21" x14ac:dyDescent="0.2">
      <c r="A1" s="1016" t="s">
        <v>0</v>
      </c>
      <c r="B1" s="1016"/>
      <c r="C1" s="1016"/>
      <c r="D1" s="1016"/>
      <c r="E1" s="1016"/>
      <c r="F1" s="1016"/>
      <c r="G1" s="1016"/>
      <c r="H1" s="1016"/>
      <c r="I1" s="1016"/>
      <c r="J1" s="1016"/>
      <c r="K1" s="1016"/>
      <c r="L1" s="1016"/>
      <c r="M1" s="1016"/>
      <c r="N1" s="1016"/>
      <c r="O1" s="1016"/>
      <c r="P1" s="1016"/>
      <c r="Q1" s="1016"/>
      <c r="R1" s="1016"/>
      <c r="S1" s="1016"/>
      <c r="T1" s="1016"/>
      <c r="U1" s="370"/>
    </row>
    <row r="2" spans="1:21" x14ac:dyDescent="0.2">
      <c r="A2" s="1016" t="s">
        <v>569</v>
      </c>
      <c r="B2" s="1016"/>
      <c r="C2" s="1016"/>
      <c r="D2" s="1016"/>
      <c r="E2" s="1016"/>
      <c r="F2" s="1016"/>
      <c r="G2" s="1016"/>
      <c r="H2" s="1016"/>
      <c r="I2" s="1016"/>
      <c r="J2" s="1016"/>
      <c r="K2" s="1016"/>
      <c r="L2" s="1016"/>
      <c r="M2" s="1016"/>
      <c r="N2" s="1016"/>
      <c r="O2" s="1016"/>
      <c r="P2" s="1016"/>
      <c r="Q2" s="1016"/>
      <c r="R2" s="1016"/>
      <c r="S2" s="1016"/>
      <c r="T2" s="1016"/>
      <c r="U2" s="370"/>
    </row>
    <row r="3" spans="1:21" x14ac:dyDescent="0.2">
      <c r="A3" s="1016" t="s">
        <v>548</v>
      </c>
      <c r="B3" s="1016"/>
      <c r="C3" s="1016"/>
      <c r="D3" s="1016"/>
      <c r="E3" s="1016"/>
      <c r="F3" s="1016"/>
      <c r="G3" s="1016"/>
      <c r="H3" s="1016"/>
      <c r="I3" s="1016"/>
      <c r="J3" s="1016"/>
      <c r="K3" s="1016"/>
      <c r="L3" s="1016"/>
      <c r="M3" s="1016"/>
      <c r="N3" s="1016"/>
      <c r="O3" s="1016"/>
      <c r="P3" s="1016"/>
      <c r="Q3" s="1016"/>
      <c r="R3" s="1016"/>
      <c r="S3" s="1016"/>
      <c r="T3" s="1016"/>
      <c r="U3" s="370"/>
    </row>
    <row r="4" spans="1:21" x14ac:dyDescent="0.2">
      <c r="A4" s="1016" t="str">
        <f>'GWStmtAct 68 Exh 2'!A3</f>
        <v>For the Year Ended June 30, 2025</v>
      </c>
      <c r="B4" s="1016"/>
      <c r="C4" s="1016"/>
      <c r="D4" s="1016"/>
      <c r="E4" s="1016"/>
      <c r="F4" s="1016"/>
      <c r="G4" s="1016"/>
      <c r="H4" s="1016"/>
      <c r="I4" s="1016"/>
      <c r="J4" s="1016"/>
      <c r="K4" s="1016"/>
      <c r="L4" s="1016"/>
      <c r="M4" s="1016"/>
      <c r="N4" s="1016"/>
      <c r="O4" s="1016"/>
      <c r="P4" s="1016"/>
      <c r="Q4" s="1016"/>
      <c r="R4" s="1016"/>
      <c r="S4" s="1016"/>
      <c r="T4" s="1016"/>
      <c r="U4" s="370"/>
    </row>
    <row r="5" spans="1:21" x14ac:dyDescent="0.2">
      <c r="A5" s="666"/>
      <c r="B5" s="666"/>
      <c r="C5" s="666"/>
      <c r="D5" s="666"/>
      <c r="E5" s="666"/>
      <c r="F5" s="666"/>
      <c r="G5" s="666"/>
      <c r="H5" s="666"/>
      <c r="I5" s="666"/>
      <c r="J5" s="666"/>
      <c r="K5" s="666"/>
      <c r="L5" s="666"/>
      <c r="M5" s="666"/>
      <c r="N5" s="666"/>
      <c r="O5" s="666"/>
      <c r="P5" s="666"/>
      <c r="Q5" s="666"/>
      <c r="R5" s="666"/>
      <c r="S5" s="666"/>
      <c r="T5" s="666"/>
      <c r="U5" s="370"/>
    </row>
    <row r="6" spans="1:21" ht="13.5" thickBot="1" x14ac:dyDescent="0.25">
      <c r="A6" s="688"/>
      <c r="B6" s="680"/>
      <c r="C6" s="680"/>
      <c r="D6" s="680"/>
      <c r="E6" s="680"/>
      <c r="F6" s="680"/>
      <c r="G6" s="680"/>
      <c r="H6" s="680"/>
      <c r="I6" s="680"/>
      <c r="J6" s="680"/>
      <c r="K6" s="680"/>
      <c r="L6" s="680"/>
      <c r="M6" s="680"/>
      <c r="N6" s="730"/>
      <c r="O6" s="730"/>
      <c r="P6" s="730"/>
      <c r="Q6" s="730"/>
      <c r="R6" s="730"/>
      <c r="S6" s="680"/>
      <c r="T6" s="680"/>
      <c r="U6" s="370"/>
    </row>
    <row r="7" spans="1:21" ht="13.5" thickBot="1" x14ac:dyDescent="0.25">
      <c r="A7" s="107" t="s">
        <v>112</v>
      </c>
      <c r="B7" s="1108" t="s">
        <v>549</v>
      </c>
      <c r="C7" s="1108"/>
      <c r="D7" s="1108"/>
      <c r="E7" s="1108"/>
      <c r="F7" s="1108"/>
      <c r="G7" s="1108"/>
      <c r="H7" s="1108"/>
      <c r="I7" s="1108"/>
      <c r="J7" s="1108"/>
      <c r="K7" s="1108"/>
      <c r="L7" s="1108"/>
      <c r="M7" s="666"/>
      <c r="N7" s="1107" t="s">
        <v>550</v>
      </c>
      <c r="O7" s="1107"/>
      <c r="P7" s="1107"/>
      <c r="Q7" s="1107"/>
      <c r="R7" s="1107"/>
      <c r="S7" s="666"/>
      <c r="T7" s="26" t="s">
        <v>112</v>
      </c>
      <c r="U7" s="370"/>
    </row>
    <row r="8" spans="1:21" ht="60" x14ac:dyDescent="0.2">
      <c r="A8" s="107"/>
      <c r="B8" s="91" t="s">
        <v>551</v>
      </c>
      <c r="C8" s="416"/>
      <c r="D8" s="91" t="s">
        <v>552</v>
      </c>
      <c r="E8" s="416"/>
      <c r="F8" s="91" t="s">
        <v>553</v>
      </c>
      <c r="G8" s="416"/>
      <c r="H8" s="91" t="s">
        <v>554</v>
      </c>
      <c r="I8" s="416"/>
      <c r="J8" s="91" t="s">
        <v>555</v>
      </c>
      <c r="K8" s="416"/>
      <c r="L8" s="91" t="s">
        <v>557</v>
      </c>
      <c r="M8" s="416"/>
      <c r="N8" s="91" t="s">
        <v>558</v>
      </c>
      <c r="O8" s="416"/>
      <c r="P8" s="91" t="s">
        <v>559</v>
      </c>
      <c r="Q8" s="416"/>
      <c r="R8" s="91" t="s">
        <v>560</v>
      </c>
      <c r="S8" s="416"/>
      <c r="T8" s="91" t="s">
        <v>570</v>
      </c>
      <c r="U8" s="62"/>
    </row>
    <row r="9" spans="1:21" x14ac:dyDescent="0.2">
      <c r="A9" s="106" t="s">
        <v>141</v>
      </c>
      <c r="B9" s="26"/>
      <c r="C9" s="26"/>
      <c r="D9" s="26"/>
      <c r="E9" s="26"/>
      <c r="F9" s="26"/>
      <c r="G9" s="26"/>
      <c r="H9" s="26"/>
      <c r="I9" s="26"/>
      <c r="J9" s="26"/>
      <c r="K9" s="26"/>
      <c r="L9" s="26"/>
      <c r="M9" s="26"/>
      <c r="N9" s="26"/>
      <c r="O9" s="26"/>
      <c r="P9" s="26"/>
      <c r="Q9" s="26"/>
      <c r="R9" s="26"/>
      <c r="S9" s="26"/>
      <c r="T9" s="26"/>
      <c r="U9" s="370"/>
    </row>
    <row r="10" spans="1:21" x14ac:dyDescent="0.2">
      <c r="A10" s="99" t="s">
        <v>142</v>
      </c>
      <c r="B10" s="94">
        <v>0</v>
      </c>
      <c r="C10" s="94"/>
      <c r="D10" s="94">
        <f>+'SR-BA3'!G16</f>
        <v>20861</v>
      </c>
      <c r="E10" s="94"/>
      <c r="F10" s="94">
        <v>0</v>
      </c>
      <c r="G10" s="94"/>
      <c r="H10" s="94">
        <v>0</v>
      </c>
      <c r="I10" s="94"/>
      <c r="J10" s="94">
        <v>0</v>
      </c>
      <c r="K10" s="94"/>
      <c r="L10" s="94">
        <f t="shared" ref="L10:L16" si="0">SUM(B10:J10)</f>
        <v>20861</v>
      </c>
      <c r="M10" s="94"/>
      <c r="N10" s="94">
        <v>0</v>
      </c>
      <c r="O10" s="94"/>
      <c r="P10" s="94">
        <v>0</v>
      </c>
      <c r="Q10" s="94"/>
      <c r="R10" s="94">
        <f t="shared" ref="R10:R16" si="1">SUM(N10:P10)</f>
        <v>0</v>
      </c>
      <c r="S10" s="94"/>
      <c r="T10" s="94">
        <f>L10+R10</f>
        <v>20861</v>
      </c>
      <c r="U10" s="417"/>
    </row>
    <row r="11" spans="1:21" x14ac:dyDescent="0.2">
      <c r="A11" s="99" t="s">
        <v>143</v>
      </c>
      <c r="B11" s="96">
        <v>0</v>
      </c>
      <c r="C11" s="96"/>
      <c r="D11" s="96">
        <v>0</v>
      </c>
      <c r="E11" s="96"/>
      <c r="F11" s="96">
        <v>0</v>
      </c>
      <c r="G11" s="96"/>
      <c r="H11" s="96">
        <v>0</v>
      </c>
      <c r="I11" s="96"/>
      <c r="J11" s="96">
        <v>0</v>
      </c>
      <c r="K11" s="96"/>
      <c r="L11" s="95">
        <f t="shared" si="0"/>
        <v>0</v>
      </c>
      <c r="M11" s="95"/>
      <c r="N11" s="96">
        <v>0</v>
      </c>
      <c r="O11" s="96"/>
      <c r="P11" s="96">
        <f>+'CP-BA2'!I13</f>
        <v>376400</v>
      </c>
      <c r="Q11" s="96"/>
      <c r="R11" s="96">
        <f t="shared" si="1"/>
        <v>376400</v>
      </c>
      <c r="S11" s="96"/>
      <c r="T11" s="95">
        <f t="shared" ref="T11:T16" si="2">L11+R11</f>
        <v>376400</v>
      </c>
      <c r="U11" s="417"/>
    </row>
    <row r="12" spans="1:21" x14ac:dyDescent="0.2">
      <c r="A12" s="99" t="s">
        <v>145</v>
      </c>
      <c r="B12" s="95">
        <f>+'SR-BA2'!H14</f>
        <v>57136</v>
      </c>
      <c r="C12" s="95"/>
      <c r="D12" s="95">
        <v>0</v>
      </c>
      <c r="E12" s="95"/>
      <c r="F12" s="95">
        <f>+'SR-BA4 (dss client funds)'!G14</f>
        <v>566064</v>
      </c>
      <c r="G12" s="95"/>
      <c r="H12" s="95">
        <v>0</v>
      </c>
      <c r="I12" s="95"/>
      <c r="J12" s="95">
        <v>0</v>
      </c>
      <c r="K12" s="95"/>
      <c r="L12" s="95">
        <f t="shared" si="0"/>
        <v>623200</v>
      </c>
      <c r="M12" s="95"/>
      <c r="N12" s="95">
        <f>+'CP-BA1'!J19</f>
        <v>31112</v>
      </c>
      <c r="O12" s="95"/>
      <c r="P12" s="95">
        <f>+'CP-BA2'!I16+'CP-BA2'!I18+'CP-BA2'!I20</f>
        <v>666829</v>
      </c>
      <c r="Q12" s="95"/>
      <c r="R12" s="95">
        <f t="shared" si="1"/>
        <v>697941</v>
      </c>
      <c r="S12" s="95"/>
      <c r="T12" s="95">
        <f t="shared" si="2"/>
        <v>1321141</v>
      </c>
      <c r="U12" s="417"/>
    </row>
    <row r="13" spans="1:21" x14ac:dyDescent="0.2">
      <c r="A13" s="99" t="s">
        <v>146</v>
      </c>
      <c r="B13" s="95">
        <v>0</v>
      </c>
      <c r="C13" s="95"/>
      <c r="D13" s="95">
        <v>0</v>
      </c>
      <c r="E13" s="95"/>
      <c r="F13" s="95">
        <v>0</v>
      </c>
      <c r="G13" s="95"/>
      <c r="H13" s="95">
        <f>+'SR-BA5 (Deed of Trust)'!G14</f>
        <v>12600</v>
      </c>
      <c r="I13" s="95"/>
      <c r="J13" s="723">
        <f>+'SR-BA6 (Fines &amp; Forfeiture)'!G14</f>
        <v>481900</v>
      </c>
      <c r="K13" s="729"/>
      <c r="L13" s="95">
        <f t="shared" si="0"/>
        <v>494500</v>
      </c>
      <c r="M13" s="95"/>
      <c r="N13" s="95">
        <v>0</v>
      </c>
      <c r="O13" s="95"/>
      <c r="P13" s="95">
        <v>0</v>
      </c>
      <c r="Q13" s="95"/>
      <c r="R13" s="95">
        <f t="shared" si="1"/>
        <v>0</v>
      </c>
      <c r="S13" s="95"/>
      <c r="T13" s="95">
        <f t="shared" si="2"/>
        <v>494500</v>
      </c>
      <c r="U13" s="417"/>
    </row>
    <row r="14" spans="1:21" hidden="1" x14ac:dyDescent="0.2">
      <c r="A14" s="99" t="s">
        <v>147</v>
      </c>
      <c r="B14" s="95">
        <v>0</v>
      </c>
      <c r="C14" s="95"/>
      <c r="D14" s="95">
        <v>0</v>
      </c>
      <c r="E14" s="95"/>
      <c r="F14" s="95">
        <v>0</v>
      </c>
      <c r="G14" s="95"/>
      <c r="H14" s="95">
        <v>0</v>
      </c>
      <c r="I14" s="95"/>
      <c r="J14" s="95">
        <v>0</v>
      </c>
      <c r="K14" s="95"/>
      <c r="L14" s="95">
        <f t="shared" si="0"/>
        <v>0</v>
      </c>
      <c r="M14" s="95"/>
      <c r="N14" s="95">
        <v>0</v>
      </c>
      <c r="O14" s="95"/>
      <c r="P14" s="95">
        <v>0</v>
      </c>
      <c r="Q14" s="95"/>
      <c r="R14" s="95">
        <f t="shared" si="1"/>
        <v>0</v>
      </c>
      <c r="S14" s="95"/>
      <c r="T14" s="95">
        <f t="shared" si="2"/>
        <v>0</v>
      </c>
      <c r="U14" s="417"/>
    </row>
    <row r="15" spans="1:21" x14ac:dyDescent="0.2">
      <c r="A15" s="99" t="s">
        <v>148</v>
      </c>
      <c r="B15" s="95">
        <v>0</v>
      </c>
      <c r="C15" s="95"/>
      <c r="D15" s="95">
        <f>+'SR-BA3'!G18</f>
        <v>99</v>
      </c>
      <c r="E15" s="95"/>
      <c r="F15" s="95">
        <f>+'SR-BA4 (dss client funds)'!G15</f>
        <v>568</v>
      </c>
      <c r="G15" s="95"/>
      <c r="H15" s="95">
        <v>0</v>
      </c>
      <c r="I15" s="95"/>
      <c r="J15" s="95">
        <v>0</v>
      </c>
      <c r="K15" s="95"/>
      <c r="L15" s="95">
        <f t="shared" si="0"/>
        <v>667</v>
      </c>
      <c r="M15" s="95"/>
      <c r="N15" s="95">
        <f>+'CP-BA1'!J13+'CP-BA1'!J22</f>
        <v>15320</v>
      </c>
      <c r="O15" s="95"/>
      <c r="P15" s="95">
        <f>+'CP-BA2'!I21+'CP-BA2'!I59</f>
        <v>38250</v>
      </c>
      <c r="Q15" s="95"/>
      <c r="R15" s="95">
        <f t="shared" si="1"/>
        <v>53570</v>
      </c>
      <c r="S15" s="95"/>
      <c r="T15" s="95">
        <f t="shared" si="2"/>
        <v>54237</v>
      </c>
      <c r="U15" s="417"/>
    </row>
    <row r="16" spans="1:21" x14ac:dyDescent="0.2">
      <c r="A16" s="99" t="s">
        <v>149</v>
      </c>
      <c r="B16" s="95">
        <v>0</v>
      </c>
      <c r="C16" s="95"/>
      <c r="D16" s="95">
        <v>0</v>
      </c>
      <c r="E16" s="95"/>
      <c r="F16" s="95">
        <v>0</v>
      </c>
      <c r="G16" s="95"/>
      <c r="H16" s="95">
        <v>0</v>
      </c>
      <c r="I16" s="95"/>
      <c r="J16" s="95">
        <v>0</v>
      </c>
      <c r="K16" s="95"/>
      <c r="L16" s="95">
        <f t="shared" si="0"/>
        <v>0</v>
      </c>
      <c r="M16" s="95"/>
      <c r="N16" s="95">
        <f>+'CP-BA1'!J15</f>
        <v>70000</v>
      </c>
      <c r="O16" s="95"/>
      <c r="P16" s="95">
        <v>0</v>
      </c>
      <c r="Q16" s="95"/>
      <c r="R16" s="95">
        <f t="shared" si="1"/>
        <v>70000</v>
      </c>
      <c r="S16" s="95"/>
      <c r="T16" s="95">
        <f t="shared" si="2"/>
        <v>70000</v>
      </c>
      <c r="U16" s="417"/>
    </row>
    <row r="17" spans="1:21" x14ac:dyDescent="0.2">
      <c r="A17" s="108" t="s">
        <v>150</v>
      </c>
      <c r="B17" s="102">
        <f t="shared" ref="B17:T17" si="3">SUM(B10:B16)</f>
        <v>57136</v>
      </c>
      <c r="C17" s="96"/>
      <c r="D17" s="102">
        <f t="shared" si="3"/>
        <v>20960</v>
      </c>
      <c r="E17" s="96"/>
      <c r="F17" s="102">
        <f t="shared" si="3"/>
        <v>566632</v>
      </c>
      <c r="G17" s="96"/>
      <c r="H17" s="102">
        <f t="shared" si="3"/>
        <v>12600</v>
      </c>
      <c r="I17" s="96"/>
      <c r="J17" s="102">
        <f t="shared" si="3"/>
        <v>481900</v>
      </c>
      <c r="K17" s="96"/>
      <c r="L17" s="102">
        <f t="shared" si="3"/>
        <v>1139228</v>
      </c>
      <c r="M17" s="731"/>
      <c r="N17" s="102">
        <f t="shared" si="3"/>
        <v>116432</v>
      </c>
      <c r="O17" s="731"/>
      <c r="P17" s="102">
        <f t="shared" si="3"/>
        <v>1081479</v>
      </c>
      <c r="Q17" s="731"/>
      <c r="R17" s="102">
        <f t="shared" si="3"/>
        <v>1197911</v>
      </c>
      <c r="S17" s="731"/>
      <c r="T17" s="102">
        <f t="shared" si="3"/>
        <v>2337139</v>
      </c>
      <c r="U17" s="96"/>
    </row>
    <row r="18" spans="1:21" x14ac:dyDescent="0.2">
      <c r="A18" s="107"/>
      <c r="B18" s="95"/>
      <c r="C18" s="95"/>
      <c r="D18" s="95"/>
      <c r="E18" s="95"/>
      <c r="F18" s="95"/>
      <c r="G18" s="95"/>
      <c r="H18" s="95"/>
      <c r="I18" s="95"/>
      <c r="J18" s="95"/>
      <c r="K18" s="95"/>
      <c r="L18" s="95"/>
      <c r="M18" s="95"/>
      <c r="N18" s="95"/>
      <c r="O18" s="95"/>
      <c r="P18" s="95"/>
      <c r="Q18" s="95"/>
      <c r="R18" s="95"/>
      <c r="S18" s="95"/>
      <c r="T18" s="95"/>
      <c r="U18" s="96"/>
    </row>
    <row r="19" spans="1:21" x14ac:dyDescent="0.2">
      <c r="A19" s="106" t="s">
        <v>151</v>
      </c>
      <c r="B19" s="95"/>
      <c r="C19" s="95"/>
      <c r="D19" s="95"/>
      <c r="E19" s="95"/>
      <c r="F19" s="95"/>
      <c r="G19" s="95"/>
      <c r="H19" s="95"/>
      <c r="I19" s="95"/>
      <c r="J19" s="95"/>
      <c r="K19" s="95"/>
      <c r="L19" s="95"/>
      <c r="M19" s="95"/>
      <c r="N19" s="95"/>
      <c r="O19" s="95"/>
      <c r="P19" s="95"/>
      <c r="Q19" s="95"/>
      <c r="R19" s="95"/>
      <c r="S19" s="95"/>
      <c r="T19" s="95"/>
      <c r="U19" s="96"/>
    </row>
    <row r="20" spans="1:21" x14ac:dyDescent="0.2">
      <c r="A20" s="107" t="s">
        <v>152</v>
      </c>
      <c r="B20" s="95"/>
      <c r="C20" s="95"/>
      <c r="D20" s="95"/>
      <c r="E20" s="95"/>
      <c r="F20" s="95"/>
      <c r="G20" s="95"/>
      <c r="H20" s="95"/>
      <c r="I20" s="95"/>
      <c r="J20" s="95"/>
      <c r="K20" s="95"/>
      <c r="L20" s="95"/>
      <c r="M20" s="95"/>
      <c r="N20" s="95"/>
      <c r="O20" s="95"/>
      <c r="P20" s="95"/>
      <c r="Q20" s="95"/>
      <c r="R20" s="95"/>
      <c r="S20" s="95"/>
      <c r="T20" s="95"/>
      <c r="U20" s="96"/>
    </row>
    <row r="21" spans="1:21" ht="12.75" customHeight="1" x14ac:dyDescent="0.2">
      <c r="A21" s="99" t="s">
        <v>65</v>
      </c>
      <c r="B21" s="95">
        <v>0</v>
      </c>
      <c r="C21" s="95"/>
      <c r="D21" s="95">
        <v>0</v>
      </c>
      <c r="E21" s="95"/>
      <c r="F21" s="95">
        <v>0</v>
      </c>
      <c r="G21" s="95"/>
      <c r="H21" s="95">
        <f>+'SR-BA5 (Deed of Trust)'!G20</f>
        <v>12600</v>
      </c>
      <c r="I21" s="95"/>
      <c r="J21" s="723">
        <v>0</v>
      </c>
      <c r="K21" s="95"/>
      <c r="L21" s="95">
        <f>SUM(B21:J21)</f>
        <v>12600</v>
      </c>
      <c r="M21" s="95"/>
      <c r="N21" s="95">
        <v>0</v>
      </c>
      <c r="O21" s="95"/>
      <c r="P21" s="95">
        <v>0</v>
      </c>
      <c r="Q21" s="95"/>
      <c r="R21" s="95">
        <f>SUM(N21:P21)</f>
        <v>0</v>
      </c>
      <c r="S21" s="95"/>
      <c r="T21" s="723">
        <f>+L21+R21</f>
        <v>12600</v>
      </c>
      <c r="U21" s="96"/>
    </row>
    <row r="22" spans="1:21" x14ac:dyDescent="0.2">
      <c r="A22" s="99" t="s">
        <v>40</v>
      </c>
      <c r="B22" s="95">
        <f>+'SR-BA2'!H26</f>
        <v>55686</v>
      </c>
      <c r="C22" s="95"/>
      <c r="D22" s="95">
        <f>+'SR-BA3'!G25</f>
        <v>20800</v>
      </c>
      <c r="E22" s="95"/>
      <c r="F22" s="95">
        <v>0</v>
      </c>
      <c r="G22" s="95"/>
      <c r="H22" s="95">
        <v>0</v>
      </c>
      <c r="I22" s="95"/>
      <c r="J22" s="95">
        <v>0</v>
      </c>
      <c r="K22" s="95"/>
      <c r="L22" s="95">
        <f>SUM(B22:J22)</f>
        <v>76486</v>
      </c>
      <c r="M22" s="95"/>
      <c r="N22" s="95">
        <f>+'CP-BA1'!J39</f>
        <v>20177</v>
      </c>
      <c r="O22" s="95"/>
      <c r="P22" s="95">
        <v>0</v>
      </c>
      <c r="Q22" s="95"/>
      <c r="R22" s="95">
        <f>SUM(N22:P22)</f>
        <v>20177</v>
      </c>
      <c r="S22" s="95"/>
      <c r="T22" s="95">
        <f>+L22+R22</f>
        <v>96663</v>
      </c>
      <c r="U22" s="96"/>
    </row>
    <row r="23" spans="1:21" x14ac:dyDescent="0.2">
      <c r="A23" s="843" t="s">
        <v>68</v>
      </c>
      <c r="B23" s="95">
        <v>0</v>
      </c>
      <c r="C23" s="95"/>
      <c r="D23" s="95">
        <v>0</v>
      </c>
      <c r="E23" s="95"/>
      <c r="F23" s="95">
        <f>+'SR-BA4 (dss client funds)'!G20</f>
        <v>532637</v>
      </c>
      <c r="G23" s="95"/>
      <c r="H23" s="95">
        <v>0</v>
      </c>
      <c r="I23" s="95"/>
      <c r="J23" s="95">
        <v>0</v>
      </c>
      <c r="K23" s="95"/>
      <c r="L23" s="95">
        <f>SUM(B23:J23)</f>
        <v>532637</v>
      </c>
      <c r="M23" s="95"/>
      <c r="N23" s="95">
        <v>0</v>
      </c>
      <c r="O23" s="95"/>
      <c r="P23" s="95">
        <v>0</v>
      </c>
      <c r="Q23" s="95"/>
      <c r="R23" s="95">
        <f>SUM(N23:P23)</f>
        <v>0</v>
      </c>
      <c r="S23" s="95"/>
      <c r="T23" s="95">
        <f>+L23+R23</f>
        <v>532637</v>
      </c>
      <c r="U23" s="96"/>
    </row>
    <row r="24" spans="1:21" x14ac:dyDescent="0.2">
      <c r="A24" s="99" t="s">
        <v>41</v>
      </c>
      <c r="B24" s="95">
        <v>0</v>
      </c>
      <c r="C24" s="95"/>
      <c r="D24" s="95">
        <v>0</v>
      </c>
      <c r="E24" s="95"/>
      <c r="F24" s="95">
        <v>0</v>
      </c>
      <c r="G24" s="95"/>
      <c r="H24" s="95">
        <v>0</v>
      </c>
      <c r="I24" s="95"/>
      <c r="J24" s="723">
        <f>+'SR-BA6 (Fines &amp; Forfeiture)'!G20</f>
        <v>482577</v>
      </c>
      <c r="K24" s="729"/>
      <c r="L24" s="95">
        <f>SUM(B24:J24)</f>
        <v>482577</v>
      </c>
      <c r="M24" s="95"/>
      <c r="N24" s="95">
        <v>0</v>
      </c>
      <c r="O24" s="95"/>
      <c r="P24" s="95">
        <v>0</v>
      </c>
      <c r="Q24" s="95"/>
      <c r="R24" s="95">
        <f>SUM(N24:P24)</f>
        <v>0</v>
      </c>
      <c r="S24" s="95"/>
      <c r="T24" s="723">
        <f>+L24+R24</f>
        <v>482577</v>
      </c>
      <c r="U24" s="96"/>
    </row>
    <row r="25" spans="1:21" x14ac:dyDescent="0.2">
      <c r="A25" s="695" t="s">
        <v>156</v>
      </c>
      <c r="B25" s="95">
        <v>0</v>
      </c>
      <c r="C25" s="95"/>
      <c r="D25" s="95">
        <v>0</v>
      </c>
      <c r="E25" s="95"/>
      <c r="F25" s="95">
        <v>0</v>
      </c>
      <c r="G25" s="95"/>
      <c r="H25" s="95">
        <v>0</v>
      </c>
      <c r="I25" s="95"/>
      <c r="J25" s="95">
        <v>0</v>
      </c>
      <c r="K25" s="95"/>
      <c r="L25" s="95">
        <f>SUM(B25:J25)</f>
        <v>0</v>
      </c>
      <c r="M25" s="95"/>
      <c r="N25" s="95">
        <f>+'CP-BA1'!J32+'CP-BA1'!J36</f>
        <v>125919</v>
      </c>
      <c r="O25" s="95"/>
      <c r="P25" s="95">
        <f>+'CP-BA2'!K30</f>
        <v>1700600</v>
      </c>
      <c r="Q25" s="95"/>
      <c r="R25" s="95">
        <f>SUM(N25:P25)</f>
        <v>1826519</v>
      </c>
      <c r="S25" s="95"/>
      <c r="T25" s="95">
        <f>+L25+R25</f>
        <v>1826519</v>
      </c>
      <c r="U25" s="96"/>
    </row>
    <row r="26" spans="1:21" x14ac:dyDescent="0.2">
      <c r="A26" s="108" t="s">
        <v>162</v>
      </c>
      <c r="B26" s="102">
        <f t="shared" ref="B26:T26" si="4">SUM(B21:B25)</f>
        <v>55686</v>
      </c>
      <c r="C26" s="96"/>
      <c r="D26" s="102">
        <f t="shared" si="4"/>
        <v>20800</v>
      </c>
      <c r="E26" s="96"/>
      <c r="F26" s="102">
        <f t="shared" si="4"/>
        <v>532637</v>
      </c>
      <c r="G26" s="96"/>
      <c r="H26" s="102">
        <f t="shared" si="4"/>
        <v>12600</v>
      </c>
      <c r="I26" s="96"/>
      <c r="J26" s="102">
        <f t="shared" si="4"/>
        <v>482577</v>
      </c>
      <c r="K26" s="96"/>
      <c r="L26" s="102">
        <f t="shared" si="4"/>
        <v>1104300</v>
      </c>
      <c r="M26" s="96"/>
      <c r="N26" s="102">
        <f t="shared" si="4"/>
        <v>146096</v>
      </c>
      <c r="O26" s="96"/>
      <c r="P26" s="102">
        <f t="shared" si="4"/>
        <v>1700600</v>
      </c>
      <c r="Q26" s="96"/>
      <c r="R26" s="102">
        <f t="shared" si="4"/>
        <v>1846696</v>
      </c>
      <c r="S26" s="96"/>
      <c r="T26" s="102">
        <f t="shared" si="4"/>
        <v>2950996</v>
      </c>
      <c r="U26" s="96"/>
    </row>
    <row r="27" spans="1:21" ht="24" x14ac:dyDescent="0.2">
      <c r="A27" s="99" t="s">
        <v>1043</v>
      </c>
      <c r="B27" s="102">
        <f>+B17-B26</f>
        <v>1450</v>
      </c>
      <c r="C27" s="96"/>
      <c r="D27" s="102">
        <f>+D17-D26</f>
        <v>160</v>
      </c>
      <c r="E27" s="96"/>
      <c r="F27" s="102">
        <f>+F17-F26</f>
        <v>33995</v>
      </c>
      <c r="G27" s="96"/>
      <c r="H27" s="102">
        <f>+H17-H26</f>
        <v>0</v>
      </c>
      <c r="I27" s="96"/>
      <c r="J27" s="102">
        <f>+J17-J26</f>
        <v>-677</v>
      </c>
      <c r="K27" s="96"/>
      <c r="L27" s="102">
        <f>+L17-L26</f>
        <v>34928</v>
      </c>
      <c r="M27" s="96"/>
      <c r="N27" s="102">
        <f>+N17-N26</f>
        <v>-29664</v>
      </c>
      <c r="O27" s="96"/>
      <c r="P27" s="102">
        <f>+P17-P26</f>
        <v>-619121</v>
      </c>
      <c r="Q27" s="96"/>
      <c r="R27" s="102">
        <f>+R17-R26</f>
        <v>-648785</v>
      </c>
      <c r="S27" s="96"/>
      <c r="T27" s="102">
        <f>+T17-T26</f>
        <v>-613857</v>
      </c>
      <c r="U27" s="96"/>
    </row>
    <row r="28" spans="1:21" x14ac:dyDescent="0.2">
      <c r="A28" s="107"/>
      <c r="B28" s="95"/>
      <c r="C28" s="95"/>
      <c r="D28" s="95"/>
      <c r="E28" s="95"/>
      <c r="F28" s="95"/>
      <c r="G28" s="95"/>
      <c r="H28" s="95"/>
      <c r="I28" s="95"/>
      <c r="J28" s="95"/>
      <c r="K28" s="95"/>
      <c r="L28" s="95"/>
      <c r="M28" s="95"/>
      <c r="N28" s="95"/>
      <c r="O28" s="95"/>
      <c r="P28" s="95"/>
      <c r="Q28" s="95"/>
      <c r="R28" s="95"/>
      <c r="S28" s="95"/>
      <c r="T28" s="95"/>
      <c r="U28" s="96"/>
    </row>
    <row r="29" spans="1:21" x14ac:dyDescent="0.2">
      <c r="A29" s="106" t="s">
        <v>164</v>
      </c>
      <c r="B29" s="95"/>
      <c r="C29" s="95"/>
      <c r="D29" s="95"/>
      <c r="E29" s="95"/>
      <c r="F29" s="95"/>
      <c r="G29" s="95"/>
      <c r="H29" s="95"/>
      <c r="I29" s="95"/>
      <c r="J29" s="95"/>
      <c r="K29" s="95"/>
      <c r="L29" s="95"/>
      <c r="M29" s="95"/>
      <c r="N29" s="95"/>
      <c r="O29" s="95"/>
      <c r="P29" s="95"/>
      <c r="Q29" s="95"/>
      <c r="R29" s="95"/>
      <c r="S29" s="95"/>
      <c r="T29" s="95"/>
      <c r="U29" s="96"/>
    </row>
    <row r="30" spans="1:21" x14ac:dyDescent="0.2">
      <c r="A30" s="99" t="s">
        <v>165</v>
      </c>
      <c r="B30" s="95">
        <v>0</v>
      </c>
      <c r="C30" s="95"/>
      <c r="D30" s="95">
        <v>0</v>
      </c>
      <c r="E30" s="95"/>
      <c r="F30" s="95">
        <v>0</v>
      </c>
      <c r="G30" s="95"/>
      <c r="H30" s="95">
        <v>0</v>
      </c>
      <c r="I30" s="95"/>
      <c r="J30" s="95">
        <v>0</v>
      </c>
      <c r="K30" s="95"/>
      <c r="L30" s="95">
        <f>SUM(B30:J30)</f>
        <v>0</v>
      </c>
      <c r="M30" s="95"/>
      <c r="N30" s="95">
        <f>+'CP-BA1'!J47+'CP-BA1'!J50</f>
        <v>10000</v>
      </c>
      <c r="O30" s="95"/>
      <c r="P30" s="95">
        <f>+'CP-BA2'!I36+'CP-BA2'!I60</f>
        <v>270000</v>
      </c>
      <c r="Q30" s="95"/>
      <c r="R30" s="95">
        <f>SUM(N30:P30)</f>
        <v>280000</v>
      </c>
      <c r="S30" s="95"/>
      <c r="T30" s="95">
        <f>+L30+R30</f>
        <v>280000</v>
      </c>
      <c r="U30" s="96"/>
    </row>
    <row r="31" spans="1:21" x14ac:dyDescent="0.2">
      <c r="A31" s="99" t="s">
        <v>166</v>
      </c>
      <c r="B31" s="95">
        <f>+'SR-BA2'!H31</f>
        <v>-10000</v>
      </c>
      <c r="C31" s="95"/>
      <c r="D31" s="95">
        <v>0</v>
      </c>
      <c r="E31" s="95"/>
      <c r="F31" s="95">
        <v>0</v>
      </c>
      <c r="G31" s="95"/>
      <c r="H31" s="95">
        <v>0</v>
      </c>
      <c r="I31" s="95"/>
      <c r="J31" s="95">
        <v>0</v>
      </c>
      <c r="K31" s="95"/>
      <c r="L31" s="95">
        <f>SUM(B31:J31)</f>
        <v>-10000</v>
      </c>
      <c r="M31" s="95"/>
      <c r="N31" s="95">
        <v>0</v>
      </c>
      <c r="O31" s="95"/>
      <c r="P31" s="95">
        <f>+'CP-BA2'!I37</f>
        <v>-619059</v>
      </c>
      <c r="Q31" s="95"/>
      <c r="R31" s="95">
        <f>SUM(N31:P31)</f>
        <v>-619059</v>
      </c>
      <c r="S31" s="95"/>
      <c r="T31" s="95">
        <f>+L31+R31</f>
        <v>-629059</v>
      </c>
      <c r="U31" s="96"/>
    </row>
    <row r="32" spans="1:21" x14ac:dyDescent="0.2">
      <c r="A32" s="929" t="s">
        <v>1042</v>
      </c>
      <c r="B32" s="95">
        <v>0</v>
      </c>
      <c r="C32" s="96"/>
      <c r="D32" s="95">
        <v>0</v>
      </c>
      <c r="E32" s="96"/>
      <c r="F32" s="95">
        <v>0</v>
      </c>
      <c r="G32" s="96"/>
      <c r="H32" s="95">
        <v>0</v>
      </c>
      <c r="I32" s="96"/>
      <c r="J32" s="95">
        <v>0</v>
      </c>
      <c r="K32" s="96"/>
      <c r="L32" s="95">
        <f>SUM(B32:J32)</f>
        <v>0</v>
      </c>
      <c r="M32" s="95"/>
      <c r="N32" s="95">
        <v>0</v>
      </c>
      <c r="O32" s="95"/>
      <c r="P32" s="95">
        <f>+'CP-BA2'!I35</f>
        <v>1200000</v>
      </c>
      <c r="Q32" s="95"/>
      <c r="R32" s="95">
        <f>SUM(N32:P32)</f>
        <v>1200000</v>
      </c>
      <c r="S32" s="95"/>
      <c r="T32" s="95">
        <f>+L32+R32</f>
        <v>1200000</v>
      </c>
      <c r="U32" s="96"/>
    </row>
    <row r="33" spans="1:24" ht="12.75" customHeight="1" x14ac:dyDescent="0.2">
      <c r="A33" s="695" t="s">
        <v>199</v>
      </c>
      <c r="B33" s="102">
        <f t="shared" ref="B33:T33" si="5">SUM(B30:B32)</f>
        <v>-10000</v>
      </c>
      <c r="C33" s="96"/>
      <c r="D33" s="102">
        <f t="shared" si="5"/>
        <v>0</v>
      </c>
      <c r="E33" s="96"/>
      <c r="F33" s="102">
        <f t="shared" si="5"/>
        <v>0</v>
      </c>
      <c r="G33" s="96"/>
      <c r="H33" s="102">
        <f t="shared" si="5"/>
        <v>0</v>
      </c>
      <c r="I33" s="96"/>
      <c r="J33" s="102">
        <f t="shared" si="5"/>
        <v>0</v>
      </c>
      <c r="K33" s="96"/>
      <c r="L33" s="102">
        <f t="shared" si="5"/>
        <v>-10000</v>
      </c>
      <c r="M33" s="96"/>
      <c r="N33" s="102">
        <f t="shared" si="5"/>
        <v>10000</v>
      </c>
      <c r="O33" s="96"/>
      <c r="P33" s="102">
        <f t="shared" si="5"/>
        <v>850941</v>
      </c>
      <c r="Q33" s="96"/>
      <c r="R33" s="102">
        <f t="shared" si="5"/>
        <v>860941</v>
      </c>
      <c r="S33" s="96"/>
      <c r="T33" s="102">
        <f t="shared" si="5"/>
        <v>850941</v>
      </c>
      <c r="U33" s="96"/>
    </row>
    <row r="34" spans="1:24" ht="12.75" customHeight="1" x14ac:dyDescent="0.2">
      <c r="A34" s="99"/>
      <c r="B34" s="96"/>
      <c r="C34" s="96"/>
      <c r="D34" s="96"/>
      <c r="E34" s="96"/>
      <c r="F34" s="96"/>
      <c r="G34" s="96"/>
      <c r="H34" s="96"/>
      <c r="I34" s="96"/>
      <c r="J34" s="96"/>
      <c r="K34" s="96"/>
      <c r="L34" s="96"/>
      <c r="M34" s="96"/>
      <c r="N34" s="96"/>
      <c r="O34" s="96"/>
      <c r="P34" s="96"/>
      <c r="Q34" s="96"/>
      <c r="R34" s="96"/>
      <c r="S34" s="96"/>
      <c r="T34" s="96"/>
      <c r="U34" s="96"/>
    </row>
    <row r="35" spans="1:24" ht="13.9" customHeight="1" x14ac:dyDescent="0.2">
      <c r="A35" s="99" t="s">
        <v>571</v>
      </c>
      <c r="B35" s="95">
        <f t="shared" ref="B35:T35" si="6">+B27+B33</f>
        <v>-8550</v>
      </c>
      <c r="C35" s="95"/>
      <c r="D35" s="95">
        <f t="shared" si="6"/>
        <v>160</v>
      </c>
      <c r="E35" s="95"/>
      <c r="F35" s="95">
        <f t="shared" si="6"/>
        <v>33995</v>
      </c>
      <c r="G35" s="95"/>
      <c r="H35" s="95">
        <f t="shared" si="6"/>
        <v>0</v>
      </c>
      <c r="I35" s="95"/>
      <c r="J35" s="95">
        <f t="shared" si="6"/>
        <v>-677</v>
      </c>
      <c r="K35" s="95"/>
      <c r="L35" s="95">
        <f t="shared" si="6"/>
        <v>24928</v>
      </c>
      <c r="M35" s="95"/>
      <c r="N35" s="95">
        <f t="shared" si="6"/>
        <v>-19664</v>
      </c>
      <c r="O35" s="95"/>
      <c r="P35" s="95">
        <f t="shared" si="6"/>
        <v>231820</v>
      </c>
      <c r="Q35" s="95"/>
      <c r="R35" s="95">
        <f t="shared" si="6"/>
        <v>212156</v>
      </c>
      <c r="S35" s="95"/>
      <c r="T35" s="95">
        <f t="shared" si="6"/>
        <v>237084</v>
      </c>
      <c r="U35" s="96"/>
    </row>
    <row r="36" spans="1:24" ht="12.75" customHeight="1" x14ac:dyDescent="0.2">
      <c r="A36" s="99"/>
      <c r="B36" s="95"/>
      <c r="C36" s="95"/>
      <c r="D36" s="95"/>
      <c r="E36" s="95"/>
      <c r="F36" s="95"/>
      <c r="G36" s="95"/>
      <c r="H36" s="95"/>
      <c r="I36" s="95"/>
      <c r="J36" s="95"/>
      <c r="K36" s="95"/>
      <c r="L36" s="95"/>
      <c r="M36" s="95"/>
      <c r="N36" s="95"/>
      <c r="O36" s="95"/>
      <c r="P36" s="95"/>
      <c r="Q36" s="95"/>
      <c r="R36" s="95"/>
      <c r="S36" s="95"/>
      <c r="T36" s="95"/>
      <c r="U36" s="96"/>
    </row>
    <row r="37" spans="1:24" ht="12.75" hidden="1" customHeight="1" x14ac:dyDescent="0.2">
      <c r="A37" s="726" t="s">
        <v>1037</v>
      </c>
      <c r="B37" s="96">
        <v>0</v>
      </c>
      <c r="C37" s="96"/>
      <c r="D37" s="96">
        <v>0</v>
      </c>
      <c r="E37" s="96"/>
      <c r="F37" s="96">
        <v>0</v>
      </c>
      <c r="G37" s="96"/>
      <c r="H37" s="96">
        <v>0</v>
      </c>
      <c r="I37" s="96"/>
      <c r="J37" s="96">
        <v>0</v>
      </c>
      <c r="K37" s="96"/>
      <c r="L37" s="96">
        <f>SUM(B37:J37)</f>
        <v>0</v>
      </c>
      <c r="M37" s="96"/>
      <c r="N37" s="96">
        <v>0</v>
      </c>
      <c r="O37" s="96"/>
      <c r="P37" s="96">
        <v>0</v>
      </c>
      <c r="Q37" s="96"/>
      <c r="R37" s="95">
        <v>0</v>
      </c>
      <c r="S37" s="95"/>
      <c r="T37" s="95">
        <f>L37+R37</f>
        <v>0</v>
      </c>
      <c r="U37" s="96"/>
    </row>
    <row r="38" spans="1:24" ht="12.75" hidden="1" customHeight="1" x14ac:dyDescent="0.2">
      <c r="A38" s="667" t="s">
        <v>1038</v>
      </c>
      <c r="B38" s="96">
        <v>0</v>
      </c>
      <c r="C38" s="96"/>
      <c r="D38" s="96">
        <v>0</v>
      </c>
      <c r="E38" s="96"/>
      <c r="F38" s="96">
        <v>0</v>
      </c>
      <c r="G38" s="96"/>
      <c r="H38" s="96">
        <v>0</v>
      </c>
      <c r="I38" s="96"/>
      <c r="J38" s="96"/>
      <c r="K38" s="96"/>
      <c r="L38" s="96">
        <f>SUM(B38:J38)</f>
        <v>0</v>
      </c>
      <c r="M38" s="96"/>
      <c r="N38" s="96"/>
      <c r="O38" s="96"/>
      <c r="P38" s="96"/>
      <c r="Q38" s="96"/>
      <c r="R38" s="96">
        <f>SUM(N38:P38)</f>
        <v>0</v>
      </c>
      <c r="S38" s="96"/>
      <c r="T38" s="96">
        <f>L38+R38</f>
        <v>0</v>
      </c>
      <c r="U38" s="96"/>
    </row>
    <row r="39" spans="1:24" x14ac:dyDescent="0.2">
      <c r="A39" s="107" t="s">
        <v>1037</v>
      </c>
      <c r="B39" s="96">
        <f>+'SR-BA2'!H36</f>
        <v>11000</v>
      </c>
      <c r="C39" s="96"/>
      <c r="D39" s="96">
        <f>+'SR-BA3'!G29</f>
        <v>1623</v>
      </c>
      <c r="E39" s="96"/>
      <c r="F39" s="96">
        <f>+'SR-BA4 (dss client funds)'!G27</f>
        <v>12351</v>
      </c>
      <c r="G39" s="96"/>
      <c r="H39" s="96">
        <f>+'SR-BA5 (Deed of Trust)'!G25</f>
        <v>0</v>
      </c>
      <c r="I39" s="96"/>
      <c r="J39" s="96">
        <f>+'SR-BA6 (Fines &amp; Forfeiture)'!G27</f>
        <v>3364</v>
      </c>
      <c r="K39" s="96"/>
      <c r="L39" s="95">
        <f>SUM(B39:J39)</f>
        <v>28338</v>
      </c>
      <c r="M39" s="95"/>
      <c r="N39" s="96">
        <f>+'CP-BA1'!J58</f>
        <v>27633</v>
      </c>
      <c r="O39" s="96"/>
      <c r="P39" s="96">
        <f>+'CP-BA2'!I43+'CP-BA2'!I61</f>
        <v>337000</v>
      </c>
      <c r="Q39" s="96"/>
      <c r="R39" s="95">
        <f>SUM(N39:P39)</f>
        <v>364633</v>
      </c>
      <c r="S39" s="95"/>
      <c r="T39" s="96">
        <f>+L39+R39</f>
        <v>392971</v>
      </c>
      <c r="U39" s="96"/>
    </row>
    <row r="40" spans="1:24" ht="13.5" thickBot="1" x14ac:dyDescent="0.25">
      <c r="A40" s="107" t="s">
        <v>1075</v>
      </c>
      <c r="B40" s="98">
        <f t="shared" ref="B40:L40" si="7">B35+B39</f>
        <v>2450</v>
      </c>
      <c r="C40" s="417"/>
      <c r="D40" s="98">
        <f t="shared" si="7"/>
        <v>1783</v>
      </c>
      <c r="E40" s="417"/>
      <c r="F40" s="98">
        <f t="shared" si="7"/>
        <v>46346</v>
      </c>
      <c r="G40" s="417"/>
      <c r="H40" s="98">
        <f t="shared" si="7"/>
        <v>0</v>
      </c>
      <c r="I40" s="417"/>
      <c r="J40" s="98">
        <f t="shared" si="7"/>
        <v>2687</v>
      </c>
      <c r="K40" s="417"/>
      <c r="L40" s="98">
        <f t="shared" si="7"/>
        <v>53266</v>
      </c>
      <c r="M40" s="417"/>
      <c r="N40" s="98">
        <f>+N35+N39</f>
        <v>7969</v>
      </c>
      <c r="O40" s="417"/>
      <c r="P40" s="98">
        <f>+P35+P39</f>
        <v>568820</v>
      </c>
      <c r="Q40" s="417"/>
      <c r="R40" s="98">
        <f>R35+R39</f>
        <v>576789</v>
      </c>
      <c r="S40" s="417"/>
      <c r="T40" s="98">
        <f>T35+T39</f>
        <v>630055</v>
      </c>
      <c r="U40" s="417"/>
    </row>
    <row r="41" spans="1:24" ht="13.5" thickTop="1" x14ac:dyDescent="0.2">
      <c r="A41" s="107"/>
      <c r="B41" s="727"/>
      <c r="C41" s="727"/>
      <c r="D41" s="727"/>
      <c r="E41" s="727"/>
      <c r="F41" s="727"/>
      <c r="G41" s="727"/>
      <c r="H41" s="727"/>
      <c r="I41" s="727"/>
      <c r="J41" s="727"/>
      <c r="K41" s="727"/>
      <c r="L41" s="728"/>
      <c r="M41" s="728"/>
      <c r="N41" s="724"/>
      <c r="O41" s="724"/>
      <c r="P41" s="724"/>
      <c r="Q41" s="724"/>
      <c r="R41" s="724"/>
      <c r="S41" s="724"/>
      <c r="T41" s="724"/>
      <c r="U41" s="725"/>
      <c r="X41" s="725"/>
    </row>
    <row r="42" spans="1:24" x14ac:dyDescent="0.2">
      <c r="A42" s="439"/>
      <c r="B42" s="310"/>
      <c r="C42" s="310"/>
      <c r="D42" s="310"/>
      <c r="E42" s="310"/>
      <c r="F42" s="310"/>
      <c r="G42" s="310"/>
      <c r="H42" s="310"/>
      <c r="I42" s="310"/>
      <c r="J42" s="310"/>
      <c r="K42" s="310"/>
      <c r="L42" s="310"/>
      <c r="M42" s="310"/>
      <c r="N42" s="310"/>
      <c r="O42" s="310"/>
      <c r="P42" s="310"/>
      <c r="Q42" s="310"/>
      <c r="R42" s="310"/>
      <c r="S42" s="310"/>
      <c r="T42" s="310"/>
      <c r="U42" s="310"/>
    </row>
  </sheetData>
  <customSheetViews>
    <customSheetView guid="{E0C60316-4586-4AAF-92CB-FA82BB1EB755}">
      <selection activeCell="D28" sqref="D28"/>
      <pageMargins left="0" right="0" top="0" bottom="0" header="0" footer="0"/>
      <printOptions horizontalCentered="1"/>
      <pageSetup scale="94" firstPageNumber="114" fitToHeight="0" orientation="landscape" useFirstPageNumber="1" r:id="rId1"/>
      <headerFooter alignWithMargins="0"/>
    </customSheetView>
    <customSheetView guid="{A8748736-0722-49EB-85B6-C9B52DDCFE0E}" showPageBreaks="1" printArea="1" topLeftCell="A4">
      <selection activeCell="H31" sqref="H31"/>
      <pageMargins left="0.75" right="0.75" top="1" bottom="1" header="0.5" footer="0.5"/>
      <printOptions horizontalCentered="1"/>
      <pageSetup scale="72" firstPageNumber="114" fitToWidth="0" orientation="landscape" useFirstPageNumber="1" r:id="rId2"/>
      <headerFooter alignWithMargins="0"/>
    </customSheetView>
  </customSheetViews>
  <mergeCells count="6">
    <mergeCell ref="N7:R7"/>
    <mergeCell ref="A1:T1"/>
    <mergeCell ref="A2:T2"/>
    <mergeCell ref="A3:T3"/>
    <mergeCell ref="A4:T4"/>
    <mergeCell ref="B7:L7"/>
  </mergeCells>
  <printOptions horizontalCentered="1"/>
  <pageMargins left="0.75" right="0.75" top="1" bottom="1" header="0.5" footer="0.5"/>
  <pageSetup scale="72" firstPageNumber="114" fitToWidth="0" orientation="landscape" useFirstPageNumber="1" r:id="rId3"/>
  <headerFooter alignWithMargins="0"/>
  <ignoredErrors>
    <ignoredError sqref="R33" formula="1"/>
  </ignoredError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tint="0.39997558519241921"/>
  </sheetPr>
  <dimension ref="A1:S45"/>
  <sheetViews>
    <sheetView workbookViewId="0">
      <selection activeCell="D42" sqref="D42"/>
    </sheetView>
  </sheetViews>
  <sheetFormatPr defaultColWidth="9.140625" defaultRowHeight="12.75" x14ac:dyDescent="0.2"/>
  <cols>
    <col min="1" max="1" width="1.85546875" style="30" customWidth="1"/>
    <col min="2" max="3" width="2.7109375" style="30" customWidth="1"/>
    <col min="4" max="4" width="25.85546875" style="30" customWidth="1"/>
    <col min="5" max="5" width="1.7109375" style="30" customWidth="1"/>
    <col min="6" max="6" width="10.7109375" style="30" customWidth="1"/>
    <col min="7" max="7" width="1.7109375" style="30" customWidth="1"/>
    <col min="8" max="8" width="10.7109375" style="30" customWidth="1"/>
    <col min="9" max="9" width="1.7109375" style="30" customWidth="1"/>
    <col min="10" max="10" width="10.7109375" style="30" customWidth="1"/>
    <col min="11" max="16384" width="9.140625" style="30"/>
  </cols>
  <sheetData>
    <row r="1" spans="1:19" x14ac:dyDescent="0.2">
      <c r="A1" s="109" t="s">
        <v>0</v>
      </c>
      <c r="B1" s="110"/>
      <c r="C1" s="110"/>
      <c r="D1" s="110"/>
      <c r="E1" s="110"/>
      <c r="F1" s="110"/>
      <c r="G1" s="111"/>
      <c r="H1" s="111"/>
      <c r="I1" s="111"/>
      <c r="J1" s="111"/>
      <c r="K1" s="310"/>
      <c r="L1" s="310"/>
      <c r="M1" s="310"/>
      <c r="N1" s="310"/>
      <c r="O1" s="310"/>
      <c r="P1" s="310"/>
      <c r="Q1" s="310"/>
      <c r="R1" s="310"/>
      <c r="S1" s="310"/>
    </row>
    <row r="2" spans="1:19" x14ac:dyDescent="0.2">
      <c r="A2" s="109" t="s">
        <v>572</v>
      </c>
      <c r="B2" s="110"/>
      <c r="C2" s="110"/>
      <c r="D2" s="110"/>
      <c r="E2" s="110"/>
      <c r="F2" s="110"/>
      <c r="G2" s="111"/>
      <c r="H2" s="111"/>
      <c r="I2" s="111"/>
      <c r="J2" s="111"/>
      <c r="K2" s="310"/>
      <c r="L2" s="310"/>
      <c r="M2" s="310"/>
      <c r="N2" s="310"/>
      <c r="O2" s="310"/>
      <c r="P2" s="310"/>
      <c r="Q2" s="310"/>
      <c r="R2" s="310"/>
      <c r="S2" s="310"/>
    </row>
    <row r="3" spans="1:19" x14ac:dyDescent="0.2">
      <c r="A3" s="109" t="s">
        <v>397</v>
      </c>
      <c r="B3" s="110"/>
      <c r="C3" s="110"/>
      <c r="D3" s="110"/>
      <c r="E3" s="110"/>
      <c r="F3" s="110"/>
      <c r="G3" s="111"/>
      <c r="H3" s="111"/>
      <c r="I3" s="111"/>
      <c r="J3" s="111"/>
      <c r="K3" s="310"/>
      <c r="L3" s="310"/>
      <c r="M3" s="310"/>
      <c r="N3" s="310"/>
      <c r="O3" s="310"/>
      <c r="P3" s="310"/>
      <c r="Q3" s="310"/>
      <c r="R3" s="310"/>
      <c r="S3" s="310"/>
    </row>
    <row r="4" spans="1:19" x14ac:dyDescent="0.2">
      <c r="A4" s="109" t="s">
        <v>398</v>
      </c>
      <c r="B4" s="110"/>
      <c r="C4" s="110"/>
      <c r="D4" s="110"/>
      <c r="E4" s="110"/>
      <c r="F4" s="110"/>
      <c r="G4" s="111"/>
      <c r="H4" s="111"/>
      <c r="I4" s="111"/>
      <c r="J4" s="111"/>
      <c r="K4" s="310"/>
      <c r="L4" s="310"/>
      <c r="M4" s="310"/>
      <c r="N4" s="310"/>
      <c r="O4" s="310"/>
      <c r="P4" s="310"/>
      <c r="Q4" s="310"/>
      <c r="R4" s="310"/>
      <c r="S4" s="310"/>
    </row>
    <row r="5" spans="1:19" x14ac:dyDescent="0.2">
      <c r="A5" s="109" t="str">
        <f>'GWStmtAct 68 Exh 2'!A3</f>
        <v>For the Year Ended June 30, 2025</v>
      </c>
      <c r="B5" s="110"/>
      <c r="C5" s="110"/>
      <c r="D5" s="110"/>
      <c r="E5" s="110"/>
      <c r="F5" s="110"/>
      <c r="G5" s="111"/>
      <c r="H5" s="111"/>
      <c r="I5" s="111"/>
      <c r="J5" s="111"/>
      <c r="K5" s="310"/>
      <c r="L5" s="310"/>
      <c r="M5" s="310"/>
      <c r="N5" s="310"/>
      <c r="O5" s="310"/>
      <c r="P5" s="310"/>
      <c r="Q5" s="310"/>
      <c r="R5" s="310"/>
      <c r="S5" s="310"/>
    </row>
    <row r="6" spans="1:19" x14ac:dyDescent="0.2">
      <c r="A6" s="109"/>
      <c r="B6" s="110"/>
      <c r="C6" s="110"/>
      <c r="D6" s="110"/>
      <c r="E6" s="110"/>
      <c r="F6" s="110"/>
      <c r="G6" s="111"/>
      <c r="H6" s="111"/>
      <c r="I6" s="111"/>
      <c r="J6" s="111"/>
      <c r="K6" s="310"/>
      <c r="L6" s="310"/>
      <c r="M6" s="310"/>
      <c r="N6" s="310"/>
      <c r="O6" s="310"/>
      <c r="P6" s="310"/>
      <c r="Q6" s="310"/>
      <c r="R6" s="310"/>
      <c r="S6" s="310"/>
    </row>
    <row r="7" spans="1:19" x14ac:dyDescent="0.2">
      <c r="A7" s="109"/>
      <c r="B7" s="110"/>
      <c r="C7" s="110"/>
      <c r="D7" s="110"/>
      <c r="E7" s="110"/>
      <c r="F7" s="110"/>
      <c r="G7" s="111"/>
      <c r="H7" s="111"/>
      <c r="I7" s="111"/>
      <c r="J7" s="111"/>
      <c r="K7" s="310"/>
      <c r="L7" s="310"/>
      <c r="M7" s="310"/>
      <c r="N7" s="310"/>
      <c r="O7" s="310"/>
      <c r="P7" s="310"/>
      <c r="Q7" s="310"/>
      <c r="R7" s="310"/>
      <c r="S7" s="310"/>
    </row>
    <row r="8" spans="1:19" ht="13.5" thickBot="1" x14ac:dyDescent="0.25">
      <c r="A8" s="714"/>
      <c r="B8" s="714"/>
      <c r="C8" s="714"/>
      <c r="D8" s="714"/>
      <c r="E8" s="714"/>
      <c r="F8" s="714"/>
      <c r="G8" s="690"/>
      <c r="H8" s="690"/>
      <c r="I8" s="690"/>
      <c r="J8" s="690"/>
      <c r="K8" s="310"/>
      <c r="L8" s="310"/>
      <c r="M8" s="310"/>
      <c r="N8" s="310"/>
      <c r="O8" s="310"/>
      <c r="P8" s="310"/>
      <c r="Q8" s="310"/>
      <c r="R8" s="310"/>
      <c r="S8" s="310"/>
    </row>
    <row r="9" spans="1:19" x14ac:dyDescent="0.2">
      <c r="A9" s="112"/>
      <c r="B9" s="112"/>
      <c r="C9" s="112"/>
      <c r="D9" s="112"/>
      <c r="E9" s="112"/>
      <c r="F9" s="112"/>
      <c r="G9" s="26"/>
      <c r="H9" s="26"/>
      <c r="I9" s="26"/>
      <c r="J9" s="113" t="s">
        <v>187</v>
      </c>
      <c r="K9" s="114"/>
      <c r="L9" s="114"/>
      <c r="M9" s="114"/>
      <c r="N9" s="114"/>
      <c r="O9" s="114"/>
      <c r="P9" s="26"/>
      <c r="Q9" s="26"/>
      <c r="R9" s="26"/>
      <c r="S9" s="26"/>
    </row>
    <row r="10" spans="1:19" x14ac:dyDescent="0.2">
      <c r="A10" s="112"/>
      <c r="B10" s="112"/>
      <c r="C10" s="112"/>
      <c r="D10" s="112"/>
      <c r="E10" s="112"/>
      <c r="F10" s="115" t="s">
        <v>189</v>
      </c>
      <c r="G10" s="26"/>
      <c r="H10" s="26"/>
      <c r="I10" s="26"/>
      <c r="J10" s="809" t="s">
        <v>1053</v>
      </c>
      <c r="K10" s="114"/>
      <c r="L10" s="114"/>
      <c r="M10" s="114"/>
      <c r="N10" s="114"/>
      <c r="O10" s="114"/>
      <c r="P10" s="26"/>
      <c r="Q10" s="26"/>
      <c r="R10" s="26"/>
      <c r="S10" s="113"/>
    </row>
    <row r="11" spans="1:19" x14ac:dyDescent="0.2">
      <c r="A11" s="112"/>
      <c r="B11" s="469" t="s">
        <v>112</v>
      </c>
      <c r="C11" s="469"/>
      <c r="D11" s="112"/>
      <c r="E11" s="112"/>
      <c r="F11" s="116" t="s">
        <v>190</v>
      </c>
      <c r="G11" s="26"/>
      <c r="H11" s="117" t="s">
        <v>191</v>
      </c>
      <c r="I11" s="26"/>
      <c r="J11" s="810" t="s">
        <v>1054</v>
      </c>
      <c r="K11" s="114"/>
      <c r="L11" s="114"/>
      <c r="M11" s="114"/>
      <c r="N11" s="114"/>
      <c r="O11" s="118"/>
      <c r="P11" s="26"/>
      <c r="Q11" s="26"/>
      <c r="R11" s="26"/>
      <c r="S11" s="113"/>
    </row>
    <row r="12" spans="1:19" s="32" customFormat="1" x14ac:dyDescent="0.2">
      <c r="A12" s="715" t="s">
        <v>192</v>
      </c>
      <c r="B12" s="93"/>
      <c r="C12" s="93"/>
      <c r="D12" s="716"/>
      <c r="E12" s="716"/>
      <c r="F12" s="717"/>
      <c r="G12" s="718"/>
      <c r="H12" s="718"/>
      <c r="I12" s="718"/>
      <c r="J12" s="718"/>
      <c r="K12" s="93"/>
      <c r="L12" s="719"/>
      <c r="M12" s="719"/>
      <c r="N12" s="719"/>
      <c r="O12" s="719"/>
      <c r="P12" s="93"/>
      <c r="Q12" s="93"/>
      <c r="R12" s="93"/>
      <c r="S12" s="93"/>
    </row>
    <row r="13" spans="1:19" s="32" customFormat="1" x14ac:dyDescent="0.2">
      <c r="A13" s="715"/>
      <c r="B13" s="26" t="s">
        <v>1036</v>
      </c>
      <c r="C13" s="26"/>
      <c r="D13" s="716"/>
      <c r="E13" s="716"/>
      <c r="F13" s="717"/>
      <c r="G13" s="718"/>
      <c r="H13" s="718"/>
      <c r="I13" s="718"/>
      <c r="J13" s="718"/>
      <c r="K13" s="93"/>
      <c r="L13" s="719"/>
      <c r="M13" s="719"/>
      <c r="N13" s="719"/>
      <c r="O13" s="719"/>
      <c r="P13" s="93"/>
      <c r="Q13" s="93"/>
      <c r="R13" s="93"/>
      <c r="S13" s="93"/>
    </row>
    <row r="14" spans="1:19" x14ac:dyDescent="0.2">
      <c r="A14" s="112"/>
      <c r="C14" s="310" t="s">
        <v>1032</v>
      </c>
      <c r="E14" s="122"/>
      <c r="F14" s="123">
        <v>68000</v>
      </c>
      <c r="G14" s="124"/>
      <c r="H14" s="123">
        <v>57136</v>
      </c>
      <c r="I14" s="124"/>
      <c r="J14" s="123">
        <f>+H14-F14</f>
        <v>-10864</v>
      </c>
      <c r="K14" s="119"/>
      <c r="L14" s="26"/>
      <c r="M14" s="114"/>
      <c r="N14" s="114"/>
      <c r="O14" s="125"/>
      <c r="P14" s="121"/>
      <c r="Q14" s="121"/>
      <c r="R14" s="121"/>
      <c r="S14" s="121"/>
    </row>
    <row r="15" spans="1:19" x14ac:dyDescent="0.2">
      <c r="A15" s="112"/>
      <c r="B15" s="310"/>
      <c r="C15" s="310"/>
      <c r="D15" s="26" t="s">
        <v>150</v>
      </c>
      <c r="E15" s="122"/>
      <c r="F15" s="126">
        <f>SUM(F14:F14)</f>
        <v>68000</v>
      </c>
      <c r="G15" s="127"/>
      <c r="H15" s="126">
        <f>SUM(H14:H14)</f>
        <v>57136</v>
      </c>
      <c r="I15" s="124"/>
      <c r="J15" s="126">
        <f>SUM(J14:J14)</f>
        <v>-10864</v>
      </c>
      <c r="K15" s="114"/>
      <c r="L15" s="310"/>
      <c r="M15" s="310"/>
      <c r="N15" s="128"/>
      <c r="O15" s="125"/>
      <c r="P15" s="129"/>
      <c r="Q15" s="125"/>
      <c r="R15" s="129"/>
      <c r="S15" s="125"/>
    </row>
    <row r="16" spans="1:19" x14ac:dyDescent="0.2">
      <c r="A16" s="112"/>
      <c r="B16" s="112"/>
      <c r="C16" s="112"/>
      <c r="D16" s="112"/>
      <c r="E16" s="469"/>
      <c r="F16" s="120"/>
      <c r="G16" s="121"/>
      <c r="H16" s="121"/>
      <c r="I16" s="121"/>
      <c r="J16" s="121"/>
      <c r="K16" s="114"/>
      <c r="L16" s="114"/>
      <c r="M16" s="114"/>
      <c r="N16" s="119"/>
      <c r="O16" s="125"/>
      <c r="P16" s="121"/>
      <c r="Q16" s="121"/>
      <c r="R16" s="121"/>
      <c r="S16" s="121"/>
    </row>
    <row r="17" spans="1:19" x14ac:dyDescent="0.2">
      <c r="A17" s="715" t="s">
        <v>439</v>
      </c>
      <c r="B17" s="112"/>
      <c r="C17" s="112"/>
      <c r="D17" s="112"/>
      <c r="E17" s="112"/>
      <c r="F17" s="112"/>
      <c r="G17" s="26"/>
      <c r="H17" s="26"/>
      <c r="I17" s="26"/>
      <c r="J17" s="26"/>
      <c r="K17" s="119"/>
      <c r="L17" s="114"/>
      <c r="M17" s="114"/>
      <c r="N17" s="114"/>
      <c r="O17" s="114"/>
      <c r="P17" s="26"/>
      <c r="Q17" s="26"/>
      <c r="R17" s="26"/>
      <c r="S17" s="26"/>
    </row>
    <row r="18" spans="1:19" x14ac:dyDescent="0.2">
      <c r="A18" s="715"/>
      <c r="B18" s="112" t="s">
        <v>456</v>
      </c>
      <c r="C18" s="112"/>
      <c r="D18" s="112"/>
      <c r="E18" s="112"/>
      <c r="F18" s="112"/>
      <c r="G18" s="26"/>
      <c r="H18" s="26"/>
      <c r="I18" s="26"/>
      <c r="J18" s="26"/>
      <c r="K18" s="119"/>
      <c r="L18" s="114"/>
      <c r="M18" s="114"/>
      <c r="N18" s="114"/>
      <c r="O18" s="114"/>
      <c r="P18" s="26"/>
      <c r="Q18" s="26"/>
      <c r="R18" s="26"/>
      <c r="S18" s="26"/>
    </row>
    <row r="19" spans="1:19" x14ac:dyDescent="0.2">
      <c r="A19" s="469"/>
      <c r="C19" s="112" t="s">
        <v>574</v>
      </c>
      <c r="D19" s="112"/>
      <c r="E19" s="112"/>
      <c r="F19" s="112">
        <v>12500</v>
      </c>
      <c r="G19" s="26"/>
      <c r="H19" s="112">
        <v>11314</v>
      </c>
      <c r="I19" s="388"/>
      <c r="J19" s="112">
        <f t="shared" ref="J19:J25" si="0">F19-H19</f>
        <v>1186</v>
      </c>
      <c r="K19" s="119"/>
      <c r="L19" s="114"/>
      <c r="M19" s="114"/>
      <c r="N19" s="114"/>
      <c r="O19" s="114"/>
      <c r="P19" s="26"/>
      <c r="Q19" s="26"/>
      <c r="R19" s="26"/>
      <c r="S19" s="26"/>
    </row>
    <row r="20" spans="1:19" x14ac:dyDescent="0.2">
      <c r="A20" s="469"/>
      <c r="C20" s="112" t="s">
        <v>575</v>
      </c>
      <c r="D20" s="112"/>
      <c r="E20" s="112"/>
      <c r="F20" s="112">
        <v>3700</v>
      </c>
      <c r="G20" s="26"/>
      <c r="H20" s="112">
        <v>3682</v>
      </c>
      <c r="I20" s="388"/>
      <c r="J20" s="112">
        <f t="shared" si="0"/>
        <v>18</v>
      </c>
      <c r="K20" s="119"/>
      <c r="L20" s="114"/>
      <c r="M20" s="114"/>
      <c r="N20" s="114"/>
      <c r="O20" s="114"/>
      <c r="P20" s="26"/>
      <c r="Q20" s="26"/>
      <c r="R20" s="26"/>
      <c r="S20" s="26"/>
    </row>
    <row r="21" spans="1:19" x14ac:dyDescent="0.2">
      <c r="A21" s="469"/>
      <c r="C21" s="112" t="s">
        <v>576</v>
      </c>
      <c r="D21" s="112"/>
      <c r="E21" s="112"/>
      <c r="F21" s="112">
        <v>2650</v>
      </c>
      <c r="G21" s="26"/>
      <c r="H21" s="112">
        <v>2649</v>
      </c>
      <c r="I21" s="388"/>
      <c r="J21" s="112">
        <f t="shared" si="0"/>
        <v>1</v>
      </c>
      <c r="K21" s="119"/>
      <c r="L21" s="114"/>
      <c r="M21" s="114"/>
      <c r="N21" s="114"/>
      <c r="O21" s="114"/>
      <c r="P21" s="26"/>
      <c r="Q21" s="26"/>
      <c r="R21" s="26"/>
      <c r="S21" s="26"/>
    </row>
    <row r="22" spans="1:19" x14ac:dyDescent="0.2">
      <c r="A22" s="469"/>
      <c r="C22" s="112" t="s">
        <v>577</v>
      </c>
      <c r="D22" s="112"/>
      <c r="E22" s="112"/>
      <c r="F22" s="112">
        <v>19875</v>
      </c>
      <c r="G22" s="26"/>
      <c r="H22" s="112">
        <v>18833</v>
      </c>
      <c r="I22" s="388"/>
      <c r="J22" s="112">
        <f t="shared" si="0"/>
        <v>1042</v>
      </c>
      <c r="K22" s="119"/>
      <c r="L22" s="114"/>
      <c r="M22" s="114"/>
      <c r="N22" s="114"/>
      <c r="O22" s="114"/>
      <c r="P22" s="26"/>
      <c r="Q22" s="26"/>
      <c r="R22" s="26"/>
      <c r="S22" s="26"/>
    </row>
    <row r="23" spans="1:19" x14ac:dyDescent="0.2">
      <c r="A23" s="26"/>
      <c r="C23" s="469" t="s">
        <v>578</v>
      </c>
      <c r="D23" s="112"/>
      <c r="E23" s="112"/>
      <c r="F23" s="130">
        <v>3000</v>
      </c>
      <c r="G23" s="130"/>
      <c r="H23" s="112">
        <v>2933</v>
      </c>
      <c r="I23" s="388"/>
      <c r="J23" s="112">
        <f t="shared" si="0"/>
        <v>67</v>
      </c>
      <c r="K23" s="26"/>
      <c r="L23" s="119"/>
      <c r="M23" s="114"/>
      <c r="N23" s="114"/>
      <c r="O23" s="131"/>
      <c r="P23" s="131"/>
      <c r="Q23" s="131"/>
      <c r="R23" s="131"/>
      <c r="S23" s="131"/>
    </row>
    <row r="24" spans="1:19" x14ac:dyDescent="0.2">
      <c r="A24" s="26"/>
      <c r="C24" s="469" t="s">
        <v>156</v>
      </c>
      <c r="D24" s="112"/>
      <c r="E24" s="112"/>
      <c r="F24" s="130">
        <v>6275</v>
      </c>
      <c r="G24" s="130"/>
      <c r="H24" s="112">
        <v>6275</v>
      </c>
      <c r="I24" s="388"/>
      <c r="J24" s="112">
        <f t="shared" si="0"/>
        <v>0</v>
      </c>
      <c r="K24" s="26"/>
      <c r="L24" s="119"/>
      <c r="M24" s="114"/>
      <c r="N24" s="114"/>
      <c r="O24" s="131"/>
      <c r="P24" s="131"/>
      <c r="Q24" s="131"/>
      <c r="R24" s="131"/>
      <c r="S24" s="131"/>
    </row>
    <row r="25" spans="1:19" x14ac:dyDescent="0.2">
      <c r="A25" s="26"/>
      <c r="C25" s="469" t="s">
        <v>579</v>
      </c>
      <c r="D25" s="112"/>
      <c r="E25" s="112"/>
      <c r="F25" s="130">
        <v>10000</v>
      </c>
      <c r="G25" s="130"/>
      <c r="H25" s="112">
        <v>10000</v>
      </c>
      <c r="I25" s="388"/>
      <c r="J25" s="112">
        <f t="shared" si="0"/>
        <v>0</v>
      </c>
      <c r="K25" s="26"/>
      <c r="L25" s="119"/>
      <c r="M25" s="114"/>
      <c r="N25" s="114"/>
      <c r="O25" s="131"/>
      <c r="P25" s="131"/>
      <c r="Q25" s="131"/>
      <c r="R25" s="131"/>
      <c r="S25" s="131"/>
    </row>
    <row r="26" spans="1:19" x14ac:dyDescent="0.2">
      <c r="A26" s="26"/>
      <c r="B26" s="469"/>
      <c r="C26" s="469"/>
      <c r="D26" s="26" t="s">
        <v>162</v>
      </c>
      <c r="E26" s="112"/>
      <c r="F26" s="132">
        <f>SUM(F19:F25)</f>
        <v>58000</v>
      </c>
      <c r="G26" s="133"/>
      <c r="H26" s="132">
        <f>SUM(H19:H25)</f>
        <v>55686</v>
      </c>
      <c r="I26" s="130"/>
      <c r="J26" s="134">
        <f>SUM(J19:J25)</f>
        <v>2314</v>
      </c>
      <c r="K26" s="26"/>
      <c r="L26" s="26"/>
      <c r="M26" s="26"/>
      <c r="N26" s="26"/>
      <c r="O26" s="26"/>
      <c r="P26" s="26"/>
      <c r="Q26" s="26"/>
      <c r="R26" s="26"/>
      <c r="S26" s="26"/>
    </row>
    <row r="27" spans="1:19" x14ac:dyDescent="0.2">
      <c r="A27" s="26"/>
      <c r="B27" s="469"/>
      <c r="C27" s="469"/>
      <c r="D27" s="112"/>
      <c r="E27" s="112"/>
      <c r="F27" s="135"/>
      <c r="G27" s="135"/>
      <c r="H27" s="135"/>
      <c r="I27" s="130"/>
      <c r="J27" s="130"/>
      <c r="K27" s="26"/>
      <c r="L27" s="26"/>
      <c r="M27" s="26"/>
      <c r="N27" s="26"/>
      <c r="O27" s="26"/>
      <c r="P27" s="26"/>
      <c r="Q27" s="26"/>
      <c r="R27" s="26"/>
      <c r="S27" s="26"/>
    </row>
    <row r="28" spans="1:19" x14ac:dyDescent="0.2">
      <c r="A28" s="469" t="s">
        <v>196</v>
      </c>
      <c r="B28" s="26"/>
      <c r="C28" s="26"/>
      <c r="D28" s="26"/>
      <c r="E28" s="112"/>
      <c r="F28" s="136">
        <f>F14-F26</f>
        <v>10000</v>
      </c>
      <c r="G28" s="130"/>
      <c r="H28" s="137">
        <f>+H15-H26</f>
        <v>1450</v>
      </c>
      <c r="I28" s="130"/>
      <c r="J28" s="137">
        <f>J15+J26</f>
        <v>-8550</v>
      </c>
      <c r="K28" s="138"/>
      <c r="L28" s="26"/>
      <c r="M28" s="26"/>
      <c r="N28" s="26"/>
      <c r="O28" s="26"/>
      <c r="P28" s="26"/>
      <c r="Q28" s="26"/>
      <c r="R28" s="26"/>
      <c r="S28" s="26"/>
    </row>
    <row r="29" spans="1:19" x14ac:dyDescent="0.2">
      <c r="A29" s="26"/>
      <c r="B29" s="26"/>
      <c r="C29" s="26"/>
      <c r="D29" s="26"/>
      <c r="E29" s="112"/>
      <c r="F29" s="139"/>
      <c r="G29" s="139"/>
      <c r="H29" s="139"/>
      <c r="I29" s="139"/>
      <c r="J29" s="139"/>
      <c r="K29" s="26"/>
      <c r="L29" s="26"/>
      <c r="M29" s="26"/>
      <c r="N29" s="26"/>
      <c r="O29" s="26"/>
      <c r="P29" s="26"/>
      <c r="Q29" s="26"/>
      <c r="R29" s="26"/>
      <c r="S29" s="26"/>
    </row>
    <row r="30" spans="1:19" ht="14.25" customHeight="1" x14ac:dyDescent="0.2">
      <c r="A30" s="715" t="s">
        <v>197</v>
      </c>
      <c r="B30" s="310"/>
      <c r="C30" s="310"/>
      <c r="D30" s="310"/>
      <c r="E30" s="310"/>
      <c r="F30" s="310"/>
      <c r="G30" s="310"/>
      <c r="H30" s="310"/>
      <c r="I30" s="310"/>
      <c r="J30" s="310"/>
      <c r="K30" s="26"/>
      <c r="L30" s="310"/>
      <c r="M30" s="310"/>
      <c r="N30" s="310"/>
      <c r="O30" s="310"/>
      <c r="P30" s="310"/>
      <c r="Q30" s="310"/>
      <c r="R30" s="310"/>
      <c r="S30" s="310"/>
    </row>
    <row r="31" spans="1:19" x14ac:dyDescent="0.2">
      <c r="A31" s="469"/>
      <c r="B31" s="1109" t="s">
        <v>1033</v>
      </c>
      <c r="C31" s="1109"/>
      <c r="D31" s="1109"/>
      <c r="E31" s="716" t="s">
        <v>991</v>
      </c>
      <c r="F31" s="114">
        <v>-10000</v>
      </c>
      <c r="G31" s="139"/>
      <c r="H31" s="139">
        <v>-10000</v>
      </c>
      <c r="I31" s="139"/>
      <c r="J31" s="354">
        <f>H31-F31</f>
        <v>0</v>
      </c>
      <c r="K31" s="310"/>
      <c r="L31" s="310"/>
      <c r="M31" s="310"/>
      <c r="N31" s="310"/>
      <c r="O31" s="310"/>
      <c r="P31" s="310"/>
      <c r="Q31" s="310"/>
      <c r="R31" s="310"/>
      <c r="S31" s="310"/>
    </row>
    <row r="32" spans="1:19" x14ac:dyDescent="0.2">
      <c r="B32" s="469" t="s">
        <v>544</v>
      </c>
      <c r="C32" s="469"/>
      <c r="D32" s="469"/>
      <c r="E32" s="112"/>
      <c r="F32" s="266">
        <v>0</v>
      </c>
      <c r="G32" s="354"/>
      <c r="H32" s="353">
        <v>0</v>
      </c>
      <c r="I32" s="354"/>
      <c r="J32" s="353">
        <f>F32-H32</f>
        <v>0</v>
      </c>
      <c r="K32" s="310"/>
      <c r="L32" s="310"/>
      <c r="M32" s="310"/>
      <c r="N32" s="310"/>
      <c r="O32" s="310"/>
      <c r="P32" s="310"/>
      <c r="Q32" s="310"/>
      <c r="R32" s="310"/>
      <c r="S32" s="310"/>
    </row>
    <row r="33" spans="1:19" x14ac:dyDescent="0.2">
      <c r="A33" s="469"/>
      <c r="B33" s="469"/>
      <c r="C33" s="469"/>
      <c r="D33" s="469"/>
      <c r="E33" s="112"/>
      <c r="F33" s="145"/>
      <c r="G33" s="139"/>
      <c r="H33" s="139"/>
      <c r="I33" s="139"/>
      <c r="J33" s="112"/>
      <c r="K33" s="310"/>
      <c r="L33" s="310"/>
      <c r="M33" s="310"/>
      <c r="N33" s="310"/>
      <c r="O33" s="310"/>
      <c r="P33" s="310"/>
      <c r="Q33" s="310"/>
      <c r="R33" s="310"/>
      <c r="S33" s="310"/>
    </row>
    <row r="34" spans="1:19" ht="13.5" thickBot="1" x14ac:dyDescent="0.25">
      <c r="A34" s="469" t="s">
        <v>173</v>
      </c>
      <c r="B34" s="469"/>
      <c r="C34" s="469"/>
      <c r="D34" s="469"/>
      <c r="E34" s="112"/>
      <c r="F34" s="385">
        <f>F28+F31+F32</f>
        <v>0</v>
      </c>
      <c r="G34" s="139"/>
      <c r="H34" s="139">
        <f>H28+H31-H32</f>
        <v>-8550</v>
      </c>
      <c r="I34" s="139"/>
      <c r="J34" s="141">
        <f>J28+J31-J32</f>
        <v>-8550</v>
      </c>
      <c r="K34" s="310"/>
      <c r="L34" s="310"/>
      <c r="M34" s="310"/>
      <c r="N34" s="310"/>
      <c r="O34" s="310"/>
      <c r="P34" s="310"/>
      <c r="Q34" s="310"/>
      <c r="R34" s="310"/>
      <c r="S34" s="310"/>
    </row>
    <row r="35" spans="1:19" ht="13.5" thickTop="1" x14ac:dyDescent="0.2">
      <c r="A35" s="469"/>
      <c r="B35" s="469"/>
      <c r="C35" s="469"/>
      <c r="D35" s="469"/>
      <c r="E35" s="112"/>
      <c r="F35" s="112"/>
      <c r="G35" s="139"/>
      <c r="H35" s="139"/>
      <c r="I35" s="139"/>
      <c r="J35" s="112"/>
    </row>
    <row r="36" spans="1:19" x14ac:dyDescent="0.2">
      <c r="A36" s="469" t="s">
        <v>1076</v>
      </c>
      <c r="B36" s="469"/>
      <c r="C36" s="469"/>
      <c r="D36" s="112"/>
      <c r="E36" s="112"/>
      <c r="F36" s="112"/>
      <c r="G36" s="139"/>
      <c r="H36" s="139">
        <f>1000+10000</f>
        <v>11000</v>
      </c>
      <c r="I36" s="139"/>
      <c r="J36" s="112"/>
    </row>
    <row r="37" spans="1:19" ht="13.5" thickBot="1" x14ac:dyDescent="0.25">
      <c r="A37" s="469" t="s">
        <v>1083</v>
      </c>
      <c r="B37" s="469"/>
      <c r="C37" s="469"/>
      <c r="D37" s="112"/>
      <c r="E37" s="469"/>
      <c r="F37" s="469"/>
      <c r="G37" s="142"/>
      <c r="H37" s="143">
        <f>H36+H15-H26+H31</f>
        <v>2450</v>
      </c>
      <c r="I37" s="389"/>
      <c r="J37" s="469"/>
    </row>
    <row r="38" spans="1:19" ht="13.5" thickTop="1" x14ac:dyDescent="0.2">
      <c r="A38" s="26"/>
      <c r="B38" s="26"/>
      <c r="C38" s="26"/>
      <c r="D38" s="26"/>
      <c r="E38" s="26"/>
      <c r="F38" s="26"/>
      <c r="G38" s="26"/>
      <c r="H38" s="26"/>
      <c r="I38" s="26"/>
      <c r="J38" s="26"/>
    </row>
    <row r="39" spans="1:19" x14ac:dyDescent="0.2">
      <c r="A39" s="26"/>
      <c r="B39" s="26"/>
      <c r="C39" s="26"/>
      <c r="D39" s="26"/>
      <c r="E39" s="26"/>
      <c r="F39" s="26"/>
      <c r="G39" s="26"/>
      <c r="H39" s="26"/>
      <c r="I39" s="26"/>
      <c r="J39" s="26"/>
    </row>
    <row r="40" spans="1:19" x14ac:dyDescent="0.2">
      <c r="A40" s="310"/>
      <c r="B40" s="310"/>
      <c r="C40" s="310"/>
      <c r="D40" s="310"/>
      <c r="E40" s="310"/>
      <c r="F40" s="310"/>
      <c r="G40" s="310"/>
      <c r="H40" s="310"/>
      <c r="I40" s="310"/>
      <c r="J40" s="310"/>
    </row>
    <row r="41" spans="1:19" ht="41.25" customHeight="1" x14ac:dyDescent="0.2">
      <c r="A41" s="720" t="s">
        <v>991</v>
      </c>
      <c r="B41" s="1110" t="s">
        <v>1034</v>
      </c>
      <c r="C41" s="1110"/>
      <c r="D41" s="1040"/>
      <c r="E41" s="1040"/>
      <c r="F41" s="1040"/>
      <c r="G41" s="1040"/>
      <c r="H41" s="1040"/>
      <c r="I41" s="1040"/>
      <c r="J41" s="1040"/>
    </row>
    <row r="42" spans="1:19" x14ac:dyDescent="0.2">
      <c r="A42" s="310"/>
    </row>
    <row r="43" spans="1:19" ht="13.5" thickBot="1" x14ac:dyDescent="0.25"/>
    <row r="44" spans="1:19" ht="27.75" customHeight="1" thickBot="1" x14ac:dyDescent="0.25">
      <c r="A44" s="310"/>
      <c r="B44" s="1111" t="s">
        <v>1035</v>
      </c>
      <c r="C44" s="1112"/>
      <c r="D44" s="1113"/>
      <c r="E44" s="1113"/>
      <c r="F44" s="1113"/>
      <c r="G44" s="1113"/>
      <c r="H44" s="1113"/>
      <c r="I44" s="1113"/>
      <c r="J44" s="1114"/>
    </row>
    <row r="45" spans="1:19" x14ac:dyDescent="0.2">
      <c r="A45" s="310"/>
    </row>
  </sheetData>
  <customSheetViews>
    <customSheetView guid="{E0C60316-4586-4AAF-92CB-FA82BB1EB755}">
      <selection activeCell="B29" sqref="B29"/>
      <pageMargins left="0" right="0" top="0" bottom="0" header="0" footer="0"/>
      <printOptions horizontalCentered="1"/>
      <pageSetup firstPageNumber="111" fitToHeight="0" orientation="portrait" useFirstPageNumber="1" r:id="rId1"/>
      <headerFooter alignWithMargins="0"/>
    </customSheetView>
    <customSheetView guid="{A8748736-0722-49EB-85B6-C9B52DDCFE0E}">
      <selection activeCell="L34" sqref="L34"/>
      <pageMargins left="0.75" right="0.75" top="1" bottom="1" header="0.5" footer="0.5"/>
      <printOptions horizontalCentered="1"/>
      <pageSetup firstPageNumber="111" fitToHeight="0" orientation="portrait" useFirstPageNumber="1" r:id="rId2"/>
      <headerFooter alignWithMargins="0"/>
    </customSheetView>
  </customSheetViews>
  <mergeCells count="3">
    <mergeCell ref="B31:D31"/>
    <mergeCell ref="B41:J41"/>
    <mergeCell ref="B44:J44"/>
  </mergeCells>
  <phoneticPr fontId="0" type="noConversion"/>
  <printOptions horizontalCentered="1"/>
  <pageMargins left="0.75" right="0.75" top="1" bottom="1" header="0.5" footer="0.5"/>
  <pageSetup firstPageNumber="111" fitToHeight="0" orientation="portrait" useFirstPageNumber="1" r:id="rId3"/>
  <headerFooter alignWithMargins="0"/>
  <legacyDrawing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tint="0.39997558519241921"/>
  </sheetPr>
  <dimension ref="A1:I31"/>
  <sheetViews>
    <sheetView workbookViewId="0">
      <selection activeCell="A4" sqref="A4:I4"/>
    </sheetView>
  </sheetViews>
  <sheetFormatPr defaultColWidth="9.140625" defaultRowHeight="12.75" x14ac:dyDescent="0.2"/>
  <cols>
    <col min="1" max="1" width="3.140625" style="30" customWidth="1"/>
    <col min="2" max="2" width="3.85546875" style="30" customWidth="1"/>
    <col min="3" max="3" width="3" style="30" customWidth="1"/>
    <col min="4" max="4" width="18.42578125" style="30" customWidth="1"/>
    <col min="5" max="5" width="9.140625" style="30"/>
    <col min="6" max="6" width="1.7109375" style="30" customWidth="1"/>
    <col min="7" max="7" width="9.140625" style="30"/>
    <col min="8" max="8" width="1.7109375" style="30" customWidth="1"/>
    <col min="9" max="16384" width="9.140625" style="30"/>
  </cols>
  <sheetData>
    <row r="1" spans="1:9" x14ac:dyDescent="0.2">
      <c r="A1" s="1115" t="s">
        <v>0</v>
      </c>
      <c r="B1" s="1115"/>
      <c r="C1" s="1115"/>
      <c r="D1" s="1115"/>
      <c r="E1" s="1115"/>
      <c r="F1" s="1115"/>
      <c r="G1" s="1115"/>
      <c r="H1" s="1115"/>
      <c r="I1" s="1115"/>
    </row>
    <row r="2" spans="1:9" x14ac:dyDescent="0.2">
      <c r="A2" s="1115" t="s">
        <v>580</v>
      </c>
      <c r="B2" s="1115"/>
      <c r="C2" s="1115"/>
      <c r="D2" s="1115"/>
      <c r="E2" s="1115"/>
      <c r="F2" s="1115"/>
      <c r="G2" s="1115"/>
      <c r="H2" s="1115"/>
      <c r="I2" s="1115"/>
    </row>
    <row r="3" spans="1:9" x14ac:dyDescent="0.2">
      <c r="A3" s="1115" t="s">
        <v>397</v>
      </c>
      <c r="B3" s="1115"/>
      <c r="C3" s="1115"/>
      <c r="D3" s="1115"/>
      <c r="E3" s="1115"/>
      <c r="F3" s="1115"/>
      <c r="G3" s="1115"/>
      <c r="H3" s="1115"/>
      <c r="I3" s="1115"/>
    </row>
    <row r="4" spans="1:9" x14ac:dyDescent="0.2">
      <c r="A4" s="1115" t="s">
        <v>398</v>
      </c>
      <c r="B4" s="1115"/>
      <c r="C4" s="1115"/>
      <c r="D4" s="1115"/>
      <c r="E4" s="1115"/>
      <c r="F4" s="1115"/>
      <c r="G4" s="1115"/>
      <c r="H4" s="1115"/>
      <c r="I4" s="1115"/>
    </row>
    <row r="5" spans="1:9" x14ac:dyDescent="0.2">
      <c r="A5" s="1115" t="str">
        <f>'GWStmtAct 68 Exh 2'!A3</f>
        <v>For the Year Ended June 30, 2025</v>
      </c>
      <c r="B5" s="1115"/>
      <c r="C5" s="1115"/>
      <c r="D5" s="1115"/>
      <c r="E5" s="1115"/>
      <c r="F5" s="1115"/>
      <c r="G5" s="1115"/>
      <c r="H5" s="1115"/>
      <c r="I5" s="1115"/>
    </row>
    <row r="6" spans="1:9" x14ac:dyDescent="0.2">
      <c r="A6" s="669"/>
      <c r="B6" s="669"/>
      <c r="C6" s="669"/>
      <c r="D6" s="669"/>
      <c r="E6" s="669"/>
      <c r="F6" s="669"/>
      <c r="G6" s="669"/>
      <c r="H6" s="669"/>
      <c r="I6" s="669"/>
    </row>
    <row r="7" spans="1:9" x14ac:dyDescent="0.2">
      <c r="A7" s="1115"/>
      <c r="B7" s="1115"/>
      <c r="C7" s="1115"/>
      <c r="D7" s="1115"/>
      <c r="E7" s="1115"/>
      <c r="F7" s="1115"/>
      <c r="G7" s="1115"/>
      <c r="H7" s="1115"/>
      <c r="I7" s="1115"/>
    </row>
    <row r="8" spans="1:9" ht="13.5" thickBot="1" x14ac:dyDescent="0.25">
      <c r="A8" s="144"/>
      <c r="B8" s="144"/>
      <c r="C8" s="144"/>
      <c r="D8" s="144"/>
      <c r="E8" s="144"/>
      <c r="F8" s="81"/>
      <c r="G8" s="81"/>
      <c r="H8" s="81"/>
      <c r="I8" s="81"/>
    </row>
    <row r="9" spans="1:9" x14ac:dyDescent="0.2">
      <c r="A9" s="145"/>
      <c r="B9" s="145"/>
      <c r="C9" s="145"/>
      <c r="D9" s="145"/>
      <c r="E9" s="145"/>
      <c r="F9" s="26"/>
      <c r="G9" s="26"/>
      <c r="H9" s="26"/>
      <c r="I9" s="113" t="s">
        <v>187</v>
      </c>
    </row>
    <row r="10" spans="1:9" x14ac:dyDescent="0.2">
      <c r="A10" s="145"/>
      <c r="B10" s="145"/>
      <c r="C10" s="145"/>
      <c r="D10" s="145"/>
      <c r="E10" s="146" t="s">
        <v>189</v>
      </c>
      <c r="F10" s="26"/>
      <c r="G10" s="26"/>
      <c r="H10" s="26"/>
      <c r="I10" s="809" t="s">
        <v>1053</v>
      </c>
    </row>
    <row r="11" spans="1:9" x14ac:dyDescent="0.2">
      <c r="A11" s="145"/>
      <c r="B11" s="147" t="s">
        <v>112</v>
      </c>
      <c r="C11" s="145"/>
      <c r="D11" s="145"/>
      <c r="E11" s="148" t="s">
        <v>190</v>
      </c>
      <c r="F11" s="26"/>
      <c r="G11" s="117" t="s">
        <v>191</v>
      </c>
      <c r="H11" s="26"/>
      <c r="I11" s="810" t="s">
        <v>1054</v>
      </c>
    </row>
    <row r="12" spans="1:9" x14ac:dyDescent="0.2">
      <c r="A12" s="713" t="s">
        <v>192</v>
      </c>
      <c r="B12" s="145"/>
      <c r="C12" s="145"/>
      <c r="D12" s="145"/>
      <c r="E12" s="145"/>
      <c r="F12" s="26"/>
      <c r="G12" s="26"/>
      <c r="H12" s="26"/>
      <c r="I12" s="26"/>
    </row>
    <row r="13" spans="1:9" x14ac:dyDescent="0.2">
      <c r="A13" s="145"/>
      <c r="B13" s="147" t="s">
        <v>400</v>
      </c>
      <c r="C13" s="145"/>
      <c r="D13" s="145"/>
      <c r="E13" s="149"/>
      <c r="F13" s="121"/>
      <c r="G13" s="121"/>
      <c r="H13" s="121"/>
      <c r="I13" s="121"/>
    </row>
    <row r="14" spans="1:9" x14ac:dyDescent="0.2">
      <c r="A14" s="145"/>
      <c r="B14" s="145"/>
      <c r="C14" s="147" t="s">
        <v>581</v>
      </c>
      <c r="D14" s="145"/>
      <c r="E14" s="150">
        <v>19200</v>
      </c>
      <c r="F14" s="151"/>
      <c r="G14" s="151">
        <v>19313</v>
      </c>
      <c r="H14" s="151"/>
      <c r="I14" s="151">
        <f>G14-E14</f>
        <v>113</v>
      </c>
    </row>
    <row r="15" spans="1:9" x14ac:dyDescent="0.2">
      <c r="A15" s="145"/>
      <c r="B15" s="145"/>
      <c r="C15" s="147" t="s">
        <v>582</v>
      </c>
      <c r="D15" s="145"/>
      <c r="E15" s="152">
        <v>1500</v>
      </c>
      <c r="F15" s="121"/>
      <c r="G15" s="153">
        <v>1548</v>
      </c>
      <c r="H15" s="121"/>
      <c r="I15" s="153">
        <f>G15-E15</f>
        <v>48</v>
      </c>
    </row>
    <row r="16" spans="1:9" x14ac:dyDescent="0.2">
      <c r="A16" s="145"/>
      <c r="B16" s="145"/>
      <c r="C16" s="145"/>
      <c r="D16" s="147" t="s">
        <v>402</v>
      </c>
      <c r="E16" s="125">
        <f>SUM(E14:E15)</f>
        <v>20700</v>
      </c>
      <c r="F16" s="121"/>
      <c r="G16" s="125">
        <f>SUM(G14:G15)</f>
        <v>20861</v>
      </c>
      <c r="H16" s="121"/>
      <c r="I16" s="125">
        <f>SUM(I14:I15)</f>
        <v>161</v>
      </c>
    </row>
    <row r="17" spans="1:9" x14ac:dyDescent="0.2">
      <c r="A17" s="145"/>
      <c r="B17" s="145"/>
      <c r="C17" s="145"/>
      <c r="D17" s="145"/>
      <c r="E17" s="149"/>
      <c r="F17" s="121"/>
      <c r="G17" s="121"/>
      <c r="H17" s="310"/>
      <c r="I17" s="310"/>
    </row>
    <row r="18" spans="1:9" x14ac:dyDescent="0.2">
      <c r="A18" s="145"/>
      <c r="B18" s="147" t="s">
        <v>148</v>
      </c>
      <c r="C18" s="145"/>
      <c r="D18" s="145"/>
      <c r="E18" s="154">
        <v>100</v>
      </c>
      <c r="F18" s="121"/>
      <c r="G18" s="155">
        <v>99</v>
      </c>
      <c r="H18" s="121"/>
      <c r="I18" s="155">
        <f>G18-E18</f>
        <v>-1</v>
      </c>
    </row>
    <row r="19" spans="1:9" x14ac:dyDescent="0.2">
      <c r="A19" s="145"/>
      <c r="B19" s="145"/>
      <c r="C19" s="145"/>
      <c r="D19" s="147" t="s">
        <v>150</v>
      </c>
      <c r="E19" s="154">
        <f>E16+E18</f>
        <v>20800</v>
      </c>
      <c r="F19" s="121"/>
      <c r="G19" s="154">
        <f>G16+G18</f>
        <v>20960</v>
      </c>
      <c r="H19" s="121"/>
      <c r="I19" s="154">
        <f>G19-E19</f>
        <v>160</v>
      </c>
    </row>
    <row r="20" spans="1:9" x14ac:dyDescent="0.2">
      <c r="A20" s="145"/>
      <c r="B20" s="145"/>
      <c r="C20" s="145"/>
      <c r="D20" s="145"/>
      <c r="E20" s="149"/>
      <c r="F20" s="121"/>
      <c r="G20" s="121"/>
      <c r="H20" s="121"/>
      <c r="I20" s="121"/>
    </row>
    <row r="21" spans="1:9" x14ac:dyDescent="0.2">
      <c r="A21" s="713" t="s">
        <v>439</v>
      </c>
      <c r="B21" s="145"/>
      <c r="C21" s="145"/>
      <c r="D21" s="145"/>
      <c r="E21" s="149"/>
      <c r="F21" s="121"/>
      <c r="G21" s="121"/>
      <c r="H21" s="121"/>
      <c r="I21" s="121"/>
    </row>
    <row r="22" spans="1:9" x14ac:dyDescent="0.2">
      <c r="A22" s="145"/>
      <c r="B22" s="147" t="s">
        <v>456</v>
      </c>
      <c r="C22" s="145"/>
      <c r="D22" s="145"/>
      <c r="E22" s="149"/>
      <c r="F22" s="121"/>
      <c r="G22" s="121"/>
      <c r="H22" s="121"/>
      <c r="I22" s="121"/>
    </row>
    <row r="23" spans="1:9" x14ac:dyDescent="0.2">
      <c r="A23" s="145"/>
      <c r="B23" s="145"/>
      <c r="C23" s="147" t="s">
        <v>583</v>
      </c>
      <c r="D23" s="145"/>
      <c r="E23" s="149">
        <v>9800</v>
      </c>
      <c r="F23" s="121"/>
      <c r="G23" s="121">
        <v>9800</v>
      </c>
      <c r="H23" s="121"/>
      <c r="I23" s="156">
        <f>E23-G23</f>
        <v>0</v>
      </c>
    </row>
    <row r="24" spans="1:9" x14ac:dyDescent="0.2">
      <c r="A24" s="145"/>
      <c r="B24" s="145"/>
      <c r="C24" s="147" t="s">
        <v>584</v>
      </c>
      <c r="D24" s="145"/>
      <c r="E24" s="154">
        <v>11000</v>
      </c>
      <c r="F24" s="121"/>
      <c r="G24" s="155">
        <v>11000</v>
      </c>
      <c r="H24" s="121"/>
      <c r="I24" s="157">
        <f>E24-G24</f>
        <v>0</v>
      </c>
    </row>
    <row r="25" spans="1:9" x14ac:dyDescent="0.2">
      <c r="A25" s="145"/>
      <c r="B25" s="145"/>
      <c r="C25" s="145"/>
      <c r="D25" s="147" t="s">
        <v>162</v>
      </c>
      <c r="E25" s="154">
        <f>SUM(E23:E24)</f>
        <v>20800</v>
      </c>
      <c r="F25" s="121"/>
      <c r="G25" s="154">
        <f>SUM(G23:G24)</f>
        <v>20800</v>
      </c>
      <c r="H25" s="121"/>
      <c r="I25" s="154">
        <f>SUM(I23:I24)</f>
        <v>0</v>
      </c>
    </row>
    <row r="26" spans="1:9" x14ac:dyDescent="0.2">
      <c r="A26" s="145"/>
      <c r="B26" s="145"/>
      <c r="C26" s="145"/>
      <c r="D26" s="145"/>
      <c r="E26" s="149"/>
      <c r="F26" s="121"/>
      <c r="G26" s="121"/>
      <c r="H26" s="121"/>
      <c r="I26" s="149"/>
    </row>
    <row r="27" spans="1:9" ht="13.5" thickBot="1" x14ac:dyDescent="0.25">
      <c r="A27" s="147" t="s">
        <v>173</v>
      </c>
      <c r="B27" s="145"/>
      <c r="C27" s="145"/>
      <c r="D27" s="145"/>
      <c r="E27" s="158">
        <f>E19-E25</f>
        <v>0</v>
      </c>
      <c r="F27" s="121"/>
      <c r="G27" s="121">
        <f>G19-G25</f>
        <v>160</v>
      </c>
      <c r="H27" s="121"/>
      <c r="I27" s="159">
        <f>I19-I25</f>
        <v>160</v>
      </c>
    </row>
    <row r="28" spans="1:9" ht="13.5" thickTop="1" x14ac:dyDescent="0.2">
      <c r="A28" s="145"/>
      <c r="B28" s="145"/>
      <c r="C28" s="145"/>
      <c r="D28" s="145"/>
      <c r="E28" s="149"/>
      <c r="F28" s="121"/>
      <c r="G28" s="121"/>
      <c r="H28" s="121"/>
      <c r="I28" s="121"/>
    </row>
    <row r="29" spans="1:9" x14ac:dyDescent="0.2">
      <c r="A29" s="147" t="s">
        <v>1076</v>
      </c>
      <c r="B29" s="147"/>
      <c r="C29" s="145"/>
      <c r="D29" s="145"/>
      <c r="E29" s="149"/>
      <c r="F29" s="121"/>
      <c r="G29" s="155">
        <v>1623</v>
      </c>
      <c r="H29" s="121"/>
      <c r="I29" s="121"/>
    </row>
    <row r="30" spans="1:9" ht="13.5" thickBot="1" x14ac:dyDescent="0.25">
      <c r="A30" s="147" t="s">
        <v>1083</v>
      </c>
      <c r="B30" s="147"/>
      <c r="C30" s="145"/>
      <c r="D30" s="145"/>
      <c r="E30" s="149"/>
      <c r="F30" s="121"/>
      <c r="G30" s="159">
        <f>G27+G29</f>
        <v>1783</v>
      </c>
      <c r="H30" s="121"/>
      <c r="I30" s="121"/>
    </row>
    <row r="31" spans="1:9" ht="13.5" thickTop="1" x14ac:dyDescent="0.2">
      <c r="A31" s="310"/>
      <c r="B31" s="310"/>
      <c r="C31" s="310"/>
      <c r="D31" s="310"/>
      <c r="E31" s="310"/>
      <c r="F31" s="310"/>
      <c r="G31" s="310"/>
      <c r="H31" s="310"/>
      <c r="I31" s="310"/>
    </row>
  </sheetData>
  <customSheetViews>
    <customSheetView guid="{E0C60316-4586-4AAF-92CB-FA82BB1EB755}">
      <selection sqref="A1:I1"/>
      <pageMargins left="0" right="0" top="0" bottom="0" header="0" footer="0"/>
      <printOptions horizontalCentered="1"/>
      <pageSetup firstPageNumber="112" fitToHeight="0" orientation="portrait" useFirstPageNumber="1" r:id="rId1"/>
      <headerFooter alignWithMargins="0"/>
    </customSheetView>
    <customSheetView guid="{A8748736-0722-49EB-85B6-C9B52DDCFE0E}">
      <selection activeCell="G52" sqref="A2:I52"/>
      <pageMargins left="0.75" right="0.75" top="1" bottom="1" header="0.5" footer="0.5"/>
      <printOptions horizontalCentered="1"/>
      <pageSetup firstPageNumber="112" fitToHeight="0" orientation="portrait" useFirstPageNumber="1" r:id="rId2"/>
      <headerFooter alignWithMargins="0"/>
    </customSheetView>
  </customSheetViews>
  <mergeCells count="6">
    <mergeCell ref="A5:I5"/>
    <mergeCell ref="A7:I7"/>
    <mergeCell ref="A1:I1"/>
    <mergeCell ref="A2:I2"/>
    <mergeCell ref="A3:I3"/>
    <mergeCell ref="A4:I4"/>
  </mergeCells>
  <phoneticPr fontId="0" type="noConversion"/>
  <printOptions horizontalCentered="1"/>
  <pageMargins left="0.75" right="0.75" top="1" bottom="1" header="0.5" footer="0.5"/>
  <pageSetup firstPageNumber="112" fitToHeight="0" orientation="portrait" useFirstPageNumber="1" r:id="rId3"/>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tint="0.39997558519241921"/>
  </sheetPr>
  <dimension ref="A1:M33"/>
  <sheetViews>
    <sheetView workbookViewId="0">
      <selection activeCell="A4" sqref="A4:I4"/>
    </sheetView>
  </sheetViews>
  <sheetFormatPr defaultColWidth="9.140625" defaultRowHeight="12.75" x14ac:dyDescent="0.2"/>
  <cols>
    <col min="1" max="1" width="3.140625" style="30" customWidth="1"/>
    <col min="2" max="2" width="3.85546875" style="30" customWidth="1"/>
    <col min="3" max="3" width="3" style="30" customWidth="1"/>
    <col min="4" max="4" width="31.42578125" style="30" customWidth="1"/>
    <col min="5" max="5" width="9.5703125" style="30" bestFit="1" customWidth="1"/>
    <col min="6" max="6" width="1.7109375" style="30" customWidth="1"/>
    <col min="7" max="7" width="9.5703125" style="30" bestFit="1" customWidth="1"/>
    <col min="8" max="8" width="1.7109375" style="30" customWidth="1"/>
    <col min="9" max="16384" width="9.140625" style="30"/>
  </cols>
  <sheetData>
    <row r="1" spans="1:13" x14ac:dyDescent="0.2">
      <c r="A1" s="1115" t="s">
        <v>0</v>
      </c>
      <c r="B1" s="1115"/>
      <c r="C1" s="1115"/>
      <c r="D1" s="1115"/>
      <c r="E1" s="1115"/>
      <c r="F1" s="1115"/>
      <c r="G1" s="1115"/>
      <c r="H1" s="1115"/>
      <c r="I1" s="1115"/>
      <c r="J1" s="310"/>
      <c r="K1" s="310"/>
      <c r="L1" s="310"/>
      <c r="M1" s="310"/>
    </row>
    <row r="2" spans="1:13" x14ac:dyDescent="0.2">
      <c r="A2" s="1115" t="s">
        <v>553</v>
      </c>
      <c r="B2" s="1115"/>
      <c r="C2" s="1115"/>
      <c r="D2" s="1115"/>
      <c r="E2" s="1115"/>
      <c r="F2" s="1115"/>
      <c r="G2" s="1115"/>
      <c r="H2" s="1115"/>
      <c r="I2" s="1115"/>
      <c r="J2" s="310"/>
      <c r="K2" s="310"/>
      <c r="L2" s="310"/>
      <c r="M2" s="310"/>
    </row>
    <row r="3" spans="1:13" x14ac:dyDescent="0.2">
      <c r="A3" s="1115" t="s">
        <v>397</v>
      </c>
      <c r="B3" s="1115"/>
      <c r="C3" s="1115"/>
      <c r="D3" s="1115"/>
      <c r="E3" s="1115"/>
      <c r="F3" s="1115"/>
      <c r="G3" s="1115"/>
      <c r="H3" s="1115"/>
      <c r="I3" s="1115"/>
      <c r="J3" s="310"/>
      <c r="K3" s="310"/>
      <c r="L3" s="310"/>
      <c r="M3" s="310"/>
    </row>
    <row r="4" spans="1:13" x14ac:dyDescent="0.2">
      <c r="A4" s="1115" t="s">
        <v>398</v>
      </c>
      <c r="B4" s="1115"/>
      <c r="C4" s="1115"/>
      <c r="D4" s="1115"/>
      <c r="E4" s="1115"/>
      <c r="F4" s="1115"/>
      <c r="G4" s="1115"/>
      <c r="H4" s="1115"/>
      <c r="I4" s="1115"/>
      <c r="J4" s="310"/>
      <c r="K4" s="310"/>
      <c r="L4" s="310"/>
      <c r="M4" s="310"/>
    </row>
    <row r="5" spans="1:13" x14ac:dyDescent="0.2">
      <c r="A5" s="1115" t="str">
        <f>'GWStmtAct 68 Exh 2'!A3</f>
        <v>For the Year Ended June 30, 2025</v>
      </c>
      <c r="B5" s="1115"/>
      <c r="C5" s="1115"/>
      <c r="D5" s="1115"/>
      <c r="E5" s="1115"/>
      <c r="F5" s="1115"/>
      <c r="G5" s="1115"/>
      <c r="H5" s="1115"/>
      <c r="I5" s="1115"/>
      <c r="J5" s="310"/>
      <c r="K5" s="310"/>
      <c r="L5" s="310"/>
      <c r="M5" s="310"/>
    </row>
    <row r="6" spans="1:13" x14ac:dyDescent="0.2">
      <c r="A6" s="669"/>
      <c r="B6" s="669"/>
      <c r="C6" s="669"/>
      <c r="D6" s="669"/>
      <c r="E6" s="669"/>
      <c r="F6" s="669"/>
      <c r="G6" s="669"/>
      <c r="H6" s="669"/>
      <c r="I6" s="669"/>
      <c r="J6" s="310"/>
      <c r="K6" s="310"/>
      <c r="L6" s="310"/>
      <c r="M6" s="310"/>
    </row>
    <row r="7" spans="1:13" x14ac:dyDescent="0.2">
      <c r="A7" s="930"/>
      <c r="B7" s="930"/>
      <c r="C7" s="930"/>
      <c r="D7" s="930"/>
      <c r="E7" s="930"/>
      <c r="F7" s="930"/>
      <c r="G7" s="930"/>
      <c r="H7" s="930"/>
      <c r="I7" s="930"/>
      <c r="J7" s="310"/>
      <c r="K7" s="310"/>
      <c r="L7" s="310"/>
      <c r="M7" s="310"/>
    </row>
    <row r="8" spans="1:13" ht="13.5" thickBot="1" x14ac:dyDescent="0.25">
      <c r="A8" s="144"/>
      <c r="B8" s="144"/>
      <c r="C8" s="144"/>
      <c r="D8" s="144"/>
      <c r="E8" s="144"/>
      <c r="F8" s="81"/>
      <c r="G8" s="81"/>
      <c r="H8" s="81"/>
      <c r="I8" s="81"/>
      <c r="J8" s="310"/>
      <c r="K8" s="310"/>
      <c r="L8" s="310"/>
      <c r="M8" s="310"/>
    </row>
    <row r="9" spans="1:13" x14ac:dyDescent="0.2">
      <c r="A9" s="145"/>
      <c r="B9" s="145"/>
      <c r="C9" s="145"/>
      <c r="D9" s="145"/>
      <c r="E9" s="145"/>
      <c r="F9" s="26"/>
      <c r="G9" s="26"/>
      <c r="H9" s="26"/>
      <c r="I9" s="113" t="s">
        <v>187</v>
      </c>
      <c r="J9" s="310"/>
      <c r="K9" s="310"/>
      <c r="L9" s="310"/>
      <c r="M9" s="310"/>
    </row>
    <row r="10" spans="1:13" x14ac:dyDescent="0.2">
      <c r="A10" s="145"/>
      <c r="B10" s="145"/>
      <c r="C10" s="145"/>
      <c r="D10" s="145"/>
      <c r="E10" s="146" t="s">
        <v>189</v>
      </c>
      <c r="F10" s="26"/>
      <c r="G10" s="26"/>
      <c r="H10" s="26"/>
      <c r="I10" s="809" t="s">
        <v>1053</v>
      </c>
      <c r="J10" s="310"/>
      <c r="K10" s="310"/>
      <c r="L10" s="310"/>
      <c r="M10" s="310"/>
    </row>
    <row r="11" spans="1:13" x14ac:dyDescent="0.2">
      <c r="A11" s="145"/>
      <c r="B11" s="147" t="s">
        <v>112</v>
      </c>
      <c r="C11" s="145"/>
      <c r="D11" s="145"/>
      <c r="E11" s="148" t="s">
        <v>190</v>
      </c>
      <c r="F11" s="26"/>
      <c r="G11" s="117" t="s">
        <v>191</v>
      </c>
      <c r="H11" s="26"/>
      <c r="I11" s="810" t="s">
        <v>1054</v>
      </c>
      <c r="J11" s="310"/>
      <c r="K11" s="310"/>
      <c r="L11" s="310"/>
      <c r="M11" s="310"/>
    </row>
    <row r="12" spans="1:13" x14ac:dyDescent="0.2">
      <c r="A12" s="713" t="s">
        <v>192</v>
      </c>
      <c r="B12" s="145"/>
      <c r="C12" s="145"/>
      <c r="D12" s="145"/>
      <c r="E12" s="145"/>
      <c r="F12" s="26"/>
      <c r="G12" s="26"/>
      <c r="H12" s="26"/>
      <c r="I12" s="26"/>
      <c r="J12" s="310"/>
      <c r="K12" s="310"/>
      <c r="L12" s="310"/>
      <c r="M12" s="310"/>
    </row>
    <row r="13" spans="1:13" x14ac:dyDescent="0.2">
      <c r="A13" s="713"/>
      <c r="B13" s="722" t="s">
        <v>415</v>
      </c>
      <c r="C13" s="722"/>
      <c r="D13" s="722"/>
      <c r="E13" s="145"/>
      <c r="F13" s="26"/>
      <c r="G13" s="26"/>
      <c r="H13" s="26"/>
      <c r="I13" s="26"/>
      <c r="J13" s="310"/>
      <c r="K13" s="310"/>
      <c r="L13" s="310"/>
      <c r="M13" s="310"/>
    </row>
    <row r="14" spans="1:13" x14ac:dyDescent="0.2">
      <c r="A14" s="145"/>
      <c r="B14" s="147"/>
      <c r="C14" s="147" t="s">
        <v>1027</v>
      </c>
      <c r="D14" s="145"/>
      <c r="E14" s="150">
        <v>566000</v>
      </c>
      <c r="F14" s="151"/>
      <c r="G14" s="151">
        <v>566064</v>
      </c>
      <c r="H14" s="151"/>
      <c r="I14" s="151">
        <f>G14-E14</f>
        <v>64</v>
      </c>
      <c r="J14" s="310"/>
      <c r="K14" s="310"/>
      <c r="L14" s="310"/>
      <c r="M14" s="310"/>
    </row>
    <row r="15" spans="1:13" x14ac:dyDescent="0.2">
      <c r="A15" s="145"/>
      <c r="B15" s="147" t="s">
        <v>148</v>
      </c>
      <c r="D15" s="145"/>
      <c r="E15" s="154">
        <v>0</v>
      </c>
      <c r="F15" s="121"/>
      <c r="G15" s="155">
        <v>568</v>
      </c>
      <c r="H15" s="121"/>
      <c r="I15" s="155">
        <f>G15-E15</f>
        <v>568</v>
      </c>
      <c r="J15" s="310"/>
      <c r="K15" s="310"/>
      <c r="L15" s="310"/>
      <c r="M15" s="310"/>
    </row>
    <row r="16" spans="1:13" x14ac:dyDescent="0.2">
      <c r="A16" s="145"/>
      <c r="B16" s="145"/>
      <c r="C16" s="145"/>
      <c r="D16" s="147" t="s">
        <v>150</v>
      </c>
      <c r="E16" s="154">
        <f>SUM(E14:E15)</f>
        <v>566000</v>
      </c>
      <c r="F16" s="121"/>
      <c r="G16" s="154">
        <f>SUM(G14:G15)</f>
        <v>566632</v>
      </c>
      <c r="H16" s="121"/>
      <c r="I16" s="154">
        <f>G16-E16</f>
        <v>632</v>
      </c>
      <c r="J16" s="310"/>
      <c r="K16" s="310"/>
      <c r="L16" s="310"/>
      <c r="M16" s="310"/>
    </row>
    <row r="17" spans="1:13" x14ac:dyDescent="0.2">
      <c r="A17" s="145"/>
      <c r="B17" s="145"/>
      <c r="C17" s="145"/>
      <c r="D17" s="145"/>
      <c r="E17" s="149"/>
      <c r="F17" s="121"/>
      <c r="G17" s="121"/>
      <c r="H17" s="121"/>
      <c r="I17" s="121"/>
      <c r="J17" s="310"/>
      <c r="K17" s="310"/>
      <c r="L17" s="310"/>
      <c r="M17" s="310"/>
    </row>
    <row r="18" spans="1:13" x14ac:dyDescent="0.2">
      <c r="A18" s="713" t="s">
        <v>439</v>
      </c>
      <c r="B18" s="145"/>
      <c r="C18" s="145"/>
      <c r="D18" s="145"/>
      <c r="E18" s="149"/>
      <c r="F18" s="121"/>
      <c r="G18" s="121"/>
      <c r="H18" s="121"/>
      <c r="I18" s="121"/>
      <c r="J18" s="310"/>
      <c r="K18" s="310"/>
      <c r="L18" s="310"/>
      <c r="M18" s="310"/>
    </row>
    <row r="19" spans="1:13" x14ac:dyDescent="0.2">
      <c r="A19" s="145"/>
      <c r="B19" s="147" t="s">
        <v>485</v>
      </c>
      <c r="C19" s="145"/>
      <c r="D19" s="145"/>
      <c r="E19" s="145"/>
      <c r="F19" s="26"/>
      <c r="G19" s="26"/>
      <c r="H19" s="26"/>
      <c r="I19" s="26"/>
    </row>
    <row r="20" spans="1:13" x14ac:dyDescent="0.2">
      <c r="A20" s="145"/>
      <c r="B20" s="145"/>
      <c r="C20" s="147" t="s">
        <v>1026</v>
      </c>
      <c r="D20" s="145"/>
      <c r="E20" s="152">
        <v>566000</v>
      </c>
      <c r="F20" s="121"/>
      <c r="G20" s="153">
        <v>532637</v>
      </c>
      <c r="H20" s="121"/>
      <c r="I20" s="195">
        <f>E20-G20</f>
        <v>33363</v>
      </c>
    </row>
    <row r="21" spans="1:13" x14ac:dyDescent="0.2">
      <c r="A21" s="145"/>
      <c r="B21" s="145"/>
      <c r="C21" s="145"/>
      <c r="D21" s="147" t="s">
        <v>162</v>
      </c>
      <c r="E21" s="154">
        <f>SUM(E20:E20)</f>
        <v>566000</v>
      </c>
      <c r="F21" s="121"/>
      <c r="G21" s="154">
        <f>SUM(G20:G20)</f>
        <v>532637</v>
      </c>
      <c r="H21" s="121"/>
      <c r="I21" s="154">
        <f>SUM(I20:I20)</f>
        <v>33363</v>
      </c>
    </row>
    <row r="22" spans="1:13" x14ac:dyDescent="0.2">
      <c r="A22" s="145"/>
      <c r="B22" s="145"/>
      <c r="C22" s="145"/>
      <c r="D22" s="145"/>
      <c r="E22" s="149"/>
      <c r="F22" s="121"/>
      <c r="G22" s="121"/>
      <c r="H22" s="121"/>
      <c r="I22" s="149"/>
    </row>
    <row r="23" spans="1:13" ht="13.5" thickBot="1" x14ac:dyDescent="0.25">
      <c r="A23" s="147" t="s">
        <v>173</v>
      </c>
      <c r="B23" s="145"/>
      <c r="C23" s="145"/>
      <c r="D23" s="145"/>
      <c r="E23" s="158">
        <f>E16-E21</f>
        <v>0</v>
      </c>
      <c r="F23" s="121"/>
      <c r="G23" s="121">
        <f>G16-G21</f>
        <v>33995</v>
      </c>
      <c r="H23" s="121"/>
      <c r="I23" s="159">
        <f>I16-I21</f>
        <v>-32731</v>
      </c>
    </row>
    <row r="24" spans="1:13" ht="13.5" thickTop="1" x14ac:dyDescent="0.2">
      <c r="A24" s="145"/>
      <c r="B24" s="145"/>
      <c r="C24" s="145"/>
      <c r="D24" s="145"/>
      <c r="E24" s="149"/>
      <c r="F24" s="121"/>
      <c r="G24" s="121"/>
      <c r="H24" s="121"/>
      <c r="I24" s="121"/>
    </row>
    <row r="25" spans="1:13" hidden="1" x14ac:dyDescent="0.2">
      <c r="A25" s="147" t="s">
        <v>585</v>
      </c>
      <c r="B25" s="147"/>
      <c r="C25" s="145"/>
      <c r="D25" s="145"/>
      <c r="E25" s="149"/>
      <c r="F25" s="121"/>
      <c r="G25" s="425">
        <v>0</v>
      </c>
      <c r="H25" s="121"/>
      <c r="I25" s="121"/>
    </row>
    <row r="26" spans="1:13" hidden="1" x14ac:dyDescent="0.2">
      <c r="A26" s="147"/>
      <c r="B26" s="147" t="s">
        <v>175</v>
      </c>
      <c r="C26" s="145"/>
      <c r="D26" s="145"/>
      <c r="E26" s="149"/>
      <c r="F26" s="121"/>
      <c r="G26" s="121">
        <v>12351</v>
      </c>
      <c r="H26" s="121"/>
      <c r="I26" s="121"/>
    </row>
    <row r="27" spans="1:13" x14ac:dyDescent="0.2">
      <c r="A27" s="147" t="s">
        <v>1076</v>
      </c>
      <c r="B27" s="147"/>
      <c r="C27" s="145"/>
      <c r="D27" s="145"/>
      <c r="E27" s="149"/>
      <c r="F27" s="121"/>
      <c r="G27" s="153">
        <f>SUM(G25:G26)</f>
        <v>12351</v>
      </c>
      <c r="H27" s="121"/>
      <c r="I27" s="121"/>
    </row>
    <row r="28" spans="1:13" ht="13.5" thickBot="1" x14ac:dyDescent="0.25">
      <c r="A28" s="147" t="s">
        <v>1083</v>
      </c>
      <c r="B28" s="147"/>
      <c r="C28" s="145"/>
      <c r="D28" s="145"/>
      <c r="E28" s="149"/>
      <c r="F28" s="121"/>
      <c r="G28" s="159">
        <f>G23+G27</f>
        <v>46346</v>
      </c>
      <c r="H28" s="121"/>
      <c r="I28" s="121"/>
    </row>
    <row r="29" spans="1:13" ht="13.5" thickTop="1" x14ac:dyDescent="0.2">
      <c r="A29" s="310"/>
      <c r="B29" s="310"/>
      <c r="C29" s="310"/>
      <c r="D29" s="310"/>
      <c r="E29" s="310"/>
      <c r="F29" s="310"/>
      <c r="G29" s="310"/>
      <c r="H29" s="310"/>
      <c r="I29" s="310"/>
    </row>
    <row r="31" spans="1:13" ht="13.5" thickBot="1" x14ac:dyDescent="0.25"/>
    <row r="32" spans="1:13" ht="80.25" customHeight="1" thickBot="1" x14ac:dyDescent="0.25">
      <c r="A32" s="1116" t="s">
        <v>1031</v>
      </c>
      <c r="B32" s="1117"/>
      <c r="C32" s="1117"/>
      <c r="D32" s="1117"/>
      <c r="E32" s="1117"/>
      <c r="F32" s="1117"/>
      <c r="G32" s="1117"/>
      <c r="H32" s="1117"/>
      <c r="I32" s="1118"/>
    </row>
    <row r="33" spans="1:9" x14ac:dyDescent="0.2">
      <c r="A33" s="721"/>
      <c r="B33" s="310"/>
      <c r="C33" s="310"/>
      <c r="D33" s="310"/>
      <c r="E33" s="310"/>
      <c r="F33" s="310"/>
      <c r="G33" s="310"/>
      <c r="H33" s="310"/>
      <c r="I33" s="310"/>
    </row>
  </sheetData>
  <customSheetViews>
    <customSheetView guid="{A8748736-0722-49EB-85B6-C9B52DDCFE0E}">
      <selection activeCell="F14" sqref="F14"/>
      <pageMargins left="0.75" right="0.75" top="1" bottom="1" header="0.5" footer="0.5"/>
      <printOptions horizontalCentered="1"/>
      <pageSetup firstPageNumber="112" fitToHeight="0" orientation="portrait" useFirstPageNumber="1" r:id="rId1"/>
      <headerFooter alignWithMargins="0"/>
    </customSheetView>
  </customSheetViews>
  <mergeCells count="6">
    <mergeCell ref="A32:I32"/>
    <mergeCell ref="A1:I1"/>
    <mergeCell ref="A2:I2"/>
    <mergeCell ref="A3:I3"/>
    <mergeCell ref="A4:I4"/>
    <mergeCell ref="A5:I5"/>
  </mergeCells>
  <printOptions horizontalCentered="1"/>
  <pageMargins left="0.75" right="0.75" top="1" bottom="1" header="0.5" footer="0.5"/>
  <pageSetup firstPageNumber="112" fitToHeight="0" orientation="portrait" useFirstPageNumber="1" r:id="rId2"/>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7" tint="0.39997558519241921"/>
  </sheetPr>
  <dimension ref="A1:K30"/>
  <sheetViews>
    <sheetView workbookViewId="0">
      <selection activeCell="A4" sqref="A4:I4"/>
    </sheetView>
  </sheetViews>
  <sheetFormatPr defaultColWidth="9.140625" defaultRowHeight="12.75" x14ac:dyDescent="0.2"/>
  <cols>
    <col min="1" max="1" width="3.140625" style="30" customWidth="1"/>
    <col min="2" max="2" width="3.85546875" style="30" customWidth="1"/>
    <col min="3" max="3" width="3" style="30" customWidth="1"/>
    <col min="4" max="4" width="23.85546875" style="30" customWidth="1"/>
    <col min="5" max="5" width="9.140625" style="30"/>
    <col min="6" max="6" width="1.7109375" style="30" customWidth="1"/>
    <col min="7" max="7" width="10.7109375" style="30" customWidth="1"/>
    <col min="8" max="8" width="1.7109375" style="30" customWidth="1"/>
    <col min="9" max="16384" width="9.140625" style="30"/>
  </cols>
  <sheetData>
    <row r="1" spans="1:11" x14ac:dyDescent="0.2">
      <c r="A1" s="1115" t="s">
        <v>0</v>
      </c>
      <c r="B1" s="1115"/>
      <c r="C1" s="1115"/>
      <c r="D1" s="1115"/>
      <c r="E1" s="1115"/>
      <c r="F1" s="1115"/>
      <c r="G1" s="1115"/>
      <c r="H1" s="1115"/>
      <c r="I1" s="1115"/>
      <c r="J1" s="310"/>
      <c r="K1" s="310"/>
    </row>
    <row r="2" spans="1:11" x14ac:dyDescent="0.2">
      <c r="A2" s="1115" t="s">
        <v>1022</v>
      </c>
      <c r="B2" s="1115"/>
      <c r="C2" s="1115"/>
      <c r="D2" s="1115"/>
      <c r="E2" s="1115"/>
      <c r="F2" s="1115"/>
      <c r="G2" s="1115"/>
      <c r="H2" s="1115"/>
      <c r="I2" s="1115"/>
      <c r="J2" s="310"/>
      <c r="K2" s="310"/>
    </row>
    <row r="3" spans="1:11" x14ac:dyDescent="0.2">
      <c r="A3" s="1115" t="s">
        <v>397</v>
      </c>
      <c r="B3" s="1115"/>
      <c r="C3" s="1115"/>
      <c r="D3" s="1115"/>
      <c r="E3" s="1115"/>
      <c r="F3" s="1115"/>
      <c r="G3" s="1115"/>
      <c r="H3" s="1115"/>
      <c r="I3" s="1115"/>
      <c r="J3" s="310"/>
      <c r="K3" s="310"/>
    </row>
    <row r="4" spans="1:11" x14ac:dyDescent="0.2">
      <c r="A4" s="1115" t="s">
        <v>398</v>
      </c>
      <c r="B4" s="1115"/>
      <c r="C4" s="1115"/>
      <c r="D4" s="1115"/>
      <c r="E4" s="1115"/>
      <c r="F4" s="1115"/>
      <c r="G4" s="1115"/>
      <c r="H4" s="1115"/>
      <c r="I4" s="1115"/>
      <c r="J4" s="310"/>
      <c r="K4" s="310"/>
    </row>
    <row r="5" spans="1:11" x14ac:dyDescent="0.2">
      <c r="A5" s="1115" t="str">
        <f>'GWStmtAct 68 Exh 2'!A3</f>
        <v>For the Year Ended June 30, 2025</v>
      </c>
      <c r="B5" s="1115"/>
      <c r="C5" s="1115"/>
      <c r="D5" s="1115"/>
      <c r="E5" s="1115"/>
      <c r="F5" s="1115"/>
      <c r="G5" s="1115"/>
      <c r="H5" s="1115"/>
      <c r="I5" s="1115"/>
      <c r="J5" s="310"/>
      <c r="K5" s="310"/>
    </row>
    <row r="6" spans="1:11" x14ac:dyDescent="0.2">
      <c r="A6" s="669"/>
      <c r="B6" s="669"/>
      <c r="C6" s="669"/>
      <c r="D6" s="669"/>
      <c r="E6" s="669"/>
      <c r="F6" s="669"/>
      <c r="G6" s="669"/>
      <c r="H6" s="669"/>
      <c r="I6" s="669"/>
      <c r="J6" s="310"/>
      <c r="K6" s="310"/>
    </row>
    <row r="7" spans="1:11" x14ac:dyDescent="0.2">
      <c r="A7" s="930"/>
      <c r="B7" s="930"/>
      <c r="C7" s="930"/>
      <c r="D7" s="930"/>
      <c r="E7" s="930"/>
      <c r="F7" s="930"/>
      <c r="G7" s="930"/>
      <c r="H7" s="930"/>
      <c r="I7" s="930"/>
      <c r="J7" s="310"/>
      <c r="K7" s="310"/>
    </row>
    <row r="8" spans="1:11" ht="13.5" thickBot="1" x14ac:dyDescent="0.25">
      <c r="A8" s="144"/>
      <c r="B8" s="144"/>
      <c r="C8" s="144"/>
      <c r="D8" s="144"/>
      <c r="E8" s="144"/>
      <c r="F8" s="81"/>
      <c r="G8" s="81"/>
      <c r="H8" s="81"/>
      <c r="I8" s="81"/>
      <c r="J8" s="310"/>
      <c r="K8" s="310"/>
    </row>
    <row r="9" spans="1:11" x14ac:dyDescent="0.2">
      <c r="A9" s="145"/>
      <c r="B9" s="145"/>
      <c r="C9" s="145"/>
      <c r="D9" s="145"/>
      <c r="E9" s="145"/>
      <c r="F9" s="26"/>
      <c r="G9" s="26"/>
      <c r="H9" s="26"/>
      <c r="I9" s="113" t="s">
        <v>187</v>
      </c>
      <c r="J9" s="310"/>
      <c r="K9" s="310"/>
    </row>
    <row r="10" spans="1:11" x14ac:dyDescent="0.2">
      <c r="A10" s="145"/>
      <c r="B10" s="145"/>
      <c r="C10" s="145"/>
      <c r="D10" s="145"/>
      <c r="E10" s="146" t="s">
        <v>189</v>
      </c>
      <c r="F10" s="26"/>
      <c r="G10" s="26"/>
      <c r="H10" s="26"/>
      <c r="I10" s="809" t="s">
        <v>1053</v>
      </c>
      <c r="J10" s="310"/>
      <c r="K10" s="310"/>
    </row>
    <row r="11" spans="1:11" x14ac:dyDescent="0.2">
      <c r="A11" s="145"/>
      <c r="B11" s="147" t="s">
        <v>112</v>
      </c>
      <c r="C11" s="145"/>
      <c r="D11" s="145"/>
      <c r="E11" s="148" t="s">
        <v>190</v>
      </c>
      <c r="F11" s="26"/>
      <c r="G11" s="117" t="s">
        <v>191</v>
      </c>
      <c r="H11" s="26"/>
      <c r="I11" s="810" t="s">
        <v>1054</v>
      </c>
      <c r="J11" s="310"/>
      <c r="K11" s="310"/>
    </row>
    <row r="12" spans="1:11" x14ac:dyDescent="0.2">
      <c r="A12" s="713" t="s">
        <v>192</v>
      </c>
      <c r="B12" s="145"/>
      <c r="C12" s="145"/>
      <c r="D12" s="145"/>
      <c r="E12" s="145"/>
      <c r="F12" s="26"/>
      <c r="G12" s="26"/>
      <c r="H12" s="26"/>
      <c r="I12" s="26"/>
      <c r="J12" s="310"/>
      <c r="K12" s="310"/>
    </row>
    <row r="13" spans="1:11" x14ac:dyDescent="0.2">
      <c r="A13" s="145"/>
      <c r="B13" s="147" t="s">
        <v>423</v>
      </c>
      <c r="C13" s="145"/>
      <c r="D13" s="145"/>
      <c r="E13" s="149"/>
      <c r="F13" s="121"/>
      <c r="G13" s="121"/>
      <c r="H13" s="121"/>
      <c r="I13" s="121"/>
      <c r="J13" s="310"/>
      <c r="K13" s="310"/>
    </row>
    <row r="14" spans="1:11" x14ac:dyDescent="0.2">
      <c r="A14" s="145"/>
      <c r="B14" s="145"/>
      <c r="C14" s="147" t="s">
        <v>1028</v>
      </c>
      <c r="D14" s="145"/>
      <c r="E14" s="423">
        <v>12700</v>
      </c>
      <c r="F14" s="151"/>
      <c r="G14" s="424">
        <v>12600</v>
      </c>
      <c r="H14" s="151"/>
      <c r="I14" s="424">
        <f>G14-E14</f>
        <v>-100</v>
      </c>
      <c r="J14" s="310"/>
      <c r="K14" s="310"/>
    </row>
    <row r="15" spans="1:11" x14ac:dyDescent="0.2">
      <c r="A15" s="145"/>
      <c r="B15" s="145"/>
      <c r="C15" s="145"/>
      <c r="D15" s="147" t="s">
        <v>150</v>
      </c>
      <c r="E15" s="427">
        <f>SUM(E14:E14)</f>
        <v>12700</v>
      </c>
      <c r="F15" s="121"/>
      <c r="G15" s="427">
        <f>SUM(G14:G14)</f>
        <v>12600</v>
      </c>
      <c r="H15" s="121"/>
      <c r="I15" s="427">
        <f>SUM(I14:I14)</f>
        <v>-100</v>
      </c>
      <c r="J15" s="310"/>
      <c r="K15" s="310"/>
    </row>
    <row r="16" spans="1:11" x14ac:dyDescent="0.2">
      <c r="A16" s="145"/>
      <c r="B16" s="145"/>
      <c r="C16" s="145"/>
      <c r="D16" s="145"/>
      <c r="E16" s="149"/>
      <c r="F16" s="121"/>
      <c r="G16" s="121"/>
      <c r="H16" s="310"/>
      <c r="I16" s="310"/>
      <c r="J16" s="310"/>
      <c r="K16" s="310"/>
    </row>
    <row r="17" spans="1:11" x14ac:dyDescent="0.2">
      <c r="A17" s="713" t="s">
        <v>439</v>
      </c>
      <c r="B17" s="145"/>
      <c r="C17" s="145"/>
      <c r="D17" s="145"/>
      <c r="E17" s="149"/>
      <c r="F17" s="121"/>
      <c r="G17" s="121"/>
      <c r="H17" s="121"/>
      <c r="I17" s="121"/>
      <c r="J17" s="310"/>
      <c r="K17" s="310"/>
    </row>
    <row r="18" spans="1:11" x14ac:dyDescent="0.2">
      <c r="A18" s="145"/>
      <c r="B18" s="147" t="s">
        <v>440</v>
      </c>
      <c r="C18" s="145"/>
      <c r="D18" s="145"/>
      <c r="E18" s="149"/>
      <c r="F18" s="121"/>
      <c r="G18" s="121"/>
      <c r="H18" s="121"/>
      <c r="I18" s="121"/>
      <c r="J18" s="310"/>
      <c r="K18" s="310"/>
    </row>
    <row r="19" spans="1:11" x14ac:dyDescent="0.2">
      <c r="A19" s="145"/>
      <c r="B19" s="145"/>
      <c r="C19" s="147" t="s">
        <v>1023</v>
      </c>
      <c r="D19" s="145"/>
      <c r="E19" s="149"/>
      <c r="F19" s="121"/>
      <c r="G19" s="121"/>
      <c r="H19" s="121"/>
      <c r="I19" s="156"/>
      <c r="J19" s="310"/>
      <c r="K19" s="310"/>
    </row>
    <row r="20" spans="1:11" x14ac:dyDescent="0.2">
      <c r="A20" s="145"/>
      <c r="B20" s="145"/>
      <c r="C20" s="147"/>
      <c r="D20" s="145" t="s">
        <v>586</v>
      </c>
      <c r="E20" s="154">
        <v>12700</v>
      </c>
      <c r="F20" s="121"/>
      <c r="G20" s="155">
        <v>12600</v>
      </c>
      <c r="H20" s="121"/>
      <c r="I20" s="157">
        <f>E20-G20</f>
        <v>100</v>
      </c>
      <c r="J20" s="310"/>
      <c r="K20" s="310"/>
    </row>
    <row r="21" spans="1:11" x14ac:dyDescent="0.2">
      <c r="A21" s="145"/>
      <c r="B21" s="145"/>
      <c r="C21" s="145"/>
      <c r="D21" s="147" t="s">
        <v>162</v>
      </c>
      <c r="E21" s="154">
        <f>SUM(E19:E20)</f>
        <v>12700</v>
      </c>
      <c r="F21" s="121"/>
      <c r="G21" s="154">
        <f>SUM(G19:G20)</f>
        <v>12600</v>
      </c>
      <c r="H21" s="121"/>
      <c r="I21" s="154">
        <f>SUM(I19:I20)</f>
        <v>100</v>
      </c>
      <c r="J21" s="310"/>
      <c r="K21" s="310"/>
    </row>
    <row r="22" spans="1:11" x14ac:dyDescent="0.2">
      <c r="A22" s="145"/>
      <c r="B22" s="145"/>
      <c r="C22" s="145"/>
      <c r="D22" s="145"/>
      <c r="E22" s="149"/>
      <c r="F22" s="121"/>
      <c r="G22" s="121"/>
      <c r="H22" s="121"/>
      <c r="I22" s="149"/>
      <c r="J22" s="310"/>
      <c r="K22" s="310"/>
    </row>
    <row r="23" spans="1:11" ht="13.5" thickBot="1" x14ac:dyDescent="0.25">
      <c r="A23" s="147" t="s">
        <v>173</v>
      </c>
      <c r="B23" s="145"/>
      <c r="C23" s="145"/>
      <c r="D23" s="145"/>
      <c r="E23" s="158">
        <f>E15-E21</f>
        <v>0</v>
      </c>
      <c r="F23" s="121"/>
      <c r="G23" s="428">
        <f>G15-G21</f>
        <v>0</v>
      </c>
      <c r="H23" s="121"/>
      <c r="I23" s="159">
        <f>E23-G23</f>
        <v>0</v>
      </c>
      <c r="J23" s="310"/>
      <c r="K23" s="310"/>
    </row>
    <row r="24" spans="1:11" ht="13.5" thickTop="1" x14ac:dyDescent="0.2">
      <c r="A24" s="145"/>
      <c r="B24" s="145"/>
      <c r="C24" s="145"/>
      <c r="D24" s="145"/>
      <c r="E24" s="149"/>
      <c r="F24" s="121"/>
      <c r="G24" s="121"/>
      <c r="H24" s="121"/>
      <c r="I24" s="121"/>
      <c r="J24" s="310"/>
      <c r="K24" s="310"/>
    </row>
    <row r="25" spans="1:11" x14ac:dyDescent="0.2">
      <c r="A25" s="147" t="s">
        <v>1076</v>
      </c>
      <c r="B25" s="147"/>
      <c r="C25" s="145"/>
      <c r="D25" s="145"/>
      <c r="E25" s="149"/>
      <c r="F25" s="121"/>
      <c r="G25" s="429">
        <v>0</v>
      </c>
      <c r="H25" s="121"/>
      <c r="I25" s="121"/>
      <c r="J25" s="310"/>
      <c r="K25" s="310"/>
    </row>
    <row r="26" spans="1:11" ht="13.5" thickBot="1" x14ac:dyDescent="0.25">
      <c r="A26" s="147" t="s">
        <v>1083</v>
      </c>
      <c r="B26" s="147"/>
      <c r="C26" s="145"/>
      <c r="D26" s="145"/>
      <c r="E26" s="149"/>
      <c r="F26" s="121"/>
      <c r="G26" s="159">
        <f>G23+G25</f>
        <v>0</v>
      </c>
      <c r="H26" s="121"/>
      <c r="I26" s="121"/>
      <c r="J26" s="310"/>
      <c r="K26" s="310"/>
    </row>
    <row r="27" spans="1:11" ht="13.5" thickTop="1" x14ac:dyDescent="0.2">
      <c r="A27" s="310"/>
      <c r="B27" s="310"/>
      <c r="C27" s="310"/>
      <c r="D27" s="310"/>
      <c r="E27" s="310"/>
      <c r="F27" s="310"/>
      <c r="G27" s="310"/>
      <c r="H27" s="310"/>
      <c r="I27" s="310"/>
      <c r="J27" s="310"/>
      <c r="K27" s="310"/>
    </row>
    <row r="29" spans="1:11" ht="13.5" thickBot="1" x14ac:dyDescent="0.25"/>
    <row r="30" spans="1:11" ht="68.25" customHeight="1" thickBot="1" x14ac:dyDescent="0.25">
      <c r="A30" s="1116" t="s">
        <v>1024</v>
      </c>
      <c r="B30" s="1117"/>
      <c r="C30" s="1117"/>
      <c r="D30" s="1117"/>
      <c r="E30" s="1117"/>
      <c r="F30" s="1117"/>
      <c r="G30" s="1117"/>
      <c r="H30" s="1117"/>
      <c r="I30" s="1118"/>
    </row>
  </sheetData>
  <customSheetViews>
    <customSheetView guid="{A8748736-0722-49EB-85B6-C9B52DDCFE0E}">
      <selection activeCell="A34" sqref="A34:I35"/>
      <pageMargins left="0.75" right="0.75" top="1" bottom="1" header="0.5" footer="0.5"/>
      <printOptions horizontalCentered="1"/>
      <pageSetup firstPageNumber="112" fitToHeight="0" orientation="portrait" useFirstPageNumber="1" r:id="rId1"/>
      <headerFooter alignWithMargins="0"/>
    </customSheetView>
  </customSheetViews>
  <mergeCells count="6">
    <mergeCell ref="A30:I30"/>
    <mergeCell ref="A1:I1"/>
    <mergeCell ref="A2:I2"/>
    <mergeCell ref="A3:I3"/>
    <mergeCell ref="A4:I4"/>
    <mergeCell ref="A5:I5"/>
  </mergeCells>
  <printOptions horizontalCentered="1"/>
  <pageMargins left="0.75" right="0.75" top="1" bottom="1" header="0.5" footer="0.5"/>
  <pageSetup firstPageNumber="112" fitToHeight="0" orientation="portrait" useFirstPageNumber="1" r:id="rId2"/>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7" tint="0.39997558519241921"/>
  </sheetPr>
  <dimension ref="A1:K32"/>
  <sheetViews>
    <sheetView workbookViewId="0">
      <selection activeCell="D6" sqref="D6"/>
    </sheetView>
  </sheetViews>
  <sheetFormatPr defaultColWidth="9.140625" defaultRowHeight="12.75" x14ac:dyDescent="0.2"/>
  <cols>
    <col min="1" max="1" width="3.140625" style="30" customWidth="1"/>
    <col min="2" max="2" width="3.85546875" style="30" customWidth="1"/>
    <col min="3" max="3" width="3" style="30" customWidth="1"/>
    <col min="4" max="4" width="37.42578125" style="30" customWidth="1"/>
    <col min="5" max="5" width="9.5703125" style="30" bestFit="1" customWidth="1"/>
    <col min="6" max="6" width="1.7109375" style="30" customWidth="1"/>
    <col min="7" max="7" width="9.5703125" style="30" bestFit="1" customWidth="1"/>
    <col min="8" max="8" width="1.7109375" style="30" customWidth="1"/>
    <col min="9" max="9" width="10.42578125" style="30" customWidth="1"/>
    <col min="10" max="16384" width="9.140625" style="30"/>
  </cols>
  <sheetData>
    <row r="1" spans="1:11" x14ac:dyDescent="0.2">
      <c r="A1" s="1115" t="s">
        <v>0</v>
      </c>
      <c r="B1" s="1115"/>
      <c r="C1" s="1115"/>
      <c r="D1" s="1115"/>
      <c r="E1" s="1115"/>
      <c r="F1" s="1115"/>
      <c r="G1" s="1115"/>
      <c r="H1" s="1115"/>
      <c r="I1" s="1115"/>
      <c r="J1" s="310"/>
      <c r="K1" s="310"/>
    </row>
    <row r="2" spans="1:11" x14ac:dyDescent="0.2">
      <c r="A2" s="1115" t="s">
        <v>555</v>
      </c>
      <c r="B2" s="1115"/>
      <c r="C2" s="1115"/>
      <c r="D2" s="1115"/>
      <c r="E2" s="1115"/>
      <c r="F2" s="1115"/>
      <c r="G2" s="1115"/>
      <c r="H2" s="1115"/>
      <c r="I2" s="1115"/>
      <c r="J2" s="310"/>
      <c r="K2" s="310"/>
    </row>
    <row r="3" spans="1:11" x14ac:dyDescent="0.2">
      <c r="A3" s="1115" t="s">
        <v>573</v>
      </c>
      <c r="B3" s="1115"/>
      <c r="C3" s="1115"/>
      <c r="D3" s="1115"/>
      <c r="E3" s="1115"/>
      <c r="F3" s="1115"/>
      <c r="G3" s="1115"/>
      <c r="H3" s="1115"/>
      <c r="I3" s="1115"/>
      <c r="J3" s="310"/>
      <c r="K3" s="310"/>
    </row>
    <row r="4" spans="1:11" x14ac:dyDescent="0.2">
      <c r="A4" s="1115" t="s">
        <v>398</v>
      </c>
      <c r="B4" s="1115"/>
      <c r="C4" s="1115"/>
      <c r="D4" s="1115"/>
      <c r="E4" s="1115"/>
      <c r="F4" s="1115"/>
      <c r="G4" s="1115"/>
      <c r="H4" s="1115"/>
      <c r="I4" s="1115"/>
      <c r="J4" s="310"/>
      <c r="K4" s="310"/>
    </row>
    <row r="5" spans="1:11" x14ac:dyDescent="0.2">
      <c r="A5" s="1115" t="str">
        <f>'GWStmtAct 68 Exh 2'!A3</f>
        <v>For the Year Ended June 30, 2025</v>
      </c>
      <c r="B5" s="1115"/>
      <c r="C5" s="1115"/>
      <c r="D5" s="1115"/>
      <c r="E5" s="1115"/>
      <c r="F5" s="1115"/>
      <c r="G5" s="1115"/>
      <c r="H5" s="1115"/>
      <c r="I5" s="1115"/>
      <c r="J5" s="310"/>
      <c r="K5" s="310"/>
    </row>
    <row r="6" spans="1:11" x14ac:dyDescent="0.2">
      <c r="A6" s="669"/>
      <c r="B6" s="669"/>
      <c r="C6" s="669"/>
      <c r="D6" s="669"/>
      <c r="E6" s="669"/>
      <c r="F6" s="669"/>
      <c r="G6" s="669"/>
      <c r="H6" s="669"/>
      <c r="I6" s="669"/>
      <c r="J6" s="310"/>
      <c r="K6" s="310"/>
    </row>
    <row r="7" spans="1:11" x14ac:dyDescent="0.2">
      <c r="A7" s="1115"/>
      <c r="B7" s="1115"/>
      <c r="C7" s="1115"/>
      <c r="D7" s="1115"/>
      <c r="E7" s="1115"/>
      <c r="F7" s="1115"/>
      <c r="G7" s="1115"/>
      <c r="H7" s="1115"/>
      <c r="I7" s="1115"/>
      <c r="J7" s="310"/>
      <c r="K7" s="310"/>
    </row>
    <row r="8" spans="1:11" ht="13.5" thickBot="1" x14ac:dyDescent="0.25">
      <c r="A8" s="144"/>
      <c r="B8" s="144"/>
      <c r="C8" s="144"/>
      <c r="D8" s="144"/>
      <c r="E8" s="144"/>
      <c r="F8" s="81"/>
      <c r="G8" s="81"/>
      <c r="H8" s="81"/>
      <c r="I8" s="81"/>
      <c r="J8" s="310"/>
      <c r="K8" s="310"/>
    </row>
    <row r="9" spans="1:11" x14ac:dyDescent="0.2">
      <c r="A9" s="145"/>
      <c r="B9" s="145"/>
      <c r="C9" s="145"/>
      <c r="D9" s="145"/>
      <c r="E9" s="145"/>
      <c r="F9" s="26"/>
      <c r="G9" s="26"/>
      <c r="H9" s="26"/>
      <c r="I9" s="113" t="s">
        <v>187</v>
      </c>
      <c r="J9" s="310"/>
      <c r="K9" s="310"/>
    </row>
    <row r="10" spans="1:11" x14ac:dyDescent="0.2">
      <c r="A10" s="145"/>
      <c r="B10" s="145"/>
      <c r="C10" s="145"/>
      <c r="D10" s="145"/>
      <c r="E10" s="146" t="s">
        <v>189</v>
      </c>
      <c r="F10" s="26"/>
      <c r="G10" s="26"/>
      <c r="H10" s="26"/>
      <c r="I10" s="809" t="s">
        <v>1053</v>
      </c>
      <c r="J10" s="310"/>
      <c r="K10" s="310"/>
    </row>
    <row r="11" spans="1:11" x14ac:dyDescent="0.2">
      <c r="A11" s="145"/>
      <c r="B11" s="147" t="s">
        <v>112</v>
      </c>
      <c r="C11" s="145"/>
      <c r="D11" s="145"/>
      <c r="E11" s="148" t="s">
        <v>190</v>
      </c>
      <c r="F11" s="26"/>
      <c r="G11" s="117" t="s">
        <v>191</v>
      </c>
      <c r="H11" s="26"/>
      <c r="I11" s="810" t="s">
        <v>1054</v>
      </c>
      <c r="J11" s="310"/>
      <c r="K11" s="310"/>
    </row>
    <row r="12" spans="1:11" x14ac:dyDescent="0.2">
      <c r="A12" s="713" t="s">
        <v>192</v>
      </c>
      <c r="B12" s="145"/>
      <c r="C12" s="145"/>
      <c r="D12" s="145"/>
      <c r="E12" s="145"/>
      <c r="F12" s="26"/>
      <c r="G12" s="26"/>
      <c r="H12" s="26"/>
      <c r="I12" s="26"/>
      <c r="J12" s="310"/>
      <c r="K12" s="310"/>
    </row>
    <row r="13" spans="1:11" x14ac:dyDescent="0.2">
      <c r="A13" s="145"/>
      <c r="B13" s="607" t="s">
        <v>423</v>
      </c>
      <c r="C13" s="608"/>
      <c r="D13" s="608"/>
      <c r="E13" s="149"/>
      <c r="F13" s="121"/>
      <c r="G13" s="121"/>
      <c r="H13" s="121"/>
      <c r="I13" s="121"/>
      <c r="J13" s="310"/>
      <c r="K13" s="310"/>
    </row>
    <row r="14" spans="1:11" x14ac:dyDescent="0.2">
      <c r="A14" s="145"/>
      <c r="B14" s="145"/>
      <c r="C14" s="147" t="s">
        <v>1029</v>
      </c>
      <c r="D14" s="145"/>
      <c r="E14" s="150">
        <v>483000</v>
      </c>
      <c r="F14" s="151"/>
      <c r="G14" s="151">
        <v>481900</v>
      </c>
      <c r="H14" s="151"/>
      <c r="I14" s="151">
        <f>G14-E14</f>
        <v>-1100</v>
      </c>
      <c r="J14" s="310"/>
      <c r="K14" s="310"/>
    </row>
    <row r="15" spans="1:11" x14ac:dyDescent="0.2">
      <c r="A15" s="145"/>
      <c r="B15" s="145"/>
      <c r="C15" s="145"/>
      <c r="D15" s="147" t="s">
        <v>150</v>
      </c>
      <c r="E15" s="427">
        <f>SUM(E14:E14)</f>
        <v>483000</v>
      </c>
      <c r="F15" s="121"/>
      <c r="G15" s="427">
        <f>SUM(G14:G14)</f>
        <v>481900</v>
      </c>
      <c r="H15" s="121"/>
      <c r="I15" s="427">
        <f>SUM(I14:I14)</f>
        <v>-1100</v>
      </c>
      <c r="J15" s="310"/>
      <c r="K15" s="310"/>
    </row>
    <row r="16" spans="1:11" x14ac:dyDescent="0.2">
      <c r="A16" s="145"/>
      <c r="B16" s="145"/>
      <c r="C16" s="145"/>
      <c r="D16" s="145"/>
      <c r="E16" s="149"/>
      <c r="F16" s="121"/>
      <c r="G16" s="121"/>
      <c r="H16" s="310"/>
      <c r="I16" s="310"/>
      <c r="J16" s="310"/>
      <c r="K16" s="310"/>
    </row>
    <row r="17" spans="1:11" x14ac:dyDescent="0.2">
      <c r="A17" s="713" t="s">
        <v>439</v>
      </c>
      <c r="B17" s="145"/>
      <c r="C17" s="145"/>
      <c r="D17" s="145"/>
      <c r="E17" s="149"/>
      <c r="F17" s="121"/>
      <c r="G17" s="121"/>
      <c r="H17" s="121"/>
      <c r="I17" s="121"/>
      <c r="J17" s="310"/>
      <c r="K17" s="310"/>
    </row>
    <row r="18" spans="1:11" x14ac:dyDescent="0.2">
      <c r="A18" s="145"/>
      <c r="B18" s="607" t="s">
        <v>523</v>
      </c>
      <c r="C18" s="608"/>
      <c r="D18" s="608"/>
      <c r="E18" s="149"/>
      <c r="F18" s="121"/>
      <c r="G18" s="121"/>
      <c r="H18" s="121"/>
      <c r="I18" s="121"/>
      <c r="J18" s="310"/>
      <c r="K18" s="310"/>
    </row>
    <row r="19" spans="1:11" x14ac:dyDescent="0.2">
      <c r="A19" s="145"/>
      <c r="B19" s="145"/>
      <c r="C19" s="147" t="s">
        <v>1030</v>
      </c>
      <c r="D19" s="145"/>
      <c r="E19" s="149"/>
      <c r="F19" s="121"/>
      <c r="G19" s="121"/>
      <c r="H19" s="121"/>
      <c r="I19" s="156"/>
      <c r="J19" s="310"/>
      <c r="K19" s="310"/>
    </row>
    <row r="20" spans="1:11" x14ac:dyDescent="0.2">
      <c r="A20" s="145"/>
      <c r="B20" s="145"/>
      <c r="C20" s="147"/>
      <c r="D20" s="145" t="s">
        <v>1021</v>
      </c>
      <c r="E20" s="154">
        <v>483000</v>
      </c>
      <c r="F20" s="121"/>
      <c r="G20" s="155">
        <f>485264-2687</f>
        <v>482577</v>
      </c>
      <c r="H20" s="121"/>
      <c r="I20" s="157">
        <f>E20-G20</f>
        <v>423</v>
      </c>
      <c r="J20" s="310"/>
      <c r="K20" s="310"/>
    </row>
    <row r="21" spans="1:11" x14ac:dyDescent="0.2">
      <c r="A21" s="145"/>
      <c r="B21" s="145"/>
      <c r="C21" s="145"/>
      <c r="D21" s="147" t="s">
        <v>162</v>
      </c>
      <c r="E21" s="154">
        <f>SUM(E19:E20)</f>
        <v>483000</v>
      </c>
      <c r="F21" s="121"/>
      <c r="G21" s="154">
        <f>SUM(G19:G20)</f>
        <v>482577</v>
      </c>
      <c r="H21" s="121"/>
      <c r="I21" s="154">
        <f>SUM(I19:I20)</f>
        <v>423</v>
      </c>
      <c r="J21" s="310"/>
      <c r="K21" s="310"/>
    </row>
    <row r="22" spans="1:11" x14ac:dyDescent="0.2">
      <c r="A22" s="145"/>
      <c r="B22" s="145"/>
      <c r="C22" s="145"/>
      <c r="D22" s="145"/>
      <c r="E22" s="149"/>
      <c r="F22" s="121"/>
      <c r="G22" s="121"/>
      <c r="H22" s="121"/>
      <c r="I22" s="149"/>
      <c r="J22" s="310"/>
      <c r="K22" s="310"/>
    </row>
    <row r="23" spans="1:11" ht="13.5" thickBot="1" x14ac:dyDescent="0.25">
      <c r="A23" s="147" t="s">
        <v>173</v>
      </c>
      <c r="B23" s="145"/>
      <c r="C23" s="145"/>
      <c r="D23" s="145"/>
      <c r="E23" s="158">
        <f>E15-E21</f>
        <v>0</v>
      </c>
      <c r="F23" s="121"/>
      <c r="G23" s="149">
        <f>G15-G21</f>
        <v>-677</v>
      </c>
      <c r="H23" s="121"/>
      <c r="I23" s="159">
        <f>G23-E23</f>
        <v>-677</v>
      </c>
      <c r="J23" s="310"/>
      <c r="K23" s="310"/>
    </row>
    <row r="24" spans="1:11" ht="13.5" thickTop="1" x14ac:dyDescent="0.2">
      <c r="A24" s="145"/>
      <c r="B24" s="145"/>
      <c r="C24" s="145"/>
      <c r="D24" s="145"/>
      <c r="E24" s="149"/>
      <c r="F24" s="121"/>
      <c r="G24" s="121"/>
      <c r="H24" s="121"/>
      <c r="I24" s="121"/>
      <c r="J24" s="310"/>
      <c r="K24" s="310"/>
    </row>
    <row r="25" spans="1:11" hidden="1" x14ac:dyDescent="0.2">
      <c r="A25" s="147" t="s">
        <v>585</v>
      </c>
      <c r="B25" s="147"/>
      <c r="C25" s="145"/>
      <c r="D25" s="145"/>
      <c r="E25" s="149"/>
      <c r="F25" s="121"/>
      <c r="G25" s="425">
        <v>0</v>
      </c>
      <c r="H25" s="121"/>
      <c r="I25" s="121"/>
      <c r="J25" s="310"/>
      <c r="K25" s="310"/>
    </row>
    <row r="26" spans="1:11" hidden="1" x14ac:dyDescent="0.2">
      <c r="A26" s="147"/>
      <c r="B26" s="147" t="s">
        <v>175</v>
      </c>
      <c r="C26" s="145"/>
      <c r="D26" s="145"/>
      <c r="E26" s="149"/>
      <c r="F26" s="121"/>
      <c r="G26" s="153">
        <v>3364</v>
      </c>
      <c r="H26" s="121"/>
      <c r="I26" s="121"/>
      <c r="J26" s="310"/>
      <c r="K26" s="310"/>
    </row>
    <row r="27" spans="1:11" x14ac:dyDescent="0.2">
      <c r="A27" s="147" t="s">
        <v>1076</v>
      </c>
      <c r="B27" s="147"/>
      <c r="C27" s="145"/>
      <c r="D27" s="145"/>
      <c r="E27" s="149"/>
      <c r="F27" s="121"/>
      <c r="G27" s="426">
        <f>SUM(G25:G26)</f>
        <v>3364</v>
      </c>
      <c r="H27" s="310"/>
      <c r="I27" s="310"/>
      <c r="J27" s="310"/>
      <c r="K27" s="310"/>
    </row>
    <row r="28" spans="1:11" ht="13.5" thickBot="1" x14ac:dyDescent="0.25">
      <c r="A28" s="147" t="s">
        <v>1083</v>
      </c>
      <c r="B28" s="147"/>
      <c r="C28" s="145"/>
      <c r="D28" s="145"/>
      <c r="E28" s="149"/>
      <c r="F28" s="121"/>
      <c r="G28" s="159">
        <f>G23+G27</f>
        <v>2687</v>
      </c>
      <c r="H28" s="310"/>
      <c r="I28" s="310"/>
      <c r="J28" s="310"/>
      <c r="K28" s="310"/>
    </row>
    <row r="29" spans="1:11" ht="13.5" thickTop="1" x14ac:dyDescent="0.2">
      <c r="A29" s="310"/>
      <c r="B29" s="310"/>
      <c r="C29" s="310"/>
      <c r="D29" s="310"/>
      <c r="E29" s="310"/>
      <c r="F29" s="310"/>
      <c r="G29" s="310"/>
      <c r="H29" s="310"/>
      <c r="I29" s="310"/>
      <c r="J29" s="310"/>
      <c r="K29" s="310"/>
    </row>
    <row r="30" spans="1:11" x14ac:dyDescent="0.2">
      <c r="A30" s="310"/>
      <c r="B30" s="310"/>
      <c r="C30" s="310"/>
      <c r="D30" s="310"/>
      <c r="E30" s="310"/>
      <c r="F30" s="310"/>
      <c r="G30" s="310"/>
      <c r="H30" s="310"/>
      <c r="I30" s="310"/>
      <c r="J30" s="310"/>
      <c r="K30" s="310"/>
    </row>
    <row r="31" spans="1:11" ht="13.5" thickBot="1" x14ac:dyDescent="0.25">
      <c r="A31" s="310"/>
      <c r="B31" s="310"/>
      <c r="C31" s="310"/>
      <c r="D31" s="310"/>
      <c r="E31" s="310"/>
      <c r="F31" s="310"/>
      <c r="G31" s="310"/>
      <c r="H31" s="310"/>
      <c r="I31" s="310"/>
      <c r="J31" s="310"/>
      <c r="K31" s="310"/>
    </row>
    <row r="32" spans="1:11" ht="62.25" customHeight="1" thickBot="1" x14ac:dyDescent="0.25">
      <c r="A32" s="1116" t="s">
        <v>1025</v>
      </c>
      <c r="B32" s="1117"/>
      <c r="C32" s="1117"/>
      <c r="D32" s="1117"/>
      <c r="E32" s="1117"/>
      <c r="F32" s="1117"/>
      <c r="G32" s="1117"/>
      <c r="H32" s="1117"/>
      <c r="I32" s="1118"/>
      <c r="J32" s="310"/>
      <c r="K32" s="310"/>
    </row>
  </sheetData>
  <customSheetViews>
    <customSheetView guid="{A8748736-0722-49EB-85B6-C9B52DDCFE0E}">
      <selection activeCell="A31" sqref="A31:I32"/>
      <pageMargins left="0.75" right="0.75" top="1" bottom="1" header="0.5" footer="0.5"/>
      <printOptions horizontalCentered="1"/>
      <pageSetup firstPageNumber="112" fitToHeight="0" orientation="portrait" useFirstPageNumber="1" r:id="rId1"/>
      <headerFooter alignWithMargins="0"/>
    </customSheetView>
  </customSheetViews>
  <mergeCells count="7">
    <mergeCell ref="A32:I32"/>
    <mergeCell ref="A1:I1"/>
    <mergeCell ref="A2:I2"/>
    <mergeCell ref="A3:I3"/>
    <mergeCell ref="A4:I4"/>
    <mergeCell ref="A5:I5"/>
    <mergeCell ref="A7:I7"/>
  </mergeCells>
  <printOptions horizontalCentered="1"/>
  <pageMargins left="0.75" right="0.75" top="1" bottom="1" header="0.5" footer="0.5"/>
  <pageSetup firstPageNumber="112" fitToHeight="0" orientation="portrait" useFirstPageNumber="1" r:id="rId2"/>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7" tint="0.39997558519241921"/>
    <pageSetUpPr fitToPage="1"/>
  </sheetPr>
  <dimension ref="A1:S60"/>
  <sheetViews>
    <sheetView workbookViewId="0">
      <selection activeCell="E6" sqref="E6"/>
    </sheetView>
  </sheetViews>
  <sheetFormatPr defaultColWidth="9.140625" defaultRowHeight="12.75" x14ac:dyDescent="0.2"/>
  <cols>
    <col min="1" max="1" width="2.28515625" style="63" customWidth="1"/>
    <col min="2" max="3" width="2.42578125" style="63" customWidth="1"/>
    <col min="4" max="4" width="1.42578125" style="63" customWidth="1"/>
    <col min="5" max="5" width="26.5703125" style="63" customWidth="1"/>
    <col min="6" max="6" width="12" style="63" customWidth="1"/>
    <col min="7" max="7" width="1.7109375" style="63" customWidth="1"/>
    <col min="8" max="8" width="11" style="63" customWidth="1"/>
    <col min="9" max="9" width="1.7109375" style="63" customWidth="1"/>
    <col min="10" max="10" width="9.5703125" style="63" bestFit="1" customWidth="1"/>
    <col min="11" max="11" width="1.7109375" style="63" customWidth="1"/>
    <col min="12" max="12" width="10.28515625" style="63" bestFit="1" customWidth="1"/>
    <col min="13" max="13" width="1.7109375" style="63" customWidth="1"/>
    <col min="14" max="14" width="12.28515625" style="63" customWidth="1"/>
    <col min="15" max="15" width="9.5703125" style="63" bestFit="1" customWidth="1"/>
    <col min="16" max="16384" width="9.140625" style="63"/>
  </cols>
  <sheetData>
    <row r="1" spans="1:14" x14ac:dyDescent="0.2">
      <c r="A1" s="83" t="s">
        <v>0</v>
      </c>
      <c r="B1" s="509"/>
      <c r="C1" s="509"/>
      <c r="D1" s="509"/>
      <c r="E1" s="509"/>
      <c r="F1" s="509"/>
      <c r="G1" s="509"/>
      <c r="H1" s="509"/>
      <c r="I1" s="509"/>
      <c r="J1" s="509"/>
      <c r="K1" s="509"/>
      <c r="L1" s="509"/>
      <c r="M1" s="509"/>
      <c r="N1" s="509"/>
    </row>
    <row r="2" spans="1:14" x14ac:dyDescent="0.2">
      <c r="A2" s="83" t="s">
        <v>600</v>
      </c>
      <c r="B2" s="509"/>
      <c r="C2" s="509"/>
      <c r="D2" s="509"/>
      <c r="E2" s="509"/>
      <c r="F2" s="509"/>
      <c r="G2" s="509"/>
      <c r="H2" s="509"/>
      <c r="I2" s="509"/>
      <c r="J2" s="509"/>
      <c r="K2" s="509"/>
      <c r="L2" s="509"/>
      <c r="M2" s="509"/>
      <c r="N2" s="509"/>
    </row>
    <row r="3" spans="1:14" x14ac:dyDescent="0.2">
      <c r="A3" s="83" t="s">
        <v>397</v>
      </c>
      <c r="B3" s="509"/>
      <c r="C3" s="509"/>
      <c r="D3" s="509"/>
      <c r="E3" s="509"/>
      <c r="F3" s="509"/>
      <c r="G3" s="509"/>
      <c r="H3" s="509"/>
      <c r="I3" s="509"/>
      <c r="J3" s="509"/>
      <c r="K3" s="509"/>
      <c r="L3" s="509"/>
      <c r="M3" s="509"/>
      <c r="N3" s="509"/>
    </row>
    <row r="4" spans="1:14" ht="13.5" customHeight="1" x14ac:dyDescent="0.2">
      <c r="A4" s="1119" t="s">
        <v>398</v>
      </c>
      <c r="B4" s="1119"/>
      <c r="C4" s="1119"/>
      <c r="D4" s="1119"/>
      <c r="E4" s="1119"/>
      <c r="F4" s="1119"/>
      <c r="G4" s="1119"/>
      <c r="H4" s="1119"/>
      <c r="I4" s="1119"/>
      <c r="J4" s="1119"/>
      <c r="K4" s="1119"/>
      <c r="L4" s="1119"/>
      <c r="M4" s="1119"/>
      <c r="N4" s="1119"/>
    </row>
    <row r="5" spans="1:14" x14ac:dyDescent="0.2">
      <c r="A5" s="84"/>
      <c r="B5" s="509"/>
      <c r="C5" s="509"/>
      <c r="D5" s="509"/>
      <c r="E5" s="1019" t="str">
        <f>'SR-BA7 (Opioid)Multi Yr'!A5</f>
        <v>From Inception and for the Fiscal Year Ended June 30, 2025</v>
      </c>
      <c r="F5" s="1122"/>
      <c r="G5" s="1122"/>
      <c r="H5" s="1122"/>
      <c r="I5" s="1122"/>
      <c r="J5" s="1122"/>
      <c r="K5" s="1122"/>
      <c r="L5" s="1122"/>
      <c r="M5" s="1122"/>
      <c r="N5" s="1122"/>
    </row>
    <row r="6" spans="1:14" x14ac:dyDescent="0.2">
      <c r="A6" s="505"/>
      <c r="B6" s="505"/>
      <c r="C6" s="505"/>
      <c r="D6" s="505"/>
      <c r="E6" s="505" t="s">
        <v>112</v>
      </c>
      <c r="F6" s="497"/>
      <c r="G6" s="505"/>
      <c r="H6" s="505"/>
      <c r="I6" s="505"/>
      <c r="J6" s="505"/>
      <c r="K6" s="505"/>
      <c r="L6" s="505"/>
      <c r="M6" s="505"/>
      <c r="N6" s="497"/>
    </row>
    <row r="7" spans="1:14" ht="13.5" thickBot="1" x14ac:dyDescent="0.25">
      <c r="A7" s="510"/>
      <c r="B7" s="510"/>
      <c r="C7" s="510"/>
      <c r="D7" s="510"/>
      <c r="E7" s="510"/>
      <c r="F7" s="511"/>
      <c r="G7" s="510"/>
      <c r="H7" s="510"/>
      <c r="I7" s="510"/>
      <c r="J7" s="510"/>
      <c r="K7" s="510"/>
      <c r="L7" s="510"/>
      <c r="M7" s="510"/>
      <c r="N7" s="511"/>
    </row>
    <row r="8" spans="1:14" x14ac:dyDescent="0.2">
      <c r="A8" s="505"/>
      <c r="B8" s="505"/>
      <c r="C8" s="505"/>
      <c r="D8" s="505"/>
      <c r="E8" s="505"/>
      <c r="F8" s="1120" t="s">
        <v>601</v>
      </c>
      <c r="G8" s="505"/>
      <c r="H8" s="1123" t="s">
        <v>191</v>
      </c>
      <c r="I8" s="1123"/>
      <c r="J8" s="1123"/>
      <c r="K8" s="1123"/>
      <c r="L8" s="1123"/>
      <c r="M8" s="505"/>
      <c r="N8" s="497" t="s">
        <v>187</v>
      </c>
    </row>
    <row r="9" spans="1:14" x14ac:dyDescent="0.2">
      <c r="A9" s="505"/>
      <c r="B9" s="505"/>
      <c r="C9" s="505"/>
      <c r="D9" s="505"/>
      <c r="E9" s="505"/>
      <c r="F9" s="1120"/>
      <c r="G9" s="505"/>
      <c r="H9" s="497" t="s">
        <v>602</v>
      </c>
      <c r="I9" s="505"/>
      <c r="J9" s="497" t="s">
        <v>603</v>
      </c>
      <c r="K9" s="505"/>
      <c r="L9" s="497" t="s">
        <v>604</v>
      </c>
      <c r="M9" s="505"/>
      <c r="N9" s="801" t="s">
        <v>1053</v>
      </c>
    </row>
    <row r="10" spans="1:14" x14ac:dyDescent="0.2">
      <c r="A10" s="505"/>
      <c r="B10" s="505"/>
      <c r="C10" s="505"/>
      <c r="D10" s="505"/>
      <c r="E10" s="505"/>
      <c r="F10" s="1121"/>
      <c r="G10" s="505"/>
      <c r="H10" s="513" t="s">
        <v>605</v>
      </c>
      <c r="I10" s="505"/>
      <c r="J10" s="513" t="s">
        <v>606</v>
      </c>
      <c r="K10" s="505"/>
      <c r="L10" s="513" t="s">
        <v>607</v>
      </c>
      <c r="M10" s="505"/>
      <c r="N10" s="802" t="s">
        <v>1054</v>
      </c>
    </row>
    <row r="11" spans="1:14" x14ac:dyDescent="0.2">
      <c r="A11" s="85" t="s">
        <v>192</v>
      </c>
      <c r="B11" s="505"/>
      <c r="C11" s="505"/>
      <c r="D11" s="505"/>
      <c r="E11" s="505"/>
      <c r="F11" s="505"/>
      <c r="G11" s="505"/>
      <c r="H11" s="505"/>
      <c r="I11" s="505"/>
      <c r="J11" s="505"/>
      <c r="K11" s="505"/>
      <c r="L11" s="505"/>
      <c r="M11" s="505"/>
      <c r="N11" s="505"/>
    </row>
    <row r="12" spans="1:14" x14ac:dyDescent="0.2">
      <c r="A12" s="505" t="s">
        <v>608</v>
      </c>
      <c r="B12" s="505"/>
      <c r="C12" s="505"/>
      <c r="D12" s="505"/>
      <c r="E12" s="505"/>
      <c r="F12" s="505"/>
      <c r="G12" s="505"/>
      <c r="H12" s="505"/>
      <c r="I12" s="505"/>
      <c r="J12" s="505"/>
      <c r="K12" s="505"/>
      <c r="L12" s="505"/>
      <c r="M12" s="505"/>
      <c r="N12" s="505"/>
    </row>
    <row r="13" spans="1:14" x14ac:dyDescent="0.2">
      <c r="A13" s="505"/>
      <c r="B13" s="505" t="s">
        <v>148</v>
      </c>
      <c r="C13" s="505"/>
      <c r="D13" s="505"/>
      <c r="E13" s="505"/>
      <c r="F13" s="514">
        <v>26000</v>
      </c>
      <c r="G13" s="505"/>
      <c r="H13" s="514">
        <v>12100</v>
      </c>
      <c r="I13" s="515"/>
      <c r="J13" s="514">
        <v>13600</v>
      </c>
      <c r="K13" s="515"/>
      <c r="L13" s="514">
        <f>SUM(H13:J13)</f>
        <v>25700</v>
      </c>
      <c r="M13" s="515"/>
      <c r="N13" s="514">
        <f>L13-F13</f>
        <v>-300</v>
      </c>
    </row>
    <row r="14" spans="1:14" x14ac:dyDescent="0.2">
      <c r="A14" s="505"/>
      <c r="B14" s="505" t="s">
        <v>435</v>
      </c>
      <c r="C14" s="505"/>
      <c r="D14" s="505"/>
      <c r="E14" s="505"/>
      <c r="F14" s="505"/>
      <c r="G14" s="505"/>
      <c r="H14" s="505"/>
      <c r="I14" s="505"/>
      <c r="J14" s="505"/>
      <c r="K14" s="505"/>
      <c r="L14" s="505"/>
      <c r="M14" s="505"/>
      <c r="N14" s="514"/>
    </row>
    <row r="15" spans="1:14" x14ac:dyDescent="0.2">
      <c r="A15" s="505"/>
      <c r="B15" s="505"/>
      <c r="C15" s="505" t="s">
        <v>609</v>
      </c>
      <c r="D15" s="505"/>
      <c r="E15" s="505"/>
      <c r="F15" s="516">
        <v>85700</v>
      </c>
      <c r="G15" s="505"/>
      <c r="H15" s="516">
        <v>15700</v>
      </c>
      <c r="I15" s="517"/>
      <c r="J15" s="516">
        <v>70000</v>
      </c>
      <c r="K15" s="517"/>
      <c r="L15" s="516">
        <f>SUM(H15:J15)</f>
        <v>85700</v>
      </c>
      <c r="M15" s="517"/>
      <c r="N15" s="518">
        <f>L15-F15</f>
        <v>0</v>
      </c>
    </row>
    <row r="16" spans="1:14" x14ac:dyDescent="0.2">
      <c r="A16" s="505"/>
      <c r="B16" s="505"/>
      <c r="C16" s="505"/>
      <c r="D16" s="505" t="s">
        <v>6</v>
      </c>
      <c r="E16" s="505"/>
      <c r="F16" s="506">
        <f t="shared" ref="F16:N16" si="0">SUM(F13:F15)</f>
        <v>111700</v>
      </c>
      <c r="G16" s="506">
        <f t="shared" si="0"/>
        <v>0</v>
      </c>
      <c r="H16" s="506">
        <f t="shared" si="0"/>
        <v>27800</v>
      </c>
      <c r="I16" s="506">
        <f t="shared" si="0"/>
        <v>0</v>
      </c>
      <c r="J16" s="506">
        <f t="shared" si="0"/>
        <v>83600</v>
      </c>
      <c r="K16" s="506">
        <f t="shared" si="0"/>
        <v>0</v>
      </c>
      <c r="L16" s="506">
        <f t="shared" si="0"/>
        <v>111400</v>
      </c>
      <c r="M16" s="506">
        <f t="shared" si="0"/>
        <v>0</v>
      </c>
      <c r="N16" s="517">
        <f t="shared" si="0"/>
        <v>-300</v>
      </c>
    </row>
    <row r="17" spans="1:19" x14ac:dyDescent="0.2">
      <c r="A17" s="505"/>
      <c r="B17" s="505"/>
      <c r="C17" s="505"/>
      <c r="D17" s="505"/>
      <c r="E17" s="505"/>
      <c r="F17" s="505"/>
      <c r="G17" s="505"/>
      <c r="H17" s="519"/>
      <c r="I17" s="517"/>
      <c r="J17" s="519"/>
      <c r="K17" s="517"/>
      <c r="L17" s="519"/>
      <c r="M17" s="517"/>
      <c r="N17" s="519"/>
      <c r="O17" s="505"/>
      <c r="P17" s="505"/>
      <c r="Q17" s="505"/>
      <c r="R17" s="505"/>
      <c r="S17" s="505"/>
    </row>
    <row r="18" spans="1:19" x14ac:dyDescent="0.2">
      <c r="A18" s="505" t="s">
        <v>610</v>
      </c>
      <c r="B18" s="505"/>
      <c r="C18" s="505"/>
      <c r="D18" s="505"/>
      <c r="E18" s="505"/>
      <c r="F18" s="505"/>
      <c r="G18" s="505"/>
      <c r="H18" s="519"/>
      <c r="I18" s="517"/>
      <c r="J18" s="519"/>
      <c r="K18" s="517"/>
      <c r="L18" s="519"/>
      <c r="M18" s="517"/>
      <c r="N18" s="519"/>
      <c r="O18" s="505"/>
      <c r="P18" s="505"/>
      <c r="Q18" s="505"/>
      <c r="R18" s="505"/>
      <c r="S18" s="505"/>
    </row>
    <row r="19" spans="1:19" x14ac:dyDescent="0.2">
      <c r="A19" s="505"/>
      <c r="B19" s="505" t="s">
        <v>145</v>
      </c>
      <c r="C19" s="505"/>
      <c r="D19" s="505"/>
      <c r="E19" s="505"/>
      <c r="F19" s="516">
        <v>55000</v>
      </c>
      <c r="G19" s="505"/>
      <c r="H19" s="516">
        <v>1720</v>
      </c>
      <c r="I19" s="517"/>
      <c r="J19" s="516">
        <f>32832-1720</f>
        <v>31112</v>
      </c>
      <c r="K19" s="517"/>
      <c r="L19" s="516">
        <v>32832</v>
      </c>
      <c r="M19" s="517"/>
      <c r="N19" s="516">
        <f>L19-F19</f>
        <v>-22168</v>
      </c>
      <c r="O19" s="506"/>
      <c r="P19" s="505"/>
      <c r="Q19" s="505"/>
      <c r="R19" s="505"/>
      <c r="S19" s="505"/>
    </row>
    <row r="20" spans="1:19" ht="12.75" customHeight="1" x14ac:dyDescent="0.2">
      <c r="A20" s="505"/>
      <c r="B20" s="505"/>
      <c r="C20" s="505"/>
      <c r="D20" s="505"/>
      <c r="E20" s="505"/>
      <c r="F20" s="517"/>
      <c r="G20" s="505"/>
      <c r="H20" s="517"/>
      <c r="I20" s="517"/>
      <c r="J20" s="517"/>
      <c r="K20" s="517"/>
      <c r="L20" s="517"/>
      <c r="M20" s="517"/>
      <c r="N20" s="517"/>
      <c r="O20" s="505"/>
      <c r="P20" s="505"/>
      <c r="Q20" s="505"/>
      <c r="R20" s="505"/>
      <c r="S20" s="505"/>
    </row>
    <row r="21" spans="1:19" x14ac:dyDescent="0.2">
      <c r="A21" s="505" t="s">
        <v>611</v>
      </c>
      <c r="B21" s="505"/>
      <c r="C21" s="505"/>
      <c r="D21" s="505"/>
      <c r="E21" s="505"/>
      <c r="F21" s="505"/>
      <c r="G21" s="505"/>
      <c r="H21" s="519"/>
      <c r="I21" s="517"/>
      <c r="J21" s="519"/>
      <c r="K21" s="517"/>
      <c r="L21" s="519"/>
      <c r="M21" s="517"/>
      <c r="N21" s="519"/>
      <c r="O21" s="505"/>
      <c r="P21" s="505"/>
      <c r="Q21" s="505"/>
      <c r="R21" s="505"/>
      <c r="S21" s="505"/>
    </row>
    <row r="22" spans="1:19" x14ac:dyDescent="0.2">
      <c r="A22" s="505"/>
      <c r="B22" s="505" t="s">
        <v>612</v>
      </c>
      <c r="C22" s="505"/>
      <c r="D22" s="505"/>
      <c r="E22" s="505"/>
      <c r="F22" s="516">
        <v>0</v>
      </c>
      <c r="G22" s="505"/>
      <c r="H22" s="516">
        <v>0</v>
      </c>
      <c r="I22" s="517"/>
      <c r="J22" s="516">
        <v>1720</v>
      </c>
      <c r="K22" s="517"/>
      <c r="L22" s="516">
        <f>SUM(H22:J22)</f>
        <v>1720</v>
      </c>
      <c r="M22" s="517"/>
      <c r="N22" s="520">
        <f>L22-F22</f>
        <v>1720</v>
      </c>
      <c r="O22" s="505"/>
      <c r="P22" s="505"/>
      <c r="Q22" s="505"/>
      <c r="R22" s="505"/>
      <c r="S22" s="505"/>
    </row>
    <row r="23" spans="1:19" x14ac:dyDescent="0.2">
      <c r="A23" s="505"/>
      <c r="B23" s="505"/>
      <c r="C23" s="505"/>
      <c r="D23" s="505" t="s">
        <v>150</v>
      </c>
      <c r="E23" s="505"/>
      <c r="F23" s="520">
        <f>F16+F19+F22</f>
        <v>166700</v>
      </c>
      <c r="G23" s="506">
        <f t="shared" ref="G23:M23" si="1">G16+G19+G22</f>
        <v>0</v>
      </c>
      <c r="H23" s="520">
        <f>H16+H19+H22</f>
        <v>29520</v>
      </c>
      <c r="I23" s="506">
        <f t="shared" si="1"/>
        <v>0</v>
      </c>
      <c r="J23" s="520">
        <f>J16+J19+J22</f>
        <v>116432</v>
      </c>
      <c r="K23" s="506">
        <f t="shared" si="1"/>
        <v>0</v>
      </c>
      <c r="L23" s="520">
        <f>L16+L19+L22</f>
        <v>145952</v>
      </c>
      <c r="M23" s="506">
        <f t="shared" si="1"/>
        <v>0</v>
      </c>
      <c r="N23" s="520">
        <f>N16+N19+N22</f>
        <v>-20748</v>
      </c>
      <c r="O23" s="505"/>
      <c r="P23" s="505"/>
      <c r="Q23" s="505"/>
      <c r="R23" s="505"/>
      <c r="S23" s="505"/>
    </row>
    <row r="24" spans="1:19" x14ac:dyDescent="0.2">
      <c r="A24" s="505"/>
      <c r="B24" s="505"/>
      <c r="C24" s="505"/>
      <c r="D24" s="505"/>
      <c r="E24" s="505"/>
      <c r="F24" s="505"/>
      <c r="G24" s="505"/>
      <c r="H24" s="519"/>
      <c r="I24" s="517"/>
      <c r="J24" s="519"/>
      <c r="K24" s="517"/>
      <c r="L24" s="519"/>
      <c r="M24" s="517"/>
      <c r="N24" s="519"/>
      <c r="O24" s="505"/>
      <c r="P24" s="505"/>
      <c r="Q24" s="505"/>
      <c r="R24" s="505"/>
      <c r="S24" s="505"/>
    </row>
    <row r="25" spans="1:19" x14ac:dyDescent="0.2">
      <c r="A25" s="85" t="s">
        <v>439</v>
      </c>
      <c r="B25" s="505"/>
      <c r="C25" s="505"/>
      <c r="D25" s="505"/>
      <c r="E25" s="505"/>
      <c r="F25" s="505"/>
      <c r="G25" s="505"/>
      <c r="H25" s="519"/>
      <c r="I25" s="517"/>
      <c r="J25" s="519"/>
      <c r="K25" s="517"/>
      <c r="L25" s="519"/>
      <c r="M25" s="517"/>
      <c r="N25" s="519"/>
      <c r="O25" s="505"/>
      <c r="P25" s="505"/>
      <c r="Q25" s="505"/>
      <c r="R25" s="505"/>
      <c r="S25" s="505"/>
    </row>
    <row r="26" spans="1:19" x14ac:dyDescent="0.2">
      <c r="A26" s="505"/>
      <c r="B26" s="505" t="s">
        <v>613</v>
      </c>
      <c r="C26" s="505"/>
      <c r="D26" s="505"/>
      <c r="E26" s="505"/>
      <c r="F26" s="505"/>
      <c r="G26" s="505"/>
      <c r="H26" s="519"/>
      <c r="I26" s="517"/>
      <c r="J26" s="519"/>
      <c r="K26" s="517"/>
      <c r="L26" s="519"/>
      <c r="M26" s="517"/>
      <c r="N26" s="519"/>
      <c r="O26" s="505"/>
      <c r="P26" s="505"/>
      <c r="Q26" s="505"/>
      <c r="R26" s="505"/>
      <c r="S26" s="505"/>
    </row>
    <row r="27" spans="1:19" x14ac:dyDescent="0.2">
      <c r="A27" s="505"/>
      <c r="B27" s="505"/>
      <c r="C27" s="505" t="s">
        <v>614</v>
      </c>
      <c r="D27" s="505"/>
      <c r="E27" s="505"/>
      <c r="F27" s="505"/>
      <c r="G27" s="505"/>
      <c r="H27" s="519"/>
      <c r="I27" s="517"/>
      <c r="J27" s="519"/>
      <c r="K27" s="517"/>
      <c r="L27" s="519"/>
      <c r="M27" s="517"/>
      <c r="N27" s="519"/>
      <c r="O27" s="505"/>
      <c r="P27" s="505"/>
      <c r="Q27" s="505"/>
      <c r="R27" s="505"/>
      <c r="S27" s="505"/>
    </row>
    <row r="28" spans="1:19" x14ac:dyDescent="0.2">
      <c r="A28" s="505"/>
      <c r="B28" s="505"/>
      <c r="C28" s="505"/>
      <c r="D28" s="505" t="s">
        <v>1040</v>
      </c>
      <c r="E28" s="505"/>
      <c r="F28" s="505"/>
      <c r="G28" s="505"/>
      <c r="H28" s="519"/>
      <c r="I28" s="517"/>
      <c r="J28" s="519"/>
      <c r="K28" s="517"/>
      <c r="L28" s="519"/>
      <c r="M28" s="517"/>
      <c r="N28" s="519"/>
      <c r="O28" s="505"/>
      <c r="P28" s="505"/>
      <c r="Q28" s="505"/>
      <c r="R28" s="505"/>
      <c r="S28" s="505"/>
    </row>
    <row r="29" spans="1:19" x14ac:dyDescent="0.2">
      <c r="A29" s="505"/>
      <c r="B29" s="505"/>
      <c r="C29" s="505"/>
      <c r="D29" s="505"/>
      <c r="E29" s="505" t="s">
        <v>615</v>
      </c>
      <c r="F29" s="519">
        <v>364500</v>
      </c>
      <c r="G29" s="505"/>
      <c r="H29" s="519">
        <f>278467+17420</f>
        <v>295887</v>
      </c>
      <c r="I29" s="517"/>
      <c r="J29" s="519">
        <f>77866</f>
        <v>77866</v>
      </c>
      <c r="K29" s="517"/>
      <c r="L29" s="519">
        <f>SUM(H29:J29)</f>
        <v>373753</v>
      </c>
      <c r="M29" s="517"/>
      <c r="N29" s="519">
        <f>F29-L29</f>
        <v>-9253</v>
      </c>
      <c r="O29" s="505"/>
      <c r="P29" s="505"/>
      <c r="Q29" s="505"/>
      <c r="R29" s="505"/>
      <c r="S29" s="505"/>
    </row>
    <row r="30" spans="1:19" x14ac:dyDescent="0.2">
      <c r="A30" s="505"/>
      <c r="B30" s="505"/>
      <c r="C30" s="505"/>
      <c r="D30" s="505"/>
      <c r="E30" s="505" t="s">
        <v>616</v>
      </c>
      <c r="F30" s="519">
        <v>25500</v>
      </c>
      <c r="G30" s="505"/>
      <c r="H30" s="519">
        <v>0</v>
      </c>
      <c r="I30" s="517"/>
      <c r="J30" s="519">
        <v>15221</v>
      </c>
      <c r="K30" s="517"/>
      <c r="L30" s="519">
        <f>SUM(H30:J30)</f>
        <v>15221</v>
      </c>
      <c r="M30" s="517"/>
      <c r="N30" s="519">
        <f>F30-L30</f>
        <v>10279</v>
      </c>
      <c r="O30" s="505"/>
      <c r="P30" s="505"/>
      <c r="Q30" s="505"/>
      <c r="R30" s="505"/>
      <c r="S30" s="505"/>
    </row>
    <row r="31" spans="1:19" x14ac:dyDescent="0.2">
      <c r="A31" s="505"/>
      <c r="B31" s="505"/>
      <c r="C31" s="505"/>
      <c r="D31" s="505"/>
      <c r="E31" s="505" t="s">
        <v>617</v>
      </c>
      <c r="F31" s="516">
        <v>16000</v>
      </c>
      <c r="G31" s="505"/>
      <c r="H31" s="516">
        <v>16000</v>
      </c>
      <c r="I31" s="517"/>
      <c r="J31" s="516">
        <v>0</v>
      </c>
      <c r="K31" s="517"/>
      <c r="L31" s="519">
        <f>SUM(H31:J31)</f>
        <v>16000</v>
      </c>
      <c r="M31" s="517"/>
      <c r="N31" s="516">
        <f>F31-L31</f>
        <v>0</v>
      </c>
      <c r="O31" s="505"/>
      <c r="P31" s="505"/>
      <c r="Q31" s="505"/>
      <c r="R31" s="505"/>
      <c r="S31" s="505"/>
    </row>
    <row r="32" spans="1:19" x14ac:dyDescent="0.2">
      <c r="A32" s="505"/>
      <c r="B32" s="505"/>
      <c r="C32" s="505"/>
      <c r="D32" s="505" t="s">
        <v>618</v>
      </c>
      <c r="E32" s="505"/>
      <c r="F32" s="516">
        <f t="shared" ref="F32:M32" si="2">F29+F30+F31</f>
        <v>406000</v>
      </c>
      <c r="G32" s="517">
        <f t="shared" si="2"/>
        <v>0</v>
      </c>
      <c r="H32" s="516">
        <f t="shared" si="2"/>
        <v>311887</v>
      </c>
      <c r="I32" s="517">
        <f t="shared" si="2"/>
        <v>0</v>
      </c>
      <c r="J32" s="516">
        <f t="shared" si="2"/>
        <v>93087</v>
      </c>
      <c r="K32" s="517">
        <f t="shared" si="2"/>
        <v>0</v>
      </c>
      <c r="L32" s="521">
        <f t="shared" si="2"/>
        <v>404974</v>
      </c>
      <c r="M32" s="517">
        <f t="shared" si="2"/>
        <v>0</v>
      </c>
      <c r="N32" s="516">
        <f>N29+N30+N31</f>
        <v>1026</v>
      </c>
      <c r="O32" s="505"/>
      <c r="P32" s="505"/>
      <c r="Q32" s="505"/>
      <c r="R32" s="505"/>
      <c r="S32" s="505"/>
    </row>
    <row r="33" spans="1:19" x14ac:dyDescent="0.2">
      <c r="A33" s="505"/>
      <c r="B33" s="505"/>
      <c r="C33" s="505"/>
      <c r="D33" s="505" t="s">
        <v>1039</v>
      </c>
      <c r="E33" s="505"/>
      <c r="F33" s="519"/>
      <c r="G33" s="505"/>
      <c r="H33" s="519"/>
      <c r="I33" s="517"/>
      <c r="J33" s="519"/>
      <c r="K33" s="517"/>
      <c r="L33" s="519"/>
      <c r="M33" s="517"/>
      <c r="N33" s="519"/>
      <c r="O33" s="505"/>
      <c r="P33" s="505"/>
      <c r="Q33" s="505"/>
      <c r="R33" s="505"/>
      <c r="S33" s="505"/>
    </row>
    <row r="34" spans="1:19" x14ac:dyDescent="0.2">
      <c r="A34" s="505"/>
      <c r="B34" s="505"/>
      <c r="C34" s="505"/>
      <c r="D34" s="505"/>
      <c r="E34" s="505" t="s">
        <v>615</v>
      </c>
      <c r="F34" s="519">
        <v>520000</v>
      </c>
      <c r="G34" s="505"/>
      <c r="H34" s="519">
        <v>0</v>
      </c>
      <c r="I34" s="517"/>
      <c r="J34" s="519">
        <v>32832</v>
      </c>
      <c r="K34" s="517"/>
      <c r="L34" s="519">
        <v>32832</v>
      </c>
      <c r="M34" s="517"/>
      <c r="N34" s="519">
        <f>F34-L34</f>
        <v>487168</v>
      </c>
      <c r="O34" s="505"/>
      <c r="P34" s="505"/>
      <c r="Q34" s="505"/>
      <c r="R34" s="505"/>
      <c r="S34" s="505"/>
    </row>
    <row r="35" spans="1:19" x14ac:dyDescent="0.2">
      <c r="A35" s="505"/>
      <c r="B35" s="505"/>
      <c r="C35" s="505"/>
      <c r="D35" s="505"/>
      <c r="E35" s="505" t="s">
        <v>616</v>
      </c>
      <c r="F35" s="516">
        <v>35000</v>
      </c>
      <c r="G35" s="505"/>
      <c r="H35" s="516">
        <v>0</v>
      </c>
      <c r="I35" s="517"/>
      <c r="J35" s="516">
        <v>0</v>
      </c>
      <c r="K35" s="517"/>
      <c r="L35" s="516">
        <v>0</v>
      </c>
      <c r="M35" s="517"/>
      <c r="N35" s="516">
        <f>F35-L35</f>
        <v>35000</v>
      </c>
      <c r="O35" s="505"/>
      <c r="P35" s="505"/>
      <c r="Q35" s="505"/>
      <c r="R35" s="505"/>
      <c r="S35" s="505"/>
    </row>
    <row r="36" spans="1:19" x14ac:dyDescent="0.2">
      <c r="A36" s="505"/>
      <c r="B36" s="505"/>
      <c r="C36" s="505"/>
      <c r="D36" s="505"/>
      <c r="E36" s="505" t="s">
        <v>6</v>
      </c>
      <c r="F36" s="520">
        <f>F34+F35</f>
        <v>555000</v>
      </c>
      <c r="G36" s="506">
        <f t="shared" ref="G36:M36" si="3">G34+G35</f>
        <v>0</v>
      </c>
      <c r="H36" s="520">
        <f t="shared" si="3"/>
        <v>0</v>
      </c>
      <c r="I36" s="506">
        <f t="shared" si="3"/>
        <v>0</v>
      </c>
      <c r="J36" s="520">
        <f t="shared" si="3"/>
        <v>32832</v>
      </c>
      <c r="K36" s="506">
        <f t="shared" si="3"/>
        <v>0</v>
      </c>
      <c r="L36" s="520">
        <f t="shared" si="3"/>
        <v>32832</v>
      </c>
      <c r="M36" s="506">
        <f t="shared" si="3"/>
        <v>0</v>
      </c>
      <c r="N36" s="520">
        <f>N34+N35</f>
        <v>522168</v>
      </c>
      <c r="O36" s="505"/>
      <c r="P36" s="505"/>
      <c r="Q36" s="505"/>
      <c r="R36" s="505"/>
      <c r="S36" s="505"/>
    </row>
    <row r="37" spans="1:19" x14ac:dyDescent="0.2">
      <c r="A37" s="505"/>
      <c r="B37" s="505"/>
      <c r="C37" s="505" t="s">
        <v>456</v>
      </c>
      <c r="D37" s="505"/>
      <c r="E37" s="505"/>
      <c r="F37" s="506"/>
      <c r="G37" s="505"/>
      <c r="H37" s="506"/>
      <c r="I37" s="517"/>
      <c r="J37" s="506"/>
      <c r="K37" s="517"/>
      <c r="L37" s="506"/>
      <c r="M37" s="517"/>
      <c r="N37" s="506"/>
      <c r="O37" s="505"/>
      <c r="P37" s="505"/>
      <c r="Q37" s="505"/>
      <c r="R37" s="505"/>
      <c r="S37" s="505"/>
    </row>
    <row r="38" spans="1:19" x14ac:dyDescent="0.2">
      <c r="A38" s="505"/>
      <c r="B38" s="505"/>
      <c r="C38" s="505"/>
      <c r="D38" s="505" t="s">
        <v>1041</v>
      </c>
      <c r="E38" s="505"/>
      <c r="F38" s="519"/>
      <c r="G38" s="505"/>
      <c r="H38" s="519"/>
      <c r="I38" s="517"/>
      <c r="J38" s="519"/>
      <c r="K38" s="517"/>
      <c r="L38" s="519"/>
      <c r="M38" s="517"/>
      <c r="N38" s="519"/>
      <c r="O38" s="505"/>
      <c r="P38" s="505"/>
      <c r="Q38" s="505"/>
      <c r="R38" s="505"/>
      <c r="S38" s="505"/>
    </row>
    <row r="39" spans="1:19" x14ac:dyDescent="0.2">
      <c r="A39" s="505"/>
      <c r="B39" s="505"/>
      <c r="C39" s="505"/>
      <c r="D39" s="505"/>
      <c r="E39" s="505" t="s">
        <v>616</v>
      </c>
      <c r="F39" s="516">
        <v>25700</v>
      </c>
      <c r="G39" s="505"/>
      <c r="H39" s="516">
        <v>0</v>
      </c>
      <c r="I39" s="517"/>
      <c r="J39" s="516">
        <v>20177</v>
      </c>
      <c r="K39" s="517"/>
      <c r="L39" s="516">
        <f>H39+J39</f>
        <v>20177</v>
      </c>
      <c r="M39" s="517"/>
      <c r="N39" s="516">
        <f>F39-L39</f>
        <v>5523</v>
      </c>
      <c r="O39" s="505"/>
      <c r="P39" s="505"/>
      <c r="Q39" s="505"/>
      <c r="R39" s="505"/>
      <c r="S39" s="505"/>
    </row>
    <row r="40" spans="1:19" x14ac:dyDescent="0.2">
      <c r="A40" s="505"/>
      <c r="B40" s="505"/>
      <c r="C40" s="505"/>
      <c r="D40" s="505"/>
      <c r="E40" s="505" t="s">
        <v>6</v>
      </c>
      <c r="F40" s="520">
        <f t="shared" ref="F40:M40" si="4">F39</f>
        <v>25700</v>
      </c>
      <c r="G40" s="506">
        <f t="shared" si="4"/>
        <v>0</v>
      </c>
      <c r="H40" s="520">
        <f t="shared" si="4"/>
        <v>0</v>
      </c>
      <c r="I40" s="506">
        <f t="shared" si="4"/>
        <v>0</v>
      </c>
      <c r="J40" s="520">
        <f t="shared" si="4"/>
        <v>20177</v>
      </c>
      <c r="K40" s="506">
        <f t="shared" si="4"/>
        <v>0</v>
      </c>
      <c r="L40" s="520">
        <f t="shared" si="4"/>
        <v>20177</v>
      </c>
      <c r="M40" s="506">
        <f t="shared" si="4"/>
        <v>0</v>
      </c>
      <c r="N40" s="520">
        <f>N39</f>
        <v>5523</v>
      </c>
      <c r="O40" s="505"/>
      <c r="P40" s="505"/>
      <c r="Q40" s="505"/>
      <c r="R40" s="505"/>
      <c r="S40" s="505"/>
    </row>
    <row r="41" spans="1:19" x14ac:dyDescent="0.2">
      <c r="A41" s="505"/>
      <c r="B41" s="505"/>
      <c r="C41" s="505"/>
      <c r="D41" s="505"/>
      <c r="E41" s="505" t="s">
        <v>162</v>
      </c>
      <c r="F41" s="520">
        <f t="shared" ref="F41:N41" si="5">F32+F36+F40</f>
        <v>986700</v>
      </c>
      <c r="G41" s="506">
        <f t="shared" si="5"/>
        <v>0</v>
      </c>
      <c r="H41" s="520">
        <f t="shared" si="5"/>
        <v>311887</v>
      </c>
      <c r="I41" s="506">
        <f t="shared" si="5"/>
        <v>0</v>
      </c>
      <c r="J41" s="520">
        <f t="shared" si="5"/>
        <v>146096</v>
      </c>
      <c r="K41" s="506">
        <f t="shared" si="5"/>
        <v>0</v>
      </c>
      <c r="L41" s="520">
        <f t="shared" si="5"/>
        <v>457983</v>
      </c>
      <c r="M41" s="506">
        <f t="shared" si="5"/>
        <v>0</v>
      </c>
      <c r="N41" s="520">
        <f t="shared" si="5"/>
        <v>528717</v>
      </c>
      <c r="O41" s="505"/>
      <c r="P41" s="505"/>
      <c r="Q41" s="505"/>
      <c r="R41" s="505"/>
      <c r="S41" s="505"/>
    </row>
    <row r="42" spans="1:19" x14ac:dyDescent="0.2">
      <c r="A42" s="505"/>
      <c r="B42" s="505"/>
      <c r="C42" s="505"/>
      <c r="D42" s="505"/>
      <c r="E42" s="505"/>
      <c r="F42" s="505"/>
      <c r="G42" s="505"/>
      <c r="H42" s="519"/>
      <c r="I42" s="517"/>
      <c r="J42" s="519"/>
      <c r="K42" s="517"/>
      <c r="L42" s="519"/>
      <c r="M42" s="517"/>
      <c r="N42" s="519"/>
      <c r="O42" s="505"/>
      <c r="P42" s="505"/>
      <c r="Q42" s="505"/>
      <c r="R42" s="505"/>
      <c r="S42" s="505"/>
    </row>
    <row r="43" spans="1:19" x14ac:dyDescent="0.2">
      <c r="A43" s="505" t="s">
        <v>619</v>
      </c>
      <c r="B43" s="505"/>
      <c r="C43" s="505"/>
      <c r="D43" s="505"/>
      <c r="E43" s="505"/>
      <c r="F43" s="516">
        <f t="shared" ref="F43:M43" si="6">F23-F41</f>
        <v>-820000</v>
      </c>
      <c r="G43" s="517">
        <f t="shared" si="6"/>
        <v>0</v>
      </c>
      <c r="H43" s="516">
        <f t="shared" si="6"/>
        <v>-282367</v>
      </c>
      <c r="I43" s="517">
        <f t="shared" si="6"/>
        <v>0</v>
      </c>
      <c r="J43" s="516">
        <f t="shared" si="6"/>
        <v>-29664</v>
      </c>
      <c r="K43" s="517">
        <f t="shared" si="6"/>
        <v>0</v>
      </c>
      <c r="L43" s="516">
        <f t="shared" si="6"/>
        <v>-312031</v>
      </c>
      <c r="M43" s="517">
        <f t="shared" si="6"/>
        <v>0</v>
      </c>
      <c r="N43" s="516">
        <f>N23+N41</f>
        <v>507969</v>
      </c>
      <c r="O43" s="505"/>
      <c r="P43" s="505"/>
      <c r="Q43" s="505"/>
      <c r="R43" s="505"/>
      <c r="S43" s="505"/>
    </row>
    <row r="44" spans="1:19" x14ac:dyDescent="0.2">
      <c r="A44" s="505"/>
      <c r="B44" s="505"/>
      <c r="C44" s="505"/>
      <c r="D44" s="505"/>
      <c r="E44" s="505"/>
      <c r="F44" s="505"/>
      <c r="G44" s="505"/>
      <c r="H44" s="519"/>
      <c r="I44" s="517"/>
      <c r="J44" s="519"/>
      <c r="K44" s="517"/>
      <c r="L44" s="519"/>
      <c r="M44" s="517"/>
      <c r="N44" s="519"/>
      <c r="O44" s="505"/>
      <c r="P44" s="505"/>
      <c r="Q44" s="505"/>
      <c r="R44" s="505"/>
      <c r="S44" s="505"/>
    </row>
    <row r="45" spans="1:19" x14ac:dyDescent="0.2">
      <c r="A45" s="85" t="s">
        <v>543</v>
      </c>
      <c r="B45" s="505"/>
      <c r="C45" s="505"/>
      <c r="D45" s="505"/>
      <c r="E45" s="505"/>
      <c r="F45" s="505"/>
      <c r="G45" s="505"/>
      <c r="H45" s="519"/>
      <c r="I45" s="517"/>
      <c r="J45" s="519"/>
      <c r="K45" s="517"/>
      <c r="L45" s="519"/>
      <c r="M45" s="517"/>
      <c r="N45" s="519"/>
      <c r="O45" s="505"/>
      <c r="P45" s="505"/>
      <c r="Q45" s="505"/>
      <c r="R45" s="505"/>
      <c r="S45" s="505"/>
    </row>
    <row r="46" spans="1:19" x14ac:dyDescent="0.2">
      <c r="A46" s="505"/>
      <c r="B46" s="505" t="s">
        <v>608</v>
      </c>
      <c r="C46" s="505"/>
      <c r="D46" s="505"/>
      <c r="E46" s="505"/>
      <c r="F46" s="505"/>
      <c r="G46" s="505"/>
      <c r="H46" s="519"/>
      <c r="I46" s="517"/>
      <c r="J46" s="519"/>
      <c r="K46" s="517"/>
      <c r="L46" s="519"/>
      <c r="M46" s="517"/>
      <c r="N46" s="519"/>
      <c r="O46" s="505"/>
      <c r="P46" s="505"/>
      <c r="Q46" s="505"/>
      <c r="R46" s="505"/>
      <c r="S46" s="505"/>
    </row>
    <row r="47" spans="1:19" x14ac:dyDescent="0.2">
      <c r="A47" s="505"/>
      <c r="B47" s="505"/>
      <c r="C47" s="505" t="s">
        <v>1008</v>
      </c>
      <c r="D47" s="505"/>
      <c r="E47" s="505"/>
      <c r="F47" s="519">
        <v>300000</v>
      </c>
      <c r="G47" s="505"/>
      <c r="H47" s="519">
        <v>300000</v>
      </c>
      <c r="I47" s="517"/>
      <c r="J47" s="519">
        <v>0</v>
      </c>
      <c r="K47" s="517"/>
      <c r="L47" s="519">
        <v>300000</v>
      </c>
      <c r="M47" s="517"/>
      <c r="N47" s="519">
        <v>0</v>
      </c>
    </row>
    <row r="48" spans="1:19" ht="8.25" customHeight="1" x14ac:dyDescent="0.2">
      <c r="A48" s="505"/>
      <c r="B48" s="505"/>
      <c r="C48" s="505"/>
      <c r="D48" s="505"/>
      <c r="E48" s="505"/>
      <c r="F48" s="519"/>
      <c r="G48" s="505"/>
      <c r="H48" s="519"/>
      <c r="I48" s="517"/>
      <c r="J48" s="519"/>
      <c r="K48" s="517"/>
      <c r="L48" s="519"/>
      <c r="M48" s="517"/>
      <c r="N48" s="519"/>
    </row>
    <row r="49" spans="1:14" x14ac:dyDescent="0.2">
      <c r="A49" s="505"/>
      <c r="B49" s="505" t="s">
        <v>1009</v>
      </c>
      <c r="C49" s="505"/>
      <c r="D49" s="505"/>
      <c r="E49" s="505"/>
      <c r="F49" s="505"/>
      <c r="G49" s="505"/>
      <c r="H49" s="519"/>
      <c r="I49" s="517"/>
      <c r="J49" s="519"/>
      <c r="K49" s="517"/>
      <c r="L49" s="519"/>
      <c r="M49" s="517"/>
      <c r="N49" s="519"/>
    </row>
    <row r="50" spans="1:14" ht="24.75" customHeight="1" x14ac:dyDescent="0.2">
      <c r="A50" s="505"/>
      <c r="B50" s="505"/>
      <c r="C50" s="1095" t="s">
        <v>1010</v>
      </c>
      <c r="D50" s="1095"/>
      <c r="E50" s="1095"/>
      <c r="F50" s="519">
        <v>20000</v>
      </c>
      <c r="G50" s="505"/>
      <c r="H50" s="519">
        <v>10000</v>
      </c>
      <c r="I50" s="517"/>
      <c r="J50" s="519">
        <v>10000</v>
      </c>
      <c r="K50" s="517"/>
      <c r="L50" s="519">
        <v>20000</v>
      </c>
      <c r="M50" s="517"/>
      <c r="N50" s="519">
        <f>F50-L50</f>
        <v>0</v>
      </c>
    </row>
    <row r="51" spans="1:14" x14ac:dyDescent="0.2">
      <c r="A51" s="505"/>
      <c r="B51" s="505"/>
      <c r="C51" s="505"/>
      <c r="D51" s="505"/>
      <c r="E51" s="505"/>
      <c r="F51" s="505"/>
      <c r="G51" s="505"/>
      <c r="H51" s="519"/>
      <c r="I51" s="517"/>
      <c r="J51" s="519"/>
      <c r="K51" s="517"/>
      <c r="L51" s="519"/>
      <c r="M51" s="517"/>
      <c r="N51" s="519"/>
    </row>
    <row r="52" spans="1:14" x14ac:dyDescent="0.2">
      <c r="A52" s="505"/>
      <c r="B52" s="505" t="s">
        <v>610</v>
      </c>
      <c r="C52" s="505"/>
      <c r="D52" s="505"/>
      <c r="E52" s="505"/>
      <c r="F52" s="505"/>
      <c r="G52" s="505"/>
      <c r="H52" s="519"/>
      <c r="I52" s="517"/>
      <c r="J52" s="519"/>
      <c r="K52" s="517"/>
      <c r="L52" s="519"/>
      <c r="M52" s="517"/>
      <c r="N52" s="519"/>
    </row>
    <row r="53" spans="1:14" x14ac:dyDescent="0.2">
      <c r="A53" s="505"/>
      <c r="B53" s="505"/>
      <c r="C53" s="505" t="s">
        <v>620</v>
      </c>
      <c r="D53" s="505"/>
      <c r="E53" s="505"/>
      <c r="F53" s="516">
        <v>500000</v>
      </c>
      <c r="G53" s="505"/>
      <c r="H53" s="516">
        <v>0</v>
      </c>
      <c r="I53" s="517"/>
      <c r="J53" s="516">
        <v>0</v>
      </c>
      <c r="K53" s="517"/>
      <c r="L53" s="516">
        <v>0</v>
      </c>
      <c r="M53" s="517"/>
      <c r="N53" s="516">
        <v>-500000</v>
      </c>
    </row>
    <row r="54" spans="1:14" x14ac:dyDescent="0.2">
      <c r="A54" s="505"/>
      <c r="B54" s="505"/>
      <c r="C54" s="505"/>
      <c r="D54" s="505"/>
      <c r="E54" s="505" t="s">
        <v>621</v>
      </c>
      <c r="F54" s="520">
        <f>SUM(F47:F53)</f>
        <v>820000</v>
      </c>
      <c r="G54" s="506">
        <f t="shared" ref="G54:N54" si="7">SUM(G47:G53)</f>
        <v>0</v>
      </c>
      <c r="H54" s="520">
        <f t="shared" si="7"/>
        <v>310000</v>
      </c>
      <c r="I54" s="506">
        <f t="shared" si="7"/>
        <v>0</v>
      </c>
      <c r="J54" s="520">
        <f t="shared" si="7"/>
        <v>10000</v>
      </c>
      <c r="K54" s="506">
        <f t="shared" si="7"/>
        <v>0</v>
      </c>
      <c r="L54" s="520">
        <f t="shared" si="7"/>
        <v>320000</v>
      </c>
      <c r="M54" s="506">
        <f t="shared" si="7"/>
        <v>0</v>
      </c>
      <c r="N54" s="520">
        <f t="shared" si="7"/>
        <v>-500000</v>
      </c>
    </row>
    <row r="56" spans="1:14" s="86" customFormat="1" ht="13.5" thickBot="1" x14ac:dyDescent="0.25">
      <c r="A56" s="505" t="s">
        <v>173</v>
      </c>
      <c r="B56" s="505"/>
      <c r="C56" s="505"/>
      <c r="D56" s="505"/>
      <c r="E56" s="505"/>
      <c r="F56" s="522">
        <f>F43+F54</f>
        <v>0</v>
      </c>
      <c r="G56" s="515">
        <f>G43+G54</f>
        <v>0</v>
      </c>
      <c r="H56" s="522">
        <f>H43+H54</f>
        <v>27633</v>
      </c>
      <c r="I56" s="515"/>
      <c r="J56" s="515">
        <f>J43+J54</f>
        <v>-19664</v>
      </c>
      <c r="K56" s="515"/>
      <c r="L56" s="522">
        <f>L43+L54</f>
        <v>7969</v>
      </c>
      <c r="M56" s="515"/>
      <c r="N56" s="522">
        <f>N43+N54</f>
        <v>7969</v>
      </c>
    </row>
    <row r="57" spans="1:14" ht="13.5" thickTop="1" x14ac:dyDescent="0.2">
      <c r="A57" s="505"/>
      <c r="B57" s="505"/>
      <c r="C57" s="505"/>
      <c r="D57" s="505"/>
      <c r="E57" s="505"/>
      <c r="F57" s="506"/>
      <c r="G57" s="505"/>
      <c r="H57" s="505"/>
      <c r="I57" s="505"/>
      <c r="J57" s="505"/>
      <c r="K57" s="505"/>
      <c r="L57" s="505"/>
      <c r="M57" s="505"/>
      <c r="N57" s="505"/>
    </row>
    <row r="58" spans="1:14" x14ac:dyDescent="0.2">
      <c r="A58" s="505" t="s">
        <v>1076</v>
      </c>
      <c r="B58" s="505"/>
      <c r="C58" s="505"/>
      <c r="D58" s="505"/>
      <c r="E58" s="505"/>
      <c r="F58" s="505"/>
      <c r="G58" s="505"/>
      <c r="H58" s="505"/>
      <c r="I58" s="505"/>
      <c r="J58" s="516">
        <f>37633-10000</f>
        <v>27633</v>
      </c>
      <c r="K58" s="505"/>
      <c r="L58" s="505"/>
      <c r="M58" s="505"/>
      <c r="N58" s="505"/>
    </row>
    <row r="59" spans="1:14" ht="13.5" thickBot="1" x14ac:dyDescent="0.25">
      <c r="A59" s="505" t="s">
        <v>1083</v>
      </c>
      <c r="B59" s="505"/>
      <c r="C59" s="505"/>
      <c r="D59" s="505"/>
      <c r="E59" s="505"/>
      <c r="F59" s="505"/>
      <c r="G59" s="505"/>
      <c r="H59" s="505"/>
      <c r="I59" s="505"/>
      <c r="J59" s="522">
        <f>J58+J56</f>
        <v>7969</v>
      </c>
      <c r="K59" s="505"/>
      <c r="L59" s="505"/>
      <c r="M59" s="505"/>
      <c r="N59" s="505"/>
    </row>
    <row r="60" spans="1:14" ht="13.5" thickTop="1" x14ac:dyDescent="0.2">
      <c r="A60" s="505"/>
      <c r="B60" s="505"/>
      <c r="C60" s="505"/>
      <c r="D60" s="505"/>
      <c r="E60" s="505"/>
      <c r="F60" s="505"/>
      <c r="G60" s="505"/>
      <c r="H60" s="505"/>
      <c r="I60" s="505"/>
      <c r="J60" s="505"/>
      <c r="K60" s="505"/>
      <c r="L60" s="505"/>
      <c r="M60" s="505"/>
      <c r="N60" s="505"/>
    </row>
  </sheetData>
  <customSheetViews>
    <customSheetView guid="{E0C60316-4586-4AAF-92CB-FA82BB1EB755}" fitToPage="1" topLeftCell="A22">
      <selection activeCell="O27" sqref="O27"/>
      <pageMargins left="0" right="0" top="0" bottom="0" header="0" footer="0"/>
      <printOptions horizontalCentered="1"/>
      <pageSetup scale="82" firstPageNumber="114" orientation="portrait" useFirstPageNumber="1" r:id="rId1"/>
      <headerFooter alignWithMargins="0"/>
    </customSheetView>
    <customSheetView guid="{A8748736-0722-49EB-85B6-C9B52DDCFE0E}" fitToPage="1">
      <selection activeCell="A6" sqref="A6"/>
      <pageMargins left="0.75" right="0.75" top="1" bottom="1" header="0.5" footer="0.5"/>
      <printOptions horizontalCentered="1"/>
      <pageSetup scale="83" firstPageNumber="114" orientation="portrait" useFirstPageNumber="1" r:id="rId2"/>
      <headerFooter alignWithMargins="0"/>
    </customSheetView>
  </customSheetViews>
  <mergeCells count="5">
    <mergeCell ref="A4:N4"/>
    <mergeCell ref="F8:F10"/>
    <mergeCell ref="E5:N5"/>
    <mergeCell ref="C50:E50"/>
    <mergeCell ref="H8:L8"/>
  </mergeCells>
  <printOptions horizontalCentered="1"/>
  <pageMargins left="0.75" right="0.75" top="1" bottom="1" header="0.5" footer="0.5"/>
  <pageSetup scale="86" firstPageNumber="114" orientation="portrait" useFirstPageNumber="1" r:id="rId3"/>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7" tint="0.39997558519241921"/>
    <pageSetUpPr fitToPage="1"/>
  </sheetPr>
  <dimension ref="A1:N82"/>
  <sheetViews>
    <sheetView zoomScaleNormal="100" workbookViewId="0">
      <selection activeCell="D6" sqref="D6"/>
    </sheetView>
  </sheetViews>
  <sheetFormatPr defaultColWidth="9.140625" defaultRowHeight="12.75" x14ac:dyDescent="0.2"/>
  <cols>
    <col min="1" max="2" width="2.28515625" style="63" customWidth="1"/>
    <col min="3" max="3" width="1.7109375" style="63" customWidth="1"/>
    <col min="4" max="4" width="22.7109375" style="63" customWidth="1"/>
    <col min="5" max="5" width="11.5703125" style="63" customWidth="1"/>
    <col min="6" max="6" width="1.7109375" style="63" customWidth="1"/>
    <col min="7" max="7" width="10.5703125" style="63" customWidth="1"/>
    <col min="8" max="8" width="1.7109375" style="63" customWidth="1"/>
    <col min="9" max="9" width="10.85546875" style="63" customWidth="1"/>
    <col min="10" max="10" width="1.7109375" style="63" customWidth="1"/>
    <col min="11" max="11" width="10.28515625" style="63" customWidth="1"/>
    <col min="12" max="12" width="1.7109375" style="63" customWidth="1"/>
    <col min="13" max="13" width="12.5703125" style="63" customWidth="1"/>
    <col min="14" max="14" width="12.140625" style="63" bestFit="1" customWidth="1"/>
    <col min="15" max="16384" width="9.140625" style="63"/>
  </cols>
  <sheetData>
    <row r="1" spans="1:14" x14ac:dyDescent="0.2">
      <c r="A1" s="1136" t="s">
        <v>0</v>
      </c>
      <c r="B1" s="1136"/>
      <c r="C1" s="1136"/>
      <c r="D1" s="1136"/>
      <c r="E1" s="1136"/>
      <c r="F1" s="1136"/>
      <c r="G1" s="1136"/>
      <c r="H1" s="1136"/>
      <c r="I1" s="1136"/>
      <c r="J1" s="1136"/>
      <c r="K1" s="1136"/>
      <c r="L1" s="1136"/>
      <c r="M1" s="1136"/>
      <c r="N1" s="505"/>
    </row>
    <row r="2" spans="1:14" x14ac:dyDescent="0.2">
      <c r="A2" s="1136" t="s">
        <v>533</v>
      </c>
      <c r="B2" s="1136"/>
      <c r="C2" s="1136"/>
      <c r="D2" s="1136"/>
      <c r="E2" s="1136"/>
      <c r="F2" s="1136"/>
      <c r="G2" s="1136"/>
      <c r="H2" s="1136"/>
      <c r="I2" s="1136"/>
      <c r="J2" s="1136"/>
      <c r="K2" s="1136"/>
      <c r="L2" s="1136"/>
      <c r="M2" s="1136"/>
      <c r="N2" s="505"/>
    </row>
    <row r="3" spans="1:14" x14ac:dyDescent="0.2">
      <c r="A3" s="1136" t="s">
        <v>397</v>
      </c>
      <c r="B3" s="1136"/>
      <c r="C3" s="1136"/>
      <c r="D3" s="1136"/>
      <c r="E3" s="1136"/>
      <c r="F3" s="1136"/>
      <c r="G3" s="1136"/>
      <c r="H3" s="1136"/>
      <c r="I3" s="1136"/>
      <c r="J3" s="1136"/>
      <c r="K3" s="1136"/>
      <c r="L3" s="1136"/>
      <c r="M3" s="1136"/>
      <c r="N3" s="505"/>
    </row>
    <row r="4" spans="1:14" x14ac:dyDescent="0.2">
      <c r="A4" s="1136" t="s">
        <v>398</v>
      </c>
      <c r="B4" s="1136"/>
      <c r="C4" s="1136"/>
      <c r="D4" s="1136"/>
      <c r="E4" s="1136"/>
      <c r="F4" s="1136"/>
      <c r="G4" s="1136"/>
      <c r="H4" s="1136"/>
      <c r="I4" s="1136"/>
      <c r="J4" s="1136"/>
      <c r="K4" s="1136"/>
      <c r="L4" s="1136"/>
      <c r="M4" s="1136"/>
      <c r="N4" s="505"/>
    </row>
    <row r="5" spans="1:14" x14ac:dyDescent="0.2">
      <c r="A5" s="1137" t="str">
        <f>'SR-BA7 (Opioid)Multi Yr'!A5</f>
        <v>From Inception and for the Fiscal Year Ended June 30, 2025</v>
      </c>
      <c r="B5" s="1137"/>
      <c r="C5" s="1137"/>
      <c r="D5" s="1137"/>
      <c r="E5" s="1137"/>
      <c r="F5" s="1137"/>
      <c r="G5" s="1137"/>
      <c r="H5" s="1137"/>
      <c r="I5" s="1137"/>
      <c r="J5" s="1137"/>
      <c r="K5" s="1137"/>
      <c r="L5" s="1137"/>
      <c r="M5" s="1137"/>
      <c r="N5" s="505"/>
    </row>
    <row r="6" spans="1:14" x14ac:dyDescent="0.2">
      <c r="N6" s="505"/>
    </row>
    <row r="7" spans="1:14" x14ac:dyDescent="0.2">
      <c r="A7" s="470"/>
      <c r="B7" s="470"/>
      <c r="C7" s="470"/>
      <c r="D7" s="470"/>
      <c r="E7" s="470"/>
      <c r="F7" s="470"/>
      <c r="G7" s="470"/>
      <c r="H7" s="470"/>
      <c r="I7" s="470"/>
      <c r="J7" s="470"/>
      <c r="K7" s="470"/>
      <c r="L7" s="470"/>
      <c r="M7" s="470"/>
      <c r="N7" s="505"/>
    </row>
    <row r="8" spans="1:14" ht="13.5" thickBot="1" x14ac:dyDescent="0.25">
      <c r="A8" s="1133"/>
      <c r="B8" s="1133"/>
      <c r="C8" s="1133"/>
      <c r="D8" s="1133"/>
      <c r="E8" s="1133"/>
      <c r="F8" s="1133"/>
      <c r="G8" s="1133"/>
      <c r="H8" s="1133"/>
      <c r="I8" s="1133"/>
      <c r="J8" s="1133"/>
      <c r="K8" s="1133"/>
      <c r="L8" s="1133"/>
      <c r="M8" s="1133"/>
      <c r="N8" s="505"/>
    </row>
    <row r="9" spans="1:14" x14ac:dyDescent="0.2">
      <c r="A9" s="505"/>
      <c r="B9" s="505"/>
      <c r="C9" s="505"/>
      <c r="D9" s="505"/>
      <c r="E9" s="160" t="s">
        <v>622</v>
      </c>
      <c r="F9" s="161"/>
      <c r="G9" s="162"/>
      <c r="H9" s="162"/>
      <c r="I9" s="162" t="s">
        <v>191</v>
      </c>
      <c r="J9" s="162"/>
      <c r="K9" s="162"/>
      <c r="L9" s="161"/>
      <c r="M9" s="160" t="s">
        <v>187</v>
      </c>
      <c r="N9" s="505"/>
    </row>
    <row r="10" spans="1:14" x14ac:dyDescent="0.2">
      <c r="A10" s="505"/>
      <c r="B10" s="505"/>
      <c r="C10" s="505"/>
      <c r="D10" s="505"/>
      <c r="E10" s="160" t="s">
        <v>623</v>
      </c>
      <c r="F10" s="161"/>
      <c r="G10" s="160" t="s">
        <v>602</v>
      </c>
      <c r="H10" s="161"/>
      <c r="I10" s="160" t="s">
        <v>603</v>
      </c>
      <c r="J10" s="161"/>
      <c r="K10" s="160" t="s">
        <v>604</v>
      </c>
      <c r="L10" s="161"/>
      <c r="M10" s="813" t="s">
        <v>1053</v>
      </c>
      <c r="N10" s="505"/>
    </row>
    <row r="11" spans="1:14" x14ac:dyDescent="0.2">
      <c r="A11" s="505"/>
      <c r="B11" s="505"/>
      <c r="C11" s="505"/>
      <c r="D11" s="505"/>
      <c r="E11" s="471" t="s">
        <v>624</v>
      </c>
      <c r="F11" s="161"/>
      <c r="G11" s="471" t="s">
        <v>605</v>
      </c>
      <c r="H11" s="161"/>
      <c r="I11" s="471" t="s">
        <v>606</v>
      </c>
      <c r="J11" s="161"/>
      <c r="K11" s="471" t="s">
        <v>607</v>
      </c>
      <c r="L11" s="161"/>
      <c r="M11" s="814" t="s">
        <v>1054</v>
      </c>
      <c r="N11" s="505"/>
    </row>
    <row r="12" spans="1:14" x14ac:dyDescent="0.2">
      <c r="A12" s="163" t="s">
        <v>192</v>
      </c>
      <c r="B12" s="161"/>
      <c r="C12" s="161"/>
      <c r="D12" s="161"/>
      <c r="E12" s="161"/>
      <c r="F12" s="161"/>
      <c r="G12" s="161"/>
      <c r="H12" s="161"/>
      <c r="I12" s="161"/>
      <c r="J12" s="161"/>
      <c r="K12" s="161"/>
      <c r="L12" s="161"/>
      <c r="M12" s="161"/>
      <c r="N12" s="505"/>
    </row>
    <row r="13" spans="1:14" x14ac:dyDescent="0.2">
      <c r="A13" s="505"/>
      <c r="B13" s="161" t="s">
        <v>143</v>
      </c>
      <c r="C13" s="161"/>
      <c r="D13" s="161"/>
      <c r="E13" s="164">
        <v>550000</v>
      </c>
      <c r="F13" s="165"/>
      <c r="G13" s="164">
        <v>0</v>
      </c>
      <c r="H13" s="164"/>
      <c r="I13" s="164">
        <v>376400</v>
      </c>
      <c r="J13" s="164"/>
      <c r="K13" s="164">
        <v>376400</v>
      </c>
      <c r="L13" s="164"/>
      <c r="M13" s="164">
        <f>K13-E13</f>
        <v>-173600</v>
      </c>
      <c r="N13" s="523"/>
    </row>
    <row r="14" spans="1:14" x14ac:dyDescent="0.2">
      <c r="A14" s="161"/>
      <c r="B14" s="161" t="s">
        <v>415</v>
      </c>
      <c r="C14" s="161"/>
      <c r="D14" s="161"/>
      <c r="E14" s="112"/>
      <c r="F14" s="112"/>
      <c r="G14" s="112"/>
      <c r="H14" s="112"/>
      <c r="I14" s="112"/>
      <c r="J14" s="112"/>
      <c r="K14" s="112"/>
      <c r="L14" s="112"/>
      <c r="M14" s="171"/>
      <c r="N14" s="523"/>
    </row>
    <row r="15" spans="1:14" x14ac:dyDescent="0.2">
      <c r="A15" s="161"/>
      <c r="B15" s="161"/>
      <c r="C15" s="161" t="s">
        <v>625</v>
      </c>
      <c r="D15" s="161"/>
      <c r="E15" s="112"/>
      <c r="F15" s="112"/>
      <c r="G15" s="112"/>
      <c r="H15" s="112"/>
      <c r="I15" s="112"/>
      <c r="J15" s="112"/>
      <c r="K15" s="112"/>
      <c r="L15" s="112"/>
      <c r="M15" s="171">
        <f t="shared" ref="M15:M22" si="0">K15-E15</f>
        <v>0</v>
      </c>
      <c r="N15" s="523"/>
    </row>
    <row r="16" spans="1:14" x14ac:dyDescent="0.2">
      <c r="A16" s="161"/>
      <c r="B16" s="161"/>
      <c r="C16" s="161"/>
      <c r="D16" s="161" t="s">
        <v>626</v>
      </c>
      <c r="E16" s="166">
        <f>300000-75000</f>
        <v>225000</v>
      </c>
      <c r="F16" s="166"/>
      <c r="G16" s="166">
        <v>0</v>
      </c>
      <c r="H16" s="166"/>
      <c r="I16" s="166">
        <f>15000-5000</f>
        <v>10000</v>
      </c>
      <c r="J16" s="166"/>
      <c r="K16" s="166">
        <f>+I16+G16</f>
        <v>10000</v>
      </c>
      <c r="L16" s="166"/>
      <c r="M16" s="171">
        <f t="shared" si="0"/>
        <v>-215000</v>
      </c>
      <c r="N16" s="523"/>
    </row>
    <row r="17" spans="1:14" x14ac:dyDescent="0.2">
      <c r="A17" s="161"/>
      <c r="B17" s="161"/>
      <c r="C17" s="161" t="s">
        <v>625</v>
      </c>
      <c r="D17" s="161"/>
      <c r="E17" s="166"/>
      <c r="F17" s="166"/>
      <c r="G17" s="166"/>
      <c r="H17" s="166"/>
      <c r="I17" s="166"/>
      <c r="J17" s="166"/>
      <c r="K17" s="166"/>
      <c r="L17" s="166"/>
      <c r="M17" s="171">
        <f t="shared" si="0"/>
        <v>0</v>
      </c>
      <c r="N17" s="523"/>
    </row>
    <row r="18" spans="1:14" x14ac:dyDescent="0.2">
      <c r="A18" s="161"/>
      <c r="B18" s="161"/>
      <c r="C18" s="161"/>
      <c r="D18" s="161" t="s">
        <v>627</v>
      </c>
      <c r="E18" s="166">
        <f>75000+700000</f>
        <v>775000</v>
      </c>
      <c r="F18" s="166"/>
      <c r="G18" s="166">
        <v>0</v>
      </c>
      <c r="H18" s="166"/>
      <c r="I18" s="166">
        <f>5000+619059</f>
        <v>624059</v>
      </c>
      <c r="J18" s="166"/>
      <c r="K18" s="166">
        <f>I18+G18</f>
        <v>624059</v>
      </c>
      <c r="L18" s="166"/>
      <c r="M18" s="171">
        <f t="shared" si="0"/>
        <v>-150941</v>
      </c>
      <c r="N18" s="523"/>
    </row>
    <row r="19" spans="1:14" x14ac:dyDescent="0.2">
      <c r="A19" s="161"/>
      <c r="B19" s="161"/>
      <c r="C19" s="161" t="s">
        <v>625</v>
      </c>
      <c r="D19" s="161"/>
      <c r="E19" s="166"/>
      <c r="F19" s="166"/>
      <c r="G19" s="166"/>
      <c r="H19" s="166"/>
      <c r="I19" s="166"/>
      <c r="J19" s="166"/>
      <c r="K19" s="166"/>
      <c r="L19" s="166"/>
      <c r="M19" s="171">
        <f t="shared" si="0"/>
        <v>0</v>
      </c>
      <c r="N19" s="523"/>
    </row>
    <row r="20" spans="1:14" x14ac:dyDescent="0.2">
      <c r="A20" s="161"/>
      <c r="B20" s="161"/>
      <c r="C20" s="161"/>
      <c r="D20" s="161" t="s">
        <v>628</v>
      </c>
      <c r="E20" s="166">
        <v>1000000</v>
      </c>
      <c r="F20" s="166"/>
      <c r="G20" s="166">
        <v>0</v>
      </c>
      <c r="H20" s="166"/>
      <c r="I20" s="166">
        <v>32770</v>
      </c>
      <c r="J20" s="166"/>
      <c r="K20" s="166">
        <f>SUM(G20:I20)</f>
        <v>32770</v>
      </c>
      <c r="L20" s="166"/>
      <c r="M20" s="171">
        <f t="shared" si="0"/>
        <v>-967230</v>
      </c>
      <c r="N20" s="523"/>
    </row>
    <row r="21" spans="1:14" x14ac:dyDescent="0.2">
      <c r="A21" s="161"/>
      <c r="B21" s="161" t="s">
        <v>148</v>
      </c>
      <c r="C21" s="161"/>
      <c r="D21" s="161"/>
      <c r="E21" s="167">
        <v>30000</v>
      </c>
      <c r="F21" s="168"/>
      <c r="G21" s="167">
        <v>0</v>
      </c>
      <c r="H21" s="168"/>
      <c r="I21" s="167">
        <v>16700</v>
      </c>
      <c r="J21" s="168"/>
      <c r="K21" s="166">
        <f>SUM(G21:I21)</f>
        <v>16700</v>
      </c>
      <c r="L21" s="168"/>
      <c r="M21" s="171">
        <f t="shared" si="0"/>
        <v>-13300</v>
      </c>
      <c r="N21" s="523"/>
    </row>
    <row r="22" spans="1:14" x14ac:dyDescent="0.2">
      <c r="A22" s="161"/>
      <c r="B22" s="161"/>
      <c r="C22" s="161"/>
      <c r="D22" s="161" t="s">
        <v>150</v>
      </c>
      <c r="E22" s="169">
        <f>SUM(E13:E21)</f>
        <v>2580000</v>
      </c>
      <c r="F22" s="168"/>
      <c r="G22" s="169">
        <f>SUM(G13:G21)</f>
        <v>0</v>
      </c>
      <c r="H22" s="168"/>
      <c r="I22" s="169">
        <f>SUM(I13:I21)</f>
        <v>1059929</v>
      </c>
      <c r="J22" s="168"/>
      <c r="K22" s="173">
        <f>SUM(K13:K21)</f>
        <v>1059929</v>
      </c>
      <c r="L22" s="168"/>
      <c r="M22" s="172">
        <f t="shared" si="0"/>
        <v>-1520071</v>
      </c>
      <c r="N22" s="523"/>
    </row>
    <row r="23" spans="1:14" x14ac:dyDescent="0.2">
      <c r="A23" s="161"/>
      <c r="B23" s="161"/>
      <c r="C23" s="161"/>
      <c r="D23" s="161"/>
      <c r="E23" s="168"/>
      <c r="F23" s="168"/>
      <c r="G23" s="168"/>
      <c r="H23" s="168"/>
      <c r="I23" s="166"/>
      <c r="J23" s="168"/>
      <c r="K23" s="168"/>
      <c r="L23" s="168"/>
      <c r="M23" s="168"/>
      <c r="N23" s="505"/>
    </row>
    <row r="24" spans="1:14" x14ac:dyDescent="0.2">
      <c r="A24" s="163" t="s">
        <v>439</v>
      </c>
      <c r="B24" s="161"/>
      <c r="C24" s="161"/>
      <c r="D24" s="161"/>
      <c r="E24" s="168"/>
      <c r="F24" s="168"/>
      <c r="G24" s="168"/>
      <c r="H24" s="168"/>
      <c r="I24" s="166"/>
      <c r="J24" s="168"/>
      <c r="K24" s="168"/>
      <c r="L24" s="168"/>
      <c r="M24" s="168"/>
      <c r="N24" s="505"/>
    </row>
    <row r="25" spans="1:14" x14ac:dyDescent="0.2">
      <c r="A25" s="161"/>
      <c r="B25" s="629" t="s">
        <v>523</v>
      </c>
      <c r="C25" s="629"/>
      <c r="D25" s="629"/>
      <c r="E25" s="168"/>
      <c r="F25" s="168"/>
      <c r="G25" s="168"/>
      <c r="H25" s="168"/>
      <c r="I25" s="166"/>
      <c r="J25" s="168"/>
      <c r="K25" s="168"/>
      <c r="L25" s="168"/>
      <c r="M25" s="168"/>
      <c r="N25" s="505"/>
    </row>
    <row r="26" spans="1:14" x14ac:dyDescent="0.2">
      <c r="A26" s="161"/>
      <c r="B26" s="161"/>
      <c r="C26" s="161" t="s">
        <v>629</v>
      </c>
      <c r="D26" s="161"/>
      <c r="E26" s="166">
        <v>1553725</v>
      </c>
      <c r="F26" s="168"/>
      <c r="G26" s="166">
        <v>0</v>
      </c>
      <c r="H26" s="168"/>
      <c r="I26" s="166">
        <v>334200</v>
      </c>
      <c r="J26" s="168"/>
      <c r="K26" s="168">
        <v>334200</v>
      </c>
      <c r="L26" s="168"/>
      <c r="M26" s="168">
        <f>E26-K26</f>
        <v>1219525</v>
      </c>
      <c r="N26" s="524"/>
    </row>
    <row r="27" spans="1:14" x14ac:dyDescent="0.2">
      <c r="A27" s="161"/>
      <c r="B27" s="161"/>
      <c r="C27" s="161" t="s">
        <v>630</v>
      </c>
      <c r="D27" s="161"/>
      <c r="E27" s="166">
        <v>1745893</v>
      </c>
      <c r="F27" s="168"/>
      <c r="G27" s="166">
        <v>0</v>
      </c>
      <c r="H27" s="168"/>
      <c r="I27" s="166">
        <v>466000</v>
      </c>
      <c r="J27" s="168"/>
      <c r="K27" s="168">
        <v>466000</v>
      </c>
      <c r="L27" s="168"/>
      <c r="M27" s="168">
        <f>E27-K27</f>
        <v>1279893</v>
      </c>
      <c r="N27" s="524"/>
    </row>
    <row r="28" spans="1:14" x14ac:dyDescent="0.2">
      <c r="A28" s="161"/>
      <c r="B28" s="161"/>
      <c r="C28" s="161" t="s">
        <v>631</v>
      </c>
      <c r="D28" s="161"/>
      <c r="E28" s="166">
        <v>75000</v>
      </c>
      <c r="F28" s="168"/>
      <c r="G28" s="166">
        <v>0</v>
      </c>
      <c r="H28" s="168"/>
      <c r="I28" s="166">
        <v>5000</v>
      </c>
      <c r="J28" s="168"/>
      <c r="K28" s="168">
        <f>SUM(G28:I28)</f>
        <v>5000</v>
      </c>
      <c r="L28" s="168"/>
      <c r="M28" s="168">
        <f>E28-K28</f>
        <v>70000</v>
      </c>
      <c r="N28" s="524"/>
    </row>
    <row r="29" spans="1:14" x14ac:dyDescent="0.2">
      <c r="A29" s="161"/>
      <c r="B29" s="161"/>
      <c r="C29" s="161" t="s">
        <v>632</v>
      </c>
      <c r="D29" s="161"/>
      <c r="E29" s="167">
        <f>2838932-75000</f>
        <v>2763932</v>
      </c>
      <c r="F29" s="168"/>
      <c r="G29" s="167">
        <v>0</v>
      </c>
      <c r="H29" s="168"/>
      <c r="I29" s="167">
        <f>900400-5000</f>
        <v>895400</v>
      </c>
      <c r="J29" s="168"/>
      <c r="K29" s="169">
        <f>SUM(I29:J29)</f>
        <v>895400</v>
      </c>
      <c r="L29" s="168"/>
      <c r="M29" s="168">
        <f>E29-K29</f>
        <v>1868532</v>
      </c>
      <c r="N29" s="524"/>
    </row>
    <row r="30" spans="1:14" x14ac:dyDescent="0.2">
      <c r="A30" s="161"/>
      <c r="B30" s="161"/>
      <c r="C30" s="161"/>
      <c r="D30" s="161" t="s">
        <v>162</v>
      </c>
      <c r="E30" s="167">
        <f>SUM(E26:E29)</f>
        <v>6138550</v>
      </c>
      <c r="F30" s="168"/>
      <c r="G30" s="167">
        <f>SUM(G26:G29)</f>
        <v>0</v>
      </c>
      <c r="H30" s="168"/>
      <c r="I30" s="167">
        <f>SUM(I26:I29)</f>
        <v>1700600</v>
      </c>
      <c r="J30" s="168"/>
      <c r="K30" s="167">
        <f>SUM(K26:K29)</f>
        <v>1700600</v>
      </c>
      <c r="L30" s="168"/>
      <c r="M30" s="173">
        <f>E30-K30</f>
        <v>4437950</v>
      </c>
      <c r="N30" s="524"/>
    </row>
    <row r="31" spans="1:14" x14ac:dyDescent="0.2">
      <c r="A31" s="161"/>
      <c r="B31" s="161"/>
      <c r="C31" s="161"/>
      <c r="D31" s="161"/>
      <c r="E31" s="166"/>
      <c r="F31" s="168"/>
      <c r="G31" s="166"/>
      <c r="H31" s="168"/>
      <c r="I31" s="166"/>
      <c r="J31" s="168"/>
      <c r="K31" s="168"/>
      <c r="L31" s="168"/>
      <c r="M31" s="168"/>
      <c r="N31" s="505"/>
    </row>
    <row r="32" spans="1:14" x14ac:dyDescent="0.2">
      <c r="A32" s="161" t="s">
        <v>196</v>
      </c>
      <c r="B32" s="161"/>
      <c r="C32" s="161"/>
      <c r="D32" s="161"/>
      <c r="E32" s="167">
        <f>E22-E30</f>
        <v>-3558550</v>
      </c>
      <c r="F32" s="168"/>
      <c r="G32" s="167">
        <f>G22-G30</f>
        <v>0</v>
      </c>
      <c r="H32" s="168"/>
      <c r="I32" s="167">
        <f>I22-I30</f>
        <v>-640671</v>
      </c>
      <c r="J32" s="168"/>
      <c r="K32" s="167">
        <f>K22-K30</f>
        <v>-640671</v>
      </c>
      <c r="L32" s="168"/>
      <c r="M32" s="167">
        <f>+M30+M22</f>
        <v>2917879</v>
      </c>
      <c r="N32" s="505"/>
    </row>
    <row r="33" spans="1:14" x14ac:dyDescent="0.2">
      <c r="A33" s="161"/>
      <c r="B33" s="161"/>
      <c r="C33" s="161"/>
      <c r="D33" s="161"/>
      <c r="E33" s="166"/>
      <c r="F33" s="168"/>
      <c r="G33" s="166"/>
      <c r="H33" s="168"/>
      <c r="I33" s="166"/>
      <c r="J33" s="168"/>
      <c r="K33" s="168"/>
      <c r="L33" s="168"/>
      <c r="M33" s="168"/>
      <c r="N33" s="505"/>
    </row>
    <row r="34" spans="1:14" x14ac:dyDescent="0.2">
      <c r="A34" s="163" t="s">
        <v>543</v>
      </c>
      <c r="B34" s="161"/>
      <c r="C34" s="161"/>
      <c r="D34" s="161"/>
      <c r="E34" s="166"/>
      <c r="F34" s="168"/>
      <c r="G34" s="166"/>
      <c r="H34" s="168"/>
      <c r="I34" s="166"/>
      <c r="J34" s="168"/>
      <c r="K34" s="168"/>
      <c r="L34" s="168"/>
      <c r="M34" s="168"/>
      <c r="N34" s="505"/>
    </row>
    <row r="35" spans="1:14" ht="12.75" customHeight="1" x14ac:dyDescent="0.2">
      <c r="A35" s="161"/>
      <c r="B35" s="1134" t="s">
        <v>1042</v>
      </c>
      <c r="C35" s="1139"/>
      <c r="D35" s="1139"/>
      <c r="E35" s="166">
        <v>3518550</v>
      </c>
      <c r="F35" s="168"/>
      <c r="G35" s="166">
        <v>0</v>
      </c>
      <c r="H35" s="168"/>
      <c r="I35" s="166">
        <v>1200000</v>
      </c>
      <c r="J35" s="168"/>
      <c r="K35" s="168">
        <v>1200000</v>
      </c>
      <c r="L35" s="168"/>
      <c r="M35" s="168">
        <f>K35-E35</f>
        <v>-2318550</v>
      </c>
      <c r="N35" s="524"/>
    </row>
    <row r="36" spans="1:14" x14ac:dyDescent="0.2">
      <c r="A36" s="161"/>
      <c r="B36" s="161" t="s">
        <v>1008</v>
      </c>
      <c r="C36" s="161"/>
      <c r="D36" s="161"/>
      <c r="E36" s="166">
        <v>740000</v>
      </c>
      <c r="F36" s="168"/>
      <c r="G36" s="166">
        <v>0</v>
      </c>
      <c r="H36" s="168"/>
      <c r="I36" s="166">
        <v>70000</v>
      </c>
      <c r="J36" s="168"/>
      <c r="K36" s="168">
        <v>70000</v>
      </c>
      <c r="L36" s="168"/>
      <c r="M36" s="168">
        <f>K36-E36</f>
        <v>-670000</v>
      </c>
      <c r="N36" s="505"/>
    </row>
    <row r="37" spans="1:14" x14ac:dyDescent="0.2">
      <c r="A37" s="161"/>
      <c r="B37" s="161" t="s">
        <v>1011</v>
      </c>
      <c r="C37" s="161"/>
      <c r="D37" s="161"/>
      <c r="E37" s="167">
        <v>-700000</v>
      </c>
      <c r="F37" s="168"/>
      <c r="G37" s="167">
        <v>0</v>
      </c>
      <c r="H37" s="168"/>
      <c r="I37" s="167">
        <v>-619059</v>
      </c>
      <c r="J37" s="168"/>
      <c r="K37" s="169">
        <f>I37</f>
        <v>-619059</v>
      </c>
      <c r="L37" s="168"/>
      <c r="M37" s="169">
        <f>K37-E37</f>
        <v>80941</v>
      </c>
      <c r="N37" s="505"/>
    </row>
    <row r="38" spans="1:14" x14ac:dyDescent="0.2">
      <c r="A38" s="161"/>
      <c r="B38" s="161"/>
      <c r="C38" s="161"/>
      <c r="D38" s="161" t="s">
        <v>621</v>
      </c>
      <c r="E38" s="169">
        <f>SUM(E35:E37)</f>
        <v>3558550</v>
      </c>
      <c r="F38" s="168"/>
      <c r="G38" s="169">
        <f>SUM(G35:G37)</f>
        <v>0</v>
      </c>
      <c r="H38" s="168"/>
      <c r="I38" s="169">
        <f>SUM(I35:I37)</f>
        <v>650941</v>
      </c>
      <c r="J38" s="168"/>
      <c r="K38" s="169">
        <f>SUM(K35:K37)</f>
        <v>650941</v>
      </c>
      <c r="L38" s="168"/>
      <c r="M38" s="169">
        <f>K38-E38</f>
        <v>-2907609</v>
      </c>
      <c r="N38" s="505"/>
    </row>
    <row r="39" spans="1:14" x14ac:dyDescent="0.2">
      <c r="A39" s="161"/>
      <c r="B39" s="161"/>
      <c r="C39" s="161"/>
      <c r="D39" s="161"/>
      <c r="E39" s="168"/>
      <c r="F39" s="168"/>
      <c r="G39" s="168"/>
      <c r="H39" s="168"/>
      <c r="I39" s="166"/>
      <c r="J39" s="168"/>
      <c r="K39" s="168"/>
      <c r="L39" s="168"/>
      <c r="M39" s="168"/>
      <c r="N39" s="505"/>
    </row>
    <row r="40" spans="1:14" x14ac:dyDescent="0.2">
      <c r="B40" s="161"/>
      <c r="C40" s="161"/>
      <c r="D40" s="161"/>
      <c r="E40" s="168"/>
      <c r="F40" s="168"/>
      <c r="G40" s="168"/>
      <c r="H40" s="168"/>
      <c r="I40" s="166"/>
      <c r="J40" s="168"/>
      <c r="K40" s="168"/>
      <c r="L40" s="168"/>
      <c r="M40" s="168"/>
      <c r="N40" s="505"/>
    </row>
    <row r="41" spans="1:14" ht="12.75" customHeight="1" thickBot="1" x14ac:dyDescent="0.25">
      <c r="A41" s="1140" t="s">
        <v>1047</v>
      </c>
      <c r="B41" s="1140"/>
      <c r="C41" s="1140"/>
      <c r="D41" s="1140"/>
      <c r="E41" s="174">
        <f>E38+E32</f>
        <v>0</v>
      </c>
      <c r="F41" s="168"/>
      <c r="G41" s="174">
        <f>G38+G32</f>
        <v>0</v>
      </c>
      <c r="H41" s="161"/>
      <c r="I41" s="112">
        <f>I38+I32</f>
        <v>10270</v>
      </c>
      <c r="J41" s="161"/>
      <c r="K41" s="141">
        <f>K38+K32</f>
        <v>10270</v>
      </c>
      <c r="L41" s="161"/>
      <c r="M41" s="141">
        <f>M38+M32</f>
        <v>10270</v>
      </c>
      <c r="N41" s="505"/>
    </row>
    <row r="42" spans="1:14" ht="13.5" thickTop="1" x14ac:dyDescent="0.2">
      <c r="A42" s="161"/>
      <c r="B42" s="161"/>
      <c r="C42" s="161"/>
      <c r="D42" s="161"/>
      <c r="E42" s="161"/>
      <c r="F42" s="168"/>
      <c r="G42" s="161"/>
      <c r="H42" s="161"/>
      <c r="I42" s="112"/>
      <c r="J42" s="161"/>
      <c r="K42" s="161"/>
      <c r="L42" s="161"/>
      <c r="M42" s="161"/>
      <c r="N42" s="505"/>
    </row>
    <row r="43" spans="1:14" x14ac:dyDescent="0.2">
      <c r="A43" s="161" t="s">
        <v>1076</v>
      </c>
      <c r="B43" s="161"/>
      <c r="C43" s="161"/>
      <c r="D43" s="161"/>
      <c r="E43" s="161"/>
      <c r="F43" s="161"/>
      <c r="G43" s="161"/>
      <c r="H43" s="161"/>
      <c r="I43" s="847">
        <v>0</v>
      </c>
      <c r="J43" s="161"/>
      <c r="K43" s="161"/>
      <c r="L43" s="161"/>
      <c r="M43" s="161"/>
      <c r="N43" s="524"/>
    </row>
    <row r="44" spans="1:14" ht="13.5" thickBot="1" x14ac:dyDescent="0.25">
      <c r="A44" s="161" t="s">
        <v>1083</v>
      </c>
      <c r="B44" s="161"/>
      <c r="C44" s="161"/>
      <c r="D44" s="161"/>
      <c r="E44" s="161"/>
      <c r="F44" s="161"/>
      <c r="G44" s="161"/>
      <c r="H44" s="161"/>
      <c r="I44" s="141">
        <f>I41+I43</f>
        <v>10270</v>
      </c>
      <c r="J44" s="161"/>
      <c r="K44" s="161"/>
      <c r="L44" s="161"/>
      <c r="N44" s="505"/>
    </row>
    <row r="45" spans="1:14" ht="13.5" thickTop="1" x14ac:dyDescent="0.2"/>
    <row r="46" spans="1:14" x14ac:dyDescent="0.2">
      <c r="A46" s="469"/>
      <c r="B46" s="161"/>
      <c r="C46" s="161"/>
      <c r="D46" s="161"/>
      <c r="E46" s="161"/>
      <c r="F46" s="161"/>
      <c r="G46" s="161"/>
      <c r="H46" s="161"/>
      <c r="I46" s="170"/>
      <c r="J46" s="161"/>
      <c r="K46" s="161"/>
      <c r="L46" s="161"/>
      <c r="M46" s="322" t="s">
        <v>277</v>
      </c>
      <c r="N46" s="505"/>
    </row>
    <row r="47" spans="1:14" x14ac:dyDescent="0.2">
      <c r="A47" s="469"/>
      <c r="B47" s="161"/>
      <c r="C47" s="161"/>
      <c r="D47" s="161"/>
      <c r="E47" s="161"/>
      <c r="F47" s="161"/>
      <c r="G47" s="161"/>
      <c r="H47" s="161"/>
      <c r="I47" s="170"/>
      <c r="J47" s="161"/>
      <c r="K47" s="161"/>
      <c r="L47" s="161"/>
      <c r="M47" s="161"/>
    </row>
    <row r="48" spans="1:14" x14ac:dyDescent="0.2">
      <c r="A48" s="1136" t="s">
        <v>0</v>
      </c>
      <c r="B48" s="1136"/>
      <c r="C48" s="1136"/>
      <c r="D48" s="1136"/>
      <c r="E48" s="1136"/>
      <c r="F48" s="1136"/>
      <c r="G48" s="1136"/>
      <c r="H48" s="1136"/>
      <c r="I48" s="1136"/>
      <c r="J48" s="1136"/>
      <c r="K48" s="1136"/>
      <c r="L48" s="1136"/>
      <c r="M48" s="1136"/>
    </row>
    <row r="49" spans="1:13" ht="12.75" customHeight="1" x14ac:dyDescent="0.2">
      <c r="A49" s="1136" t="s">
        <v>533</v>
      </c>
      <c r="B49" s="1136"/>
      <c r="C49" s="1136"/>
      <c r="D49" s="1136"/>
      <c r="E49" s="1136"/>
      <c r="F49" s="1136"/>
      <c r="G49" s="1136"/>
      <c r="H49" s="1136"/>
      <c r="I49" s="1136"/>
      <c r="J49" s="1136"/>
      <c r="K49" s="1136"/>
      <c r="L49" s="1136"/>
      <c r="M49" s="1136"/>
    </row>
    <row r="50" spans="1:13" x14ac:dyDescent="0.2">
      <c r="A50" s="1136" t="s">
        <v>397</v>
      </c>
      <c r="B50" s="1136"/>
      <c r="C50" s="1136"/>
      <c r="D50" s="1136"/>
      <c r="E50" s="1136"/>
      <c r="F50" s="1136"/>
      <c r="G50" s="1136"/>
      <c r="H50" s="1136"/>
      <c r="I50" s="1136"/>
      <c r="J50" s="1136"/>
      <c r="K50" s="1136"/>
      <c r="L50" s="1136"/>
      <c r="M50" s="1136"/>
    </row>
    <row r="51" spans="1:13" x14ac:dyDescent="0.2">
      <c r="A51" s="1136" t="s">
        <v>398</v>
      </c>
      <c r="B51" s="1136"/>
      <c r="C51" s="1136"/>
      <c r="D51" s="1136"/>
      <c r="E51" s="1136"/>
      <c r="F51" s="1136"/>
      <c r="G51" s="1136"/>
      <c r="H51" s="1136"/>
      <c r="I51" s="1136"/>
      <c r="J51" s="1136"/>
      <c r="K51" s="1136"/>
      <c r="L51" s="1136"/>
      <c r="M51" s="1136"/>
    </row>
    <row r="52" spans="1:13" x14ac:dyDescent="0.2">
      <c r="A52" s="1137" t="str">
        <f>A5</f>
        <v>From Inception and for the Fiscal Year Ended June 30, 2025</v>
      </c>
      <c r="B52" s="1137"/>
      <c r="C52" s="1137"/>
      <c r="D52" s="1137"/>
      <c r="E52" s="1137"/>
      <c r="F52" s="1137"/>
      <c r="G52" s="1137"/>
      <c r="H52" s="1137"/>
      <c r="I52" s="1137"/>
      <c r="J52" s="1137"/>
      <c r="K52" s="1137"/>
      <c r="L52" s="1137"/>
      <c r="M52" s="1137"/>
    </row>
    <row r="53" spans="1:13" x14ac:dyDescent="0.2">
      <c r="A53" s="470"/>
      <c r="B53" s="470"/>
      <c r="C53" s="470"/>
      <c r="D53" s="470"/>
      <c r="E53" s="470"/>
      <c r="F53" s="470"/>
      <c r="G53" s="470"/>
      <c r="H53" s="470"/>
      <c r="I53" s="470"/>
      <c r="J53" s="470"/>
      <c r="K53" s="470"/>
      <c r="L53" s="470"/>
      <c r="M53" s="470"/>
    </row>
    <row r="54" spans="1:13" x14ac:dyDescent="0.2">
      <c r="A54" s="470"/>
      <c r="B54" s="470"/>
      <c r="C54" s="470"/>
      <c r="D54" s="470"/>
      <c r="E54" s="470"/>
      <c r="F54" s="470"/>
      <c r="G54" s="470"/>
      <c r="H54" s="470"/>
      <c r="I54" s="470"/>
      <c r="J54" s="470"/>
      <c r="K54" s="470"/>
      <c r="L54" s="470"/>
      <c r="M54" s="470"/>
    </row>
    <row r="55" spans="1:13" ht="13.5" thickBot="1" x14ac:dyDescent="0.25">
      <c r="A55" s="733"/>
      <c r="B55" s="733"/>
      <c r="C55" s="733"/>
      <c r="D55" s="733"/>
      <c r="E55" s="733"/>
      <c r="F55" s="733"/>
      <c r="G55" s="733"/>
      <c r="H55" s="733"/>
      <c r="I55" s="733"/>
      <c r="J55" s="733"/>
      <c r="K55" s="733"/>
      <c r="L55" s="733"/>
      <c r="M55" s="733"/>
    </row>
    <row r="56" spans="1:13" x14ac:dyDescent="0.2">
      <c r="A56" s="470"/>
      <c r="B56" s="470"/>
      <c r="C56" s="470"/>
      <c r="D56" s="470"/>
      <c r="E56" s="470"/>
      <c r="F56" s="470"/>
      <c r="G56" s="470"/>
      <c r="H56" s="470"/>
      <c r="I56" s="470"/>
      <c r="J56" s="470"/>
      <c r="K56" s="470"/>
      <c r="L56" s="470"/>
      <c r="M56" s="281"/>
    </row>
    <row r="57" spans="1:13" ht="13.5" customHeight="1" x14ac:dyDescent="0.2">
      <c r="A57" s="1138" t="s">
        <v>1088</v>
      </c>
      <c r="B57" s="1138"/>
      <c r="C57" s="1138"/>
      <c r="D57" s="1138"/>
      <c r="E57" s="1138"/>
      <c r="F57" s="470"/>
      <c r="G57" s="470"/>
      <c r="H57" s="470"/>
      <c r="I57" s="170">
        <f>I44</f>
        <v>10270</v>
      </c>
      <c r="J57" s="470"/>
      <c r="K57" s="470"/>
      <c r="L57" s="470"/>
      <c r="M57" s="470"/>
    </row>
    <row r="58" spans="1:13" ht="25.5" customHeight="1" x14ac:dyDescent="0.2">
      <c r="A58" s="1134" t="s">
        <v>1084</v>
      </c>
      <c r="B58" s="1135"/>
      <c r="C58" s="1135"/>
      <c r="D58" s="1135"/>
      <c r="E58" s="1135"/>
      <c r="F58" s="1135"/>
      <c r="G58" s="1135"/>
      <c r="H58" s="161"/>
      <c r="I58" s="161"/>
      <c r="J58" s="505"/>
      <c r="K58" s="505"/>
      <c r="L58" s="505"/>
      <c r="M58" s="505"/>
    </row>
    <row r="59" spans="1:13" x14ac:dyDescent="0.2">
      <c r="A59" s="161"/>
      <c r="B59" s="161" t="s">
        <v>148</v>
      </c>
      <c r="C59" s="161"/>
      <c r="D59" s="161"/>
      <c r="E59" s="161"/>
      <c r="F59" s="161"/>
      <c r="G59" s="112"/>
      <c r="H59" s="112"/>
      <c r="I59" s="112">
        <v>21550</v>
      </c>
      <c r="J59" s="505"/>
      <c r="K59" s="505"/>
      <c r="L59" s="505"/>
      <c r="M59" s="505"/>
    </row>
    <row r="60" spans="1:13" ht="12.75" customHeight="1" x14ac:dyDescent="0.2">
      <c r="A60" s="161"/>
      <c r="B60" s="629" t="s">
        <v>1008</v>
      </c>
      <c r="C60" s="629"/>
      <c r="D60" s="629"/>
      <c r="E60" s="161"/>
      <c r="F60" s="161"/>
      <c r="G60" s="112"/>
      <c r="H60" s="112"/>
      <c r="I60" s="112">
        <v>200000</v>
      </c>
      <c r="J60" s="505"/>
      <c r="K60" s="505"/>
      <c r="L60" s="505"/>
      <c r="M60" s="505"/>
    </row>
    <row r="61" spans="1:13" x14ac:dyDescent="0.2">
      <c r="A61" s="161" t="s">
        <v>1089</v>
      </c>
      <c r="B61" s="161"/>
      <c r="C61" s="161"/>
      <c r="D61" s="161"/>
      <c r="E61" s="161"/>
      <c r="F61" s="161"/>
      <c r="G61" s="112"/>
      <c r="H61" s="112"/>
      <c r="I61" s="697">
        <v>337000</v>
      </c>
      <c r="J61" s="505"/>
      <c r="K61" s="505"/>
      <c r="L61" s="505"/>
      <c r="M61" s="505"/>
    </row>
    <row r="62" spans="1:13" ht="13.5" thickBot="1" x14ac:dyDescent="0.25">
      <c r="A62" s="161" t="s">
        <v>1090</v>
      </c>
      <c r="B62" s="161"/>
      <c r="C62" s="161"/>
      <c r="D62" s="161"/>
      <c r="E62" s="161"/>
      <c r="F62" s="161"/>
      <c r="G62" s="112"/>
      <c r="H62" s="112"/>
      <c r="I62" s="141">
        <f>I61+I60+I59+I44</f>
        <v>568820</v>
      </c>
      <c r="J62" s="505"/>
      <c r="K62" s="505"/>
      <c r="L62" s="505"/>
      <c r="M62" s="505"/>
    </row>
    <row r="63" spans="1:13" ht="13.5" thickTop="1" x14ac:dyDescent="0.2">
      <c r="A63" s="161"/>
      <c r="B63" s="161"/>
      <c r="C63" s="161"/>
      <c r="D63" s="161"/>
      <c r="E63" s="161"/>
      <c r="F63" s="161"/>
      <c r="G63" s="112"/>
      <c r="H63" s="112"/>
      <c r="I63" s="388"/>
      <c r="J63" s="505"/>
      <c r="K63" s="506"/>
      <c r="L63" s="505"/>
      <c r="M63" s="505"/>
    </row>
    <row r="64" spans="1:13" x14ac:dyDescent="0.2">
      <c r="A64" s="505"/>
      <c r="B64" s="505"/>
      <c r="C64" s="505"/>
      <c r="D64" s="505"/>
      <c r="E64" s="505"/>
      <c r="F64" s="505"/>
      <c r="G64" s="505"/>
      <c r="H64" s="505"/>
      <c r="I64" s="505"/>
      <c r="J64" s="505"/>
      <c r="K64" s="505"/>
      <c r="L64" s="505"/>
      <c r="M64" s="505"/>
    </row>
    <row r="65" spans="1:13" ht="13.5" thickBot="1" x14ac:dyDescent="0.25">
      <c r="A65" s="505"/>
      <c r="B65" s="505"/>
      <c r="C65" s="505"/>
      <c r="D65" s="505"/>
      <c r="E65" s="505"/>
      <c r="F65" s="505"/>
      <c r="G65" s="505"/>
      <c r="H65" s="505"/>
      <c r="I65" s="505"/>
      <c r="J65" s="505"/>
      <c r="K65" s="505"/>
      <c r="L65" s="505"/>
      <c r="M65" s="505"/>
    </row>
    <row r="66" spans="1:13" ht="15" customHeight="1" x14ac:dyDescent="0.2">
      <c r="B66" s="1124" t="s">
        <v>634</v>
      </c>
      <c r="C66" s="1125"/>
      <c r="D66" s="1125"/>
      <c r="E66" s="1125"/>
      <c r="F66" s="1125"/>
      <c r="G66" s="1125"/>
      <c r="H66" s="1125"/>
      <c r="I66" s="1125"/>
      <c r="J66" s="1125"/>
      <c r="K66" s="1125"/>
      <c r="L66" s="1125"/>
      <c r="M66" s="1126"/>
    </row>
    <row r="67" spans="1:13" ht="15" customHeight="1" x14ac:dyDescent="0.2">
      <c r="B67" s="1127"/>
      <c r="C67" s="1128"/>
      <c r="D67" s="1128"/>
      <c r="E67" s="1128"/>
      <c r="F67" s="1128"/>
      <c r="G67" s="1128"/>
      <c r="H67" s="1128"/>
      <c r="I67" s="1128"/>
      <c r="J67" s="1128"/>
      <c r="K67" s="1128"/>
      <c r="L67" s="1128"/>
      <c r="M67" s="1129"/>
    </row>
    <row r="68" spans="1:13" ht="15" customHeight="1" x14ac:dyDescent="0.2">
      <c r="B68" s="1127"/>
      <c r="C68" s="1128"/>
      <c r="D68" s="1128"/>
      <c r="E68" s="1128"/>
      <c r="F68" s="1128"/>
      <c r="G68" s="1128"/>
      <c r="H68" s="1128"/>
      <c r="I68" s="1128"/>
      <c r="J68" s="1128"/>
      <c r="K68" s="1128"/>
      <c r="L68" s="1128"/>
      <c r="M68" s="1129"/>
    </row>
    <row r="69" spans="1:13" ht="15" customHeight="1" x14ac:dyDescent="0.2">
      <c r="B69" s="1127"/>
      <c r="C69" s="1128"/>
      <c r="D69" s="1128"/>
      <c r="E69" s="1128"/>
      <c r="F69" s="1128"/>
      <c r="G69" s="1128"/>
      <c r="H69" s="1128"/>
      <c r="I69" s="1128"/>
      <c r="J69" s="1128"/>
      <c r="K69" s="1128"/>
      <c r="L69" s="1128"/>
      <c r="M69" s="1129"/>
    </row>
    <row r="70" spans="1:13" ht="13.5" thickBot="1" x14ac:dyDescent="0.25">
      <c r="B70" s="1130"/>
      <c r="C70" s="1131"/>
      <c r="D70" s="1131"/>
      <c r="E70" s="1131"/>
      <c r="F70" s="1131"/>
      <c r="G70" s="1131"/>
      <c r="H70" s="1131"/>
      <c r="I70" s="1131"/>
      <c r="J70" s="1131"/>
      <c r="K70" s="1131"/>
      <c r="L70" s="1131"/>
      <c r="M70" s="1132"/>
    </row>
    <row r="82" spans="7:7" x14ac:dyDescent="0.2">
      <c r="G82" s="468"/>
    </row>
  </sheetData>
  <customSheetViews>
    <customSheetView guid="{E0C60316-4586-4AAF-92CB-FA82BB1EB755}" fitToPage="1" topLeftCell="A13">
      <selection sqref="A1:M1"/>
      <rowBreaks count="1" manualBreakCount="1">
        <brk id="49" max="16383" man="1"/>
      </rowBreaks>
      <pageMargins left="0" right="0" top="0" bottom="0" header="0" footer="0"/>
      <printOptions horizontalCentered="1"/>
      <pageSetup firstPageNumber="119" fitToHeight="0" orientation="portrait" useFirstPageNumber="1" r:id="rId1"/>
      <headerFooter alignWithMargins="0"/>
    </customSheetView>
    <customSheetView guid="{A8748736-0722-49EB-85B6-C9B52DDCFE0E}" fitToPage="1">
      <selection activeCell="A5" sqref="A5:M5"/>
      <rowBreaks count="1" manualBreakCount="1">
        <brk id="49" max="16383" man="1"/>
      </rowBreaks>
      <pageMargins left="0.75" right="0.75" top="1" bottom="1" header="0.5" footer="0.5"/>
      <printOptions horizontalCentered="1"/>
      <pageSetup firstPageNumber="119" fitToHeight="0" orientation="portrait" useFirstPageNumber="1" r:id="rId2"/>
      <headerFooter alignWithMargins="0"/>
    </customSheetView>
  </customSheetViews>
  <mergeCells count="16">
    <mergeCell ref="A1:M1"/>
    <mergeCell ref="A2:M2"/>
    <mergeCell ref="A3:M3"/>
    <mergeCell ref="A4:M4"/>
    <mergeCell ref="A5:M5"/>
    <mergeCell ref="B66:M70"/>
    <mergeCell ref="A8:M8"/>
    <mergeCell ref="A58:G58"/>
    <mergeCell ref="A48:M48"/>
    <mergeCell ref="A49:M49"/>
    <mergeCell ref="A50:M50"/>
    <mergeCell ref="A51:M51"/>
    <mergeCell ref="A52:M52"/>
    <mergeCell ref="A57:E57"/>
    <mergeCell ref="B35:D35"/>
    <mergeCell ref="A41:D41"/>
  </mergeCells>
  <printOptions horizontalCentered="1"/>
  <pageMargins left="0.75" right="0.75" top="1" bottom="1" header="0.5" footer="0.5"/>
  <pageSetup scale="97" firstPageNumber="119" fitToHeight="0" orientation="portrait" useFirstPageNumber="1" r:id="rId3"/>
  <headerFooter alignWithMargins="0"/>
  <rowBreaks count="1" manualBreakCount="1">
    <brk id="47"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7" tint="0.39997558519241921"/>
    <pageSetUpPr fitToPage="1"/>
  </sheetPr>
  <dimension ref="A1:N35"/>
  <sheetViews>
    <sheetView workbookViewId="0">
      <selection activeCell="D7" sqref="D7"/>
    </sheetView>
  </sheetViews>
  <sheetFormatPr defaultColWidth="9.140625" defaultRowHeight="12.75" x14ac:dyDescent="0.2"/>
  <cols>
    <col min="1" max="1" width="2.42578125" style="63" customWidth="1"/>
    <col min="2" max="2" width="3.42578125" style="63" customWidth="1"/>
    <col min="3" max="3" width="2" style="63" customWidth="1"/>
    <col min="4" max="4" width="18.5703125" style="63" customWidth="1"/>
    <col min="5" max="5" width="1.85546875" style="63" bestFit="1" customWidth="1"/>
    <col min="6" max="6" width="10.7109375" style="63" customWidth="1"/>
    <col min="7" max="7" width="1.85546875" style="63" bestFit="1" customWidth="1"/>
    <col min="8" max="8" width="10.7109375" style="63" customWidth="1"/>
    <col min="9" max="9" width="2" style="63" customWidth="1"/>
    <col min="10" max="10" width="10.7109375" style="63" customWidth="1"/>
    <col min="11" max="11" width="1.85546875" style="63" bestFit="1" customWidth="1"/>
    <col min="12" max="12" width="10.7109375" style="63" customWidth="1"/>
    <col min="13" max="13" width="1.85546875" style="63" bestFit="1" customWidth="1"/>
    <col min="14" max="14" width="10.7109375" style="63" customWidth="1"/>
    <col min="15" max="16384" width="9.140625" style="63"/>
  </cols>
  <sheetData>
    <row r="1" spans="1:14" x14ac:dyDescent="0.2">
      <c r="A1" s="1136" t="s">
        <v>0</v>
      </c>
      <c r="B1" s="1136"/>
      <c r="C1" s="1136"/>
      <c r="D1" s="1136"/>
      <c r="E1" s="1136"/>
      <c r="F1" s="1136"/>
      <c r="G1" s="1136"/>
      <c r="H1" s="1136"/>
      <c r="I1" s="1136"/>
      <c r="J1" s="1136"/>
      <c r="K1" s="1136"/>
      <c r="L1" s="1136"/>
      <c r="M1" s="1136"/>
      <c r="N1" s="1136"/>
    </row>
    <row r="2" spans="1:14" x14ac:dyDescent="0.2">
      <c r="A2" s="1136" t="s">
        <v>536</v>
      </c>
      <c r="B2" s="1136"/>
      <c r="C2" s="1136"/>
      <c r="D2" s="1136"/>
      <c r="E2" s="1136"/>
      <c r="F2" s="1136"/>
      <c r="G2" s="1136"/>
      <c r="H2" s="1136"/>
      <c r="I2" s="1136"/>
      <c r="J2" s="1136"/>
      <c r="K2" s="1136"/>
      <c r="L2" s="1136"/>
      <c r="M2" s="1136"/>
      <c r="N2" s="1136"/>
    </row>
    <row r="3" spans="1:14" x14ac:dyDescent="0.2">
      <c r="A3" s="1136" t="s">
        <v>397</v>
      </c>
      <c r="B3" s="1136"/>
      <c r="C3" s="1136"/>
      <c r="D3" s="1136"/>
      <c r="E3" s="1136"/>
      <c r="F3" s="1136"/>
      <c r="G3" s="1136"/>
      <c r="H3" s="1136"/>
      <c r="I3" s="1136"/>
      <c r="J3" s="1136"/>
      <c r="K3" s="1136"/>
      <c r="L3" s="1136"/>
      <c r="M3" s="1136"/>
      <c r="N3" s="1136"/>
    </row>
    <row r="4" spans="1:14" x14ac:dyDescent="0.2">
      <c r="A4" s="1136" t="s">
        <v>398</v>
      </c>
      <c r="B4" s="1136"/>
      <c r="C4" s="1136"/>
      <c r="D4" s="1136"/>
      <c r="E4" s="1136"/>
      <c r="F4" s="1136"/>
      <c r="G4" s="1136"/>
      <c r="H4" s="1136"/>
      <c r="I4" s="1136"/>
      <c r="J4" s="1136"/>
      <c r="K4" s="1136"/>
      <c r="L4" s="1136"/>
      <c r="M4" s="1136"/>
      <c r="N4" s="1136"/>
    </row>
    <row r="5" spans="1:14" x14ac:dyDescent="0.2">
      <c r="A5" s="1136" t="str">
        <f>'SR-BA7 (Opioid)Multi Yr'!A5</f>
        <v>From Inception and for the Fiscal Year Ended June 30, 2025</v>
      </c>
      <c r="B5" s="1136"/>
      <c r="C5" s="1136"/>
      <c r="D5" s="1136"/>
      <c r="E5" s="1136"/>
      <c r="F5" s="1136"/>
      <c r="G5" s="1136"/>
      <c r="H5" s="1136"/>
      <c r="I5" s="1136"/>
      <c r="J5" s="1136"/>
      <c r="K5" s="1136"/>
      <c r="L5" s="1136"/>
      <c r="M5" s="1136"/>
      <c r="N5" s="1136"/>
    </row>
    <row r="6" spans="1:14" x14ac:dyDescent="0.2">
      <c r="A6" s="672"/>
      <c r="B6" s="672"/>
      <c r="C6" s="672"/>
      <c r="D6" s="672"/>
      <c r="E6" s="672"/>
      <c r="F6" s="672"/>
      <c r="G6" s="672"/>
      <c r="H6" s="672"/>
      <c r="I6" s="672"/>
      <c r="J6" s="672"/>
      <c r="K6" s="672"/>
      <c r="L6" s="672"/>
      <c r="M6" s="672"/>
      <c r="N6" s="672"/>
    </row>
    <row r="7" spans="1:14" x14ac:dyDescent="0.2">
      <c r="A7" s="672"/>
      <c r="B7" s="672"/>
      <c r="C7" s="672"/>
      <c r="D7" s="672"/>
      <c r="E7" s="672"/>
      <c r="F7" s="672"/>
      <c r="G7" s="672"/>
      <c r="H7" s="672"/>
      <c r="I7" s="672"/>
      <c r="J7" s="672"/>
      <c r="K7" s="672"/>
      <c r="L7" s="672"/>
      <c r="M7" s="672"/>
      <c r="N7" s="672"/>
    </row>
    <row r="8" spans="1:14" ht="13.5" thickBot="1" x14ac:dyDescent="0.25">
      <c r="A8" s="176"/>
      <c r="B8" s="176"/>
      <c r="C8" s="176"/>
      <c r="D8" s="176"/>
      <c r="E8" s="176"/>
      <c r="F8" s="176"/>
      <c r="G8" s="177"/>
      <c r="H8" s="177"/>
      <c r="I8" s="177"/>
      <c r="J8" s="177"/>
      <c r="K8" s="177"/>
      <c r="L8" s="178"/>
      <c r="M8" s="178"/>
      <c r="N8" s="178"/>
    </row>
    <row r="9" spans="1:14" x14ac:dyDescent="0.2">
      <c r="A9" s="179"/>
      <c r="B9" s="179"/>
      <c r="C9" s="179"/>
      <c r="D9" s="179"/>
      <c r="E9" s="179"/>
      <c r="F9" s="179"/>
      <c r="G9" s="180"/>
      <c r="H9" s="180"/>
      <c r="I9" s="180"/>
      <c r="J9" s="180"/>
      <c r="K9" s="180"/>
      <c r="L9" s="181"/>
      <c r="M9" s="161"/>
      <c r="N9" s="161"/>
    </row>
    <row r="10" spans="1:14" x14ac:dyDescent="0.2">
      <c r="A10" s="112"/>
      <c r="B10" s="112"/>
      <c r="C10" s="112"/>
      <c r="D10" s="112"/>
      <c r="E10" s="112"/>
      <c r="F10" s="115" t="s">
        <v>622</v>
      </c>
      <c r="G10" s="161"/>
      <c r="H10" s="1150" t="s">
        <v>191</v>
      </c>
      <c r="I10" s="1150"/>
      <c r="J10" s="1150"/>
      <c r="K10" s="1150"/>
      <c r="L10" s="1150"/>
      <c r="M10" s="161"/>
      <c r="N10" s="160" t="s">
        <v>187</v>
      </c>
    </row>
    <row r="11" spans="1:14" x14ac:dyDescent="0.2">
      <c r="A11" s="112"/>
      <c r="B11" s="112"/>
      <c r="C11" s="112"/>
      <c r="D11" s="112"/>
      <c r="E11" s="112"/>
      <c r="F11" s="160" t="s">
        <v>623</v>
      </c>
      <c r="G11" s="161"/>
      <c r="H11" s="160" t="s">
        <v>602</v>
      </c>
      <c r="I11" s="161"/>
      <c r="J11" s="160" t="s">
        <v>603</v>
      </c>
      <c r="K11" s="161"/>
      <c r="L11" s="160" t="s">
        <v>604</v>
      </c>
      <c r="M11" s="161"/>
      <c r="N11" s="813" t="s">
        <v>1053</v>
      </c>
    </row>
    <row r="12" spans="1:14" x14ac:dyDescent="0.2">
      <c r="A12" s="112"/>
      <c r="B12" s="112"/>
      <c r="C12" s="112"/>
      <c r="D12" s="112"/>
      <c r="E12" s="112"/>
      <c r="F12" s="175" t="s">
        <v>624</v>
      </c>
      <c r="G12" s="161"/>
      <c r="H12" s="471" t="s">
        <v>605</v>
      </c>
      <c r="I12" s="161"/>
      <c r="J12" s="471" t="s">
        <v>606</v>
      </c>
      <c r="K12" s="161"/>
      <c r="L12" s="182" t="s">
        <v>607</v>
      </c>
      <c r="M12" s="161"/>
      <c r="N12" s="814" t="s">
        <v>1054</v>
      </c>
    </row>
    <row r="13" spans="1:14" x14ac:dyDescent="0.2">
      <c r="A13" s="715" t="s">
        <v>192</v>
      </c>
      <c r="B13" s="161"/>
      <c r="C13" s="112"/>
      <c r="D13" s="112"/>
      <c r="E13" s="112"/>
      <c r="F13" s="112"/>
      <c r="G13" s="161"/>
      <c r="H13" s="161"/>
      <c r="I13" s="161"/>
      <c r="J13" s="160" t="s">
        <v>112</v>
      </c>
      <c r="K13" s="161"/>
      <c r="L13" s="183"/>
      <c r="M13" s="161"/>
      <c r="N13" s="161"/>
    </row>
    <row r="14" spans="1:14" x14ac:dyDescent="0.2">
      <c r="A14" s="112"/>
      <c r="B14" s="469" t="s">
        <v>633</v>
      </c>
      <c r="C14" s="469"/>
      <c r="D14" s="112"/>
      <c r="E14" s="184"/>
      <c r="F14" s="185">
        <v>100000</v>
      </c>
      <c r="G14" s="186"/>
      <c r="H14" s="185">
        <v>10000</v>
      </c>
      <c r="I14" s="187"/>
      <c r="J14" s="185">
        <v>21550</v>
      </c>
      <c r="K14" s="187"/>
      <c r="L14" s="185">
        <f>SUM(H14:J14)</f>
        <v>31550</v>
      </c>
      <c r="M14" s="187"/>
      <c r="N14" s="185">
        <f>+L14-F14</f>
        <v>-68450</v>
      </c>
    </row>
    <row r="15" spans="1:14" x14ac:dyDescent="0.2">
      <c r="A15" s="505"/>
      <c r="B15" s="505"/>
      <c r="C15" s="505"/>
      <c r="D15" s="505"/>
      <c r="E15" s="469"/>
      <c r="F15" s="112"/>
      <c r="G15" s="161"/>
      <c r="H15" s="161"/>
      <c r="I15" s="161"/>
      <c r="J15" s="161"/>
      <c r="K15" s="161"/>
      <c r="L15" s="183"/>
      <c r="M15" s="161"/>
      <c r="N15" s="161"/>
    </row>
    <row r="16" spans="1:14" x14ac:dyDescent="0.2">
      <c r="A16" s="715" t="s">
        <v>197</v>
      </c>
      <c r="B16" s="112"/>
      <c r="C16" s="112"/>
      <c r="D16" s="112"/>
      <c r="E16" s="112"/>
      <c r="F16" s="135"/>
      <c r="G16" s="135"/>
      <c r="H16" s="135"/>
      <c r="I16" s="135"/>
      <c r="J16" s="135"/>
      <c r="K16" s="135"/>
      <c r="L16" s="135"/>
      <c r="M16" s="135"/>
      <c r="N16" s="135"/>
    </row>
    <row r="17" spans="1:14" x14ac:dyDescent="0.2">
      <c r="A17" s="161"/>
      <c r="B17" s="469" t="s">
        <v>635</v>
      </c>
      <c r="C17" s="112"/>
      <c r="D17" s="112"/>
      <c r="E17" s="112"/>
      <c r="F17" s="135"/>
      <c r="G17" s="135"/>
      <c r="H17" s="135"/>
      <c r="I17" s="135"/>
      <c r="J17" s="135"/>
      <c r="K17" s="135"/>
      <c r="L17" s="135"/>
      <c r="M17" s="135"/>
      <c r="N17" s="135"/>
    </row>
    <row r="18" spans="1:14" x14ac:dyDescent="0.2">
      <c r="A18" s="161"/>
      <c r="B18" s="469"/>
      <c r="C18" s="112" t="s">
        <v>140</v>
      </c>
      <c r="D18" s="469"/>
      <c r="E18" s="112"/>
      <c r="F18" s="135">
        <v>1000000</v>
      </c>
      <c r="G18" s="135"/>
      <c r="H18" s="135">
        <v>327000</v>
      </c>
      <c r="I18" s="135"/>
      <c r="J18" s="135">
        <v>200000</v>
      </c>
      <c r="K18" s="135"/>
      <c r="L18" s="139">
        <f>SUM(H18:J18)</f>
        <v>527000</v>
      </c>
      <c r="M18" s="139"/>
      <c r="N18" s="139">
        <f>+L18-F18</f>
        <v>-473000</v>
      </c>
    </row>
    <row r="19" spans="1:14" x14ac:dyDescent="0.2">
      <c r="A19" s="469" t="s">
        <v>112</v>
      </c>
      <c r="B19" s="469" t="s">
        <v>636</v>
      </c>
      <c r="C19" s="161"/>
      <c r="D19" s="161"/>
      <c r="E19" s="112"/>
      <c r="F19" s="135"/>
      <c r="G19" s="135"/>
      <c r="H19" s="135"/>
      <c r="I19" s="135"/>
      <c r="J19" s="135"/>
      <c r="K19" s="135"/>
      <c r="L19" s="135"/>
      <c r="M19" s="135"/>
      <c r="N19" s="135"/>
    </row>
    <row r="20" spans="1:14" x14ac:dyDescent="0.2">
      <c r="A20" s="161"/>
      <c r="B20" s="161"/>
      <c r="C20" s="161" t="s">
        <v>637</v>
      </c>
      <c r="D20" s="161"/>
      <c r="E20" s="112"/>
      <c r="F20" s="140">
        <v>-1100000</v>
      </c>
      <c r="G20" s="135"/>
      <c r="H20" s="140">
        <v>0</v>
      </c>
      <c r="I20" s="135"/>
      <c r="J20" s="140">
        <v>0</v>
      </c>
      <c r="K20" s="135"/>
      <c r="L20" s="140">
        <v>0</v>
      </c>
      <c r="M20" s="135"/>
      <c r="N20" s="140">
        <f>+L20-F20</f>
        <v>1100000</v>
      </c>
    </row>
    <row r="21" spans="1:14" x14ac:dyDescent="0.2">
      <c r="A21" s="469" t="s">
        <v>112</v>
      </c>
      <c r="B21" s="112"/>
      <c r="C21" s="112"/>
      <c r="D21" s="112" t="s">
        <v>539</v>
      </c>
      <c r="E21" s="112"/>
      <c r="F21" s="135"/>
      <c r="G21" s="135"/>
      <c r="H21" s="135"/>
      <c r="I21" s="135"/>
      <c r="J21" s="135"/>
      <c r="K21" s="135"/>
      <c r="L21" s="135"/>
      <c r="M21" s="135"/>
      <c r="N21" s="135"/>
    </row>
    <row r="22" spans="1:14" x14ac:dyDescent="0.2">
      <c r="A22" s="161"/>
      <c r="B22" s="469" t="s">
        <v>112</v>
      </c>
      <c r="C22" s="112"/>
      <c r="D22" s="112" t="s">
        <v>638</v>
      </c>
      <c r="E22" s="112"/>
      <c r="F22" s="140">
        <f>SUM(F18:F20)</f>
        <v>-100000</v>
      </c>
      <c r="G22" s="135"/>
      <c r="H22" s="140">
        <f>SUM(H18:H20)</f>
        <v>327000</v>
      </c>
      <c r="I22" s="135"/>
      <c r="J22" s="140">
        <f>SUM(J18:J20)</f>
        <v>200000</v>
      </c>
      <c r="K22" s="135"/>
      <c r="L22" s="140">
        <f>SUM(H22:J22)</f>
        <v>527000</v>
      </c>
      <c r="M22" s="135"/>
      <c r="N22" s="140">
        <f>SUM(N18:N20)</f>
        <v>627000</v>
      </c>
    </row>
    <row r="23" spans="1:14" x14ac:dyDescent="0.2">
      <c r="A23" s="112"/>
      <c r="B23" s="469" t="s">
        <v>112</v>
      </c>
      <c r="C23" s="112"/>
      <c r="D23" s="469"/>
      <c r="E23" s="112"/>
      <c r="F23" s="135"/>
      <c r="G23" s="135"/>
      <c r="H23" s="135"/>
      <c r="I23" s="135"/>
      <c r="J23" s="135"/>
      <c r="K23" s="135"/>
      <c r="L23" s="135"/>
      <c r="M23" s="135"/>
      <c r="N23" s="135"/>
    </row>
    <row r="24" spans="1:14" ht="13.5" thickBot="1" x14ac:dyDescent="0.25">
      <c r="A24" s="161" t="s">
        <v>173</v>
      </c>
      <c r="B24" s="161"/>
      <c r="C24" s="161"/>
      <c r="D24" s="161"/>
      <c r="E24" s="161"/>
      <c r="F24" s="188">
        <f>+F14+F22</f>
        <v>0</v>
      </c>
      <c r="G24" s="187"/>
      <c r="H24" s="188">
        <f>+H14+H22</f>
        <v>337000</v>
      </c>
      <c r="I24" s="187"/>
      <c r="J24" s="139">
        <f>+J14+J22</f>
        <v>221550</v>
      </c>
      <c r="K24" s="187"/>
      <c r="L24" s="188">
        <f>+L14+L22</f>
        <v>558550</v>
      </c>
      <c r="M24" s="187"/>
      <c r="N24" s="188">
        <f>N14+N22</f>
        <v>558550</v>
      </c>
    </row>
    <row r="25" spans="1:14" ht="13.5" thickTop="1" x14ac:dyDescent="0.2">
      <c r="A25" s="161"/>
      <c r="B25" s="161"/>
      <c r="C25" s="161"/>
      <c r="D25" s="161"/>
      <c r="E25" s="161"/>
      <c r="F25" s="189"/>
      <c r="G25" s="189"/>
      <c r="H25" s="189"/>
      <c r="I25" s="189"/>
      <c r="J25" s="189"/>
      <c r="K25" s="189"/>
      <c r="L25" s="189"/>
      <c r="M25" s="189"/>
      <c r="N25" s="189"/>
    </row>
    <row r="26" spans="1:14" x14ac:dyDescent="0.2">
      <c r="A26" s="469" t="s">
        <v>1076</v>
      </c>
      <c r="B26" s="161"/>
      <c r="C26" s="161"/>
      <c r="D26" s="161"/>
      <c r="E26" s="161"/>
      <c r="F26" s="189"/>
      <c r="G26" s="189"/>
      <c r="H26" s="189"/>
      <c r="I26" s="189"/>
      <c r="J26" s="190">
        <v>337000</v>
      </c>
      <c r="K26" s="189"/>
      <c r="L26" s="189"/>
      <c r="M26" s="189"/>
      <c r="N26" s="189"/>
    </row>
    <row r="27" spans="1:14" ht="13.5" thickBot="1" x14ac:dyDescent="0.25">
      <c r="A27" s="469" t="s">
        <v>1083</v>
      </c>
      <c r="B27" s="161"/>
      <c r="C27" s="161"/>
      <c r="D27" s="161"/>
      <c r="E27" s="161"/>
      <c r="F27" s="189"/>
      <c r="G27" s="189"/>
      <c r="H27" s="189"/>
      <c r="I27" s="191"/>
      <c r="J27" s="143">
        <f>+J24+J26</f>
        <v>558550</v>
      </c>
      <c r="K27" s="189"/>
      <c r="L27" s="189"/>
      <c r="M27" s="189"/>
      <c r="N27" s="189"/>
    </row>
    <row r="28" spans="1:14" ht="13.5" thickTop="1" x14ac:dyDescent="0.2">
      <c r="A28" s="469"/>
      <c r="B28" s="161"/>
      <c r="C28" s="161"/>
      <c r="D28" s="161"/>
      <c r="E28" s="161"/>
      <c r="F28" s="189"/>
      <c r="G28" s="189"/>
      <c r="H28" s="189"/>
      <c r="I28" s="191"/>
      <c r="J28" s="696"/>
      <c r="K28" s="189"/>
      <c r="L28" s="189"/>
      <c r="M28" s="189"/>
      <c r="N28" s="189"/>
    </row>
    <row r="29" spans="1:14" x14ac:dyDescent="0.2">
      <c r="A29" s="469"/>
      <c r="B29" s="161"/>
      <c r="C29" s="161"/>
      <c r="D29" s="161"/>
      <c r="E29" s="161"/>
      <c r="F29" s="189"/>
      <c r="G29" s="189"/>
      <c r="H29" s="189"/>
      <c r="I29" s="191"/>
      <c r="J29" s="696"/>
      <c r="K29" s="189"/>
      <c r="L29" s="189"/>
      <c r="M29" s="189"/>
      <c r="N29" s="189"/>
    </row>
    <row r="30" spans="1:14" ht="13.5" thickBot="1" x14ac:dyDescent="0.25">
      <c r="A30" s="505"/>
      <c r="B30" s="505"/>
      <c r="C30" s="505"/>
      <c r="D30" s="505"/>
      <c r="E30" s="505"/>
      <c r="F30" s="505"/>
      <c r="G30" s="505"/>
      <c r="H30" s="505"/>
      <c r="I30" s="505"/>
      <c r="J30" s="505"/>
      <c r="K30" s="505"/>
      <c r="L30" s="505"/>
      <c r="M30" s="505"/>
      <c r="N30" s="505"/>
    </row>
    <row r="31" spans="1:14" ht="15.6" customHeight="1" x14ac:dyDescent="0.2">
      <c r="A31" s="505"/>
      <c r="B31" s="1141" t="s">
        <v>1007</v>
      </c>
      <c r="C31" s="1142"/>
      <c r="D31" s="1142"/>
      <c r="E31" s="1142"/>
      <c r="F31" s="1142"/>
      <c r="G31" s="1142"/>
      <c r="H31" s="1142"/>
      <c r="I31" s="1142"/>
      <c r="J31" s="1142"/>
      <c r="K31" s="1142"/>
      <c r="L31" s="1142"/>
      <c r="M31" s="1142"/>
      <c r="N31" s="1143"/>
    </row>
    <row r="32" spans="1:14" ht="15.6" customHeight="1" x14ac:dyDescent="0.2">
      <c r="A32" s="505"/>
      <c r="B32" s="1144"/>
      <c r="C32" s="1145"/>
      <c r="D32" s="1145"/>
      <c r="E32" s="1145"/>
      <c r="F32" s="1145"/>
      <c r="G32" s="1145"/>
      <c r="H32" s="1145"/>
      <c r="I32" s="1145"/>
      <c r="J32" s="1145"/>
      <c r="K32" s="1145"/>
      <c r="L32" s="1145"/>
      <c r="M32" s="1145"/>
      <c r="N32" s="1146"/>
    </row>
    <row r="33" spans="1:14" ht="15.6" customHeight="1" x14ac:dyDescent="0.2">
      <c r="A33" s="505"/>
      <c r="B33" s="1144"/>
      <c r="C33" s="1145"/>
      <c r="D33" s="1145"/>
      <c r="E33" s="1145"/>
      <c r="F33" s="1145"/>
      <c r="G33" s="1145"/>
      <c r="H33" s="1145"/>
      <c r="I33" s="1145"/>
      <c r="J33" s="1145"/>
      <c r="K33" s="1145"/>
      <c r="L33" s="1145"/>
      <c r="M33" s="1145"/>
      <c r="N33" s="1146"/>
    </row>
    <row r="34" spans="1:14" ht="15.6" customHeight="1" thickBot="1" x14ac:dyDescent="0.25">
      <c r="A34" s="505"/>
      <c r="B34" s="1147"/>
      <c r="C34" s="1148"/>
      <c r="D34" s="1148"/>
      <c r="E34" s="1148"/>
      <c r="F34" s="1148"/>
      <c r="G34" s="1148"/>
      <c r="H34" s="1148"/>
      <c r="I34" s="1148"/>
      <c r="J34" s="1148"/>
      <c r="K34" s="1148"/>
      <c r="L34" s="1148"/>
      <c r="M34" s="1148"/>
      <c r="N34" s="1149"/>
    </row>
    <row r="35" spans="1:14" x14ac:dyDescent="0.2">
      <c r="A35" s="505"/>
      <c r="B35" s="422"/>
      <c r="C35" s="422"/>
      <c r="D35" s="422"/>
      <c r="E35" s="422"/>
      <c r="F35" s="422"/>
      <c r="G35" s="422"/>
      <c r="H35" s="422"/>
      <c r="I35" s="422"/>
      <c r="J35" s="422"/>
      <c r="K35" s="422"/>
      <c r="L35" s="422"/>
      <c r="M35" s="422"/>
      <c r="N35" s="422"/>
    </row>
  </sheetData>
  <customSheetViews>
    <customSheetView guid="{E0C60316-4586-4AAF-92CB-FA82BB1EB755}" fitToPage="1">
      <selection sqref="A1:N1"/>
      <pageMargins left="0" right="0" top="0" bottom="0" header="0" footer="0"/>
      <printOptions horizontalCentered="1"/>
      <pageSetup firstPageNumber="110" fitToHeight="0" orientation="portrait" useFirstPageNumber="1" r:id="rId1"/>
      <headerFooter alignWithMargins="0"/>
    </customSheetView>
    <customSheetView guid="{A8748736-0722-49EB-85B6-C9B52DDCFE0E}" fitToPage="1">
      <selection activeCell="G52" sqref="A2:N52"/>
      <pageMargins left="0.75" right="0.75" top="1" bottom="1" header="0.5" footer="0.5"/>
      <printOptions horizontalCentered="1"/>
      <pageSetup firstPageNumber="110" fitToHeight="0" orientation="portrait" useFirstPageNumber="1" r:id="rId2"/>
      <headerFooter alignWithMargins="0"/>
    </customSheetView>
  </customSheetViews>
  <mergeCells count="7">
    <mergeCell ref="B31:N34"/>
    <mergeCell ref="A1:N1"/>
    <mergeCell ref="A2:N2"/>
    <mergeCell ref="A3:N3"/>
    <mergeCell ref="A4:N4"/>
    <mergeCell ref="A5:N5"/>
    <mergeCell ref="H10:L10"/>
  </mergeCells>
  <printOptions horizontalCentered="1"/>
  <pageMargins left="0.75" right="0.75" top="1" bottom="1" header="0.5" footer="0.5"/>
  <pageSetup firstPageNumber="110" fitToHeight="0" orientation="portrait" useFirstPageNumber="1"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T91"/>
  <sheetViews>
    <sheetView zoomScaleNormal="100" workbookViewId="0">
      <selection activeCell="A5" sqref="A5"/>
    </sheetView>
  </sheetViews>
  <sheetFormatPr defaultColWidth="9.140625" defaultRowHeight="12.75" x14ac:dyDescent="0.2"/>
  <cols>
    <col min="1" max="1" width="38.85546875" style="310" customWidth="1"/>
    <col min="2" max="2" width="13.42578125" style="310" customWidth="1"/>
    <col min="3" max="3" width="1.7109375" style="310" customWidth="1"/>
    <col min="4" max="4" width="13.42578125" style="310" customWidth="1"/>
    <col min="5" max="5" width="1.7109375" style="310" customWidth="1"/>
    <col min="6" max="6" width="13.42578125" style="310" customWidth="1"/>
    <col min="7" max="7" width="1.7109375" style="310" customWidth="1"/>
    <col min="8" max="8" width="14.5703125" style="310" customWidth="1"/>
    <col min="9" max="9" width="1.7109375" style="310" customWidth="1"/>
    <col min="10" max="10" width="15.7109375" style="310" customWidth="1"/>
    <col min="11" max="11" width="10.7109375" style="310" hidden="1" customWidth="1"/>
    <col min="12" max="12" width="15.5703125" style="310" hidden="1" customWidth="1"/>
    <col min="13" max="13" width="14.28515625" style="310" hidden="1" customWidth="1"/>
    <col min="14" max="14" width="11.85546875" style="310" hidden="1" customWidth="1"/>
    <col min="15" max="15" width="10.140625" style="310" customWidth="1"/>
    <col min="16" max="16" width="11.28515625" style="310" bestFit="1" customWidth="1"/>
    <col min="17" max="16384" width="9.140625" style="310"/>
  </cols>
  <sheetData>
    <row r="1" spans="1:16" x14ac:dyDescent="0.2">
      <c r="A1" s="990" t="s">
        <v>0</v>
      </c>
      <c r="B1" s="990"/>
      <c r="C1" s="990"/>
      <c r="D1" s="990"/>
      <c r="E1" s="990"/>
      <c r="F1" s="990"/>
      <c r="G1" s="990"/>
      <c r="H1" s="990"/>
      <c r="I1" s="990"/>
      <c r="J1" s="990"/>
    </row>
    <row r="2" spans="1:16" x14ac:dyDescent="0.2">
      <c r="A2" s="990" t="s">
        <v>101</v>
      </c>
      <c r="B2" s="990"/>
      <c r="C2" s="990"/>
      <c r="D2" s="990"/>
      <c r="E2" s="990"/>
      <c r="F2" s="990"/>
      <c r="G2" s="990"/>
      <c r="H2" s="990"/>
      <c r="I2" s="990"/>
      <c r="J2" s="990"/>
    </row>
    <row r="3" spans="1:16" x14ac:dyDescent="0.2">
      <c r="A3" s="990" t="s">
        <v>102</v>
      </c>
      <c r="B3" s="990"/>
      <c r="C3" s="990"/>
      <c r="D3" s="990"/>
      <c r="E3" s="990"/>
      <c r="F3" s="990"/>
      <c r="G3" s="990"/>
      <c r="H3" s="990"/>
      <c r="I3" s="990"/>
      <c r="J3" s="990"/>
    </row>
    <row r="4" spans="1:16" x14ac:dyDescent="0.2">
      <c r="A4" s="991" t="str">
        <f>'GWNetPos 68 Exh 1'!A3</f>
        <v>June 30, 2025</v>
      </c>
      <c r="B4" s="990"/>
      <c r="C4" s="990"/>
      <c r="D4" s="990"/>
      <c r="E4" s="990"/>
      <c r="F4" s="990"/>
      <c r="G4" s="990"/>
      <c r="H4" s="990"/>
      <c r="I4" s="990"/>
      <c r="J4" s="990"/>
    </row>
    <row r="5" spans="1:16" x14ac:dyDescent="0.2">
      <c r="A5" s="682"/>
      <c r="B5" s="34"/>
      <c r="C5" s="34"/>
      <c r="D5" s="34"/>
      <c r="E5" s="34"/>
      <c r="F5" s="34"/>
      <c r="G5" s="34"/>
      <c r="H5" s="859"/>
      <c r="I5" s="34"/>
      <c r="J5" s="434" t="s">
        <v>100</v>
      </c>
    </row>
    <row r="6" spans="1:16" ht="13.5" thickBot="1" x14ac:dyDescent="0.25">
      <c r="A6" s="678"/>
      <c r="B6" s="679"/>
      <c r="C6" s="679"/>
      <c r="D6" s="679"/>
      <c r="E6" s="679"/>
      <c r="F6" s="679"/>
      <c r="G6" s="679"/>
      <c r="H6" s="679"/>
      <c r="I6" s="679"/>
      <c r="J6" s="679"/>
    </row>
    <row r="7" spans="1:16" x14ac:dyDescent="0.2">
      <c r="B7" s="989" t="s">
        <v>103</v>
      </c>
      <c r="C7" s="989"/>
      <c r="D7" s="989"/>
      <c r="E7" s="989"/>
      <c r="F7" s="1008"/>
      <c r="G7" s="845"/>
      <c r="H7" s="283" t="s">
        <v>104</v>
      </c>
      <c r="I7" s="34"/>
    </row>
    <row r="8" spans="1:16" ht="38.25" x14ac:dyDescent="0.2">
      <c r="A8" s="745"/>
      <c r="B8" s="835" t="s">
        <v>105</v>
      </c>
      <c r="C8" s="846"/>
      <c r="D8" s="835" t="s">
        <v>916</v>
      </c>
      <c r="E8" s="846"/>
      <c r="F8" s="835" t="s">
        <v>961</v>
      </c>
      <c r="G8" s="846"/>
      <c r="H8" s="835" t="s">
        <v>106</v>
      </c>
      <c r="I8" s="846"/>
      <c r="J8" s="835" t="s">
        <v>6</v>
      </c>
    </row>
    <row r="9" spans="1:16" x14ac:dyDescent="0.2">
      <c r="A9" s="759" t="s">
        <v>10</v>
      </c>
      <c r="B9" s="745"/>
      <c r="C9" s="745"/>
      <c r="D9" s="745"/>
      <c r="E9" s="745"/>
      <c r="F9" s="745"/>
      <c r="G9" s="745"/>
      <c r="H9" s="745"/>
      <c r="I9" s="745"/>
      <c r="J9" s="745"/>
    </row>
    <row r="10" spans="1:16" x14ac:dyDescent="0.2">
      <c r="A10" s="745" t="s">
        <v>11</v>
      </c>
      <c r="B10" s="836">
        <f>10284305+500000-132811-50000+1500000-17285-200000+1029567-0.95*1001000-3200-16500-300-16497-250-0.95*(43000)-(4000)-(1221075)-(17279)-36253+30000-294-21705+440000+1500000</f>
        <v>12554623</v>
      </c>
      <c r="C10" s="836"/>
      <c r="D10" s="836">
        <v>0</v>
      </c>
      <c r="E10" s="836"/>
      <c r="F10" s="836">
        <v>0</v>
      </c>
      <c r="G10" s="836"/>
      <c r="H10" s="836">
        <f>+'Comb BS-Nonmajor'!T10</f>
        <v>179138</v>
      </c>
      <c r="I10" s="836"/>
      <c r="J10" s="836">
        <f t="shared" ref="J10:J16" si="0">SUM(B10:H10)</f>
        <v>12733761</v>
      </c>
      <c r="K10" s="332"/>
      <c r="L10" s="332"/>
      <c r="M10" s="332"/>
    </row>
    <row r="11" spans="1:16" x14ac:dyDescent="0.2">
      <c r="A11" s="745" t="s">
        <v>17</v>
      </c>
      <c r="B11" s="848">
        <f>534602+17285+200000</f>
        <v>751887</v>
      </c>
      <c r="C11" s="848"/>
      <c r="D11" s="463">
        <v>0</v>
      </c>
      <c r="E11" s="848"/>
      <c r="F11" s="848">
        <v>330000</v>
      </c>
      <c r="G11" s="848"/>
      <c r="H11" s="849">
        <f>+'Comb BS-Nonmajor'!T11</f>
        <v>560270</v>
      </c>
      <c r="I11" s="849"/>
      <c r="J11" s="850">
        <f t="shared" si="0"/>
        <v>1642157</v>
      </c>
      <c r="M11" s="324"/>
    </row>
    <row r="12" spans="1:16" x14ac:dyDescent="0.2">
      <c r="A12" s="745" t="s">
        <v>107</v>
      </c>
      <c r="B12" s="850">
        <f>3981701-1425295+879789-168800+398364+28833</f>
        <v>3694592</v>
      </c>
      <c r="C12" s="850"/>
      <c r="D12" s="850">
        <v>0</v>
      </c>
      <c r="E12" s="850"/>
      <c r="F12" s="850">
        <v>0</v>
      </c>
      <c r="G12" s="850"/>
      <c r="H12" s="850">
        <f>+'Comb BS-Nonmajor'!T12+'Comb BS-Nonmajor'!T13</f>
        <v>17603</v>
      </c>
      <c r="I12" s="850"/>
      <c r="J12" s="850">
        <f t="shared" si="0"/>
        <v>3712195</v>
      </c>
      <c r="M12" s="302"/>
    </row>
    <row r="13" spans="1:16" x14ac:dyDescent="0.2">
      <c r="A13" s="745" t="s">
        <v>959</v>
      </c>
      <c r="B13" s="850">
        <v>0</v>
      </c>
      <c r="C13" s="850"/>
      <c r="D13" s="850">
        <v>0</v>
      </c>
      <c r="E13" s="850"/>
      <c r="F13" s="850">
        <v>1938038</v>
      </c>
      <c r="G13" s="850"/>
      <c r="H13" s="850">
        <v>0</v>
      </c>
      <c r="I13" s="850"/>
      <c r="J13" s="850">
        <f t="shared" si="0"/>
        <v>1938038</v>
      </c>
      <c r="M13" s="302"/>
    </row>
    <row r="14" spans="1:16" x14ac:dyDescent="0.2">
      <c r="A14" s="745" t="s">
        <v>13</v>
      </c>
      <c r="B14" s="768">
        <v>3200000</v>
      </c>
      <c r="C14" s="768"/>
      <c r="D14" s="768">
        <v>0</v>
      </c>
      <c r="E14" s="768"/>
      <c r="F14" s="768">
        <v>0</v>
      </c>
      <c r="G14" s="768"/>
      <c r="H14" s="768">
        <f>+'Comb BS-Nonmajor'!T14</f>
        <v>54800</v>
      </c>
      <c r="I14" s="768"/>
      <c r="J14" s="850">
        <f t="shared" si="0"/>
        <v>3254800</v>
      </c>
      <c r="M14" s="302"/>
    </row>
    <row r="15" spans="1:16" ht="13.5" x14ac:dyDescent="0.25">
      <c r="A15" s="745" t="s">
        <v>14</v>
      </c>
      <c r="B15" s="768">
        <v>36100</v>
      </c>
      <c r="C15" s="768"/>
      <c r="D15" s="768">
        <v>0</v>
      </c>
      <c r="E15" s="768"/>
      <c r="F15" s="768">
        <v>0</v>
      </c>
      <c r="G15" s="768"/>
      <c r="H15" s="768">
        <v>0</v>
      </c>
      <c r="I15" s="768"/>
      <c r="J15" s="850">
        <f t="shared" si="0"/>
        <v>36100</v>
      </c>
      <c r="M15" s="856"/>
      <c r="N15" s="7"/>
      <c r="O15" s="7"/>
      <c r="P15" s="3"/>
    </row>
    <row r="16" spans="1:16" ht="13.5" x14ac:dyDescent="0.25">
      <c r="A16" s="745" t="s">
        <v>15</v>
      </c>
      <c r="B16" s="768">
        <f>2551800</f>
        <v>2551800</v>
      </c>
      <c r="C16" s="768"/>
      <c r="D16" s="768">
        <v>0</v>
      </c>
      <c r="E16" s="768"/>
      <c r="F16" s="768">
        <v>0</v>
      </c>
      <c r="G16" s="768"/>
      <c r="H16" s="768">
        <v>0</v>
      </c>
      <c r="I16" s="768"/>
      <c r="J16" s="768">
        <f t="shared" si="0"/>
        <v>2551800</v>
      </c>
      <c r="M16" s="856"/>
      <c r="N16" s="7"/>
      <c r="O16" s="7"/>
      <c r="P16" s="3"/>
    </row>
    <row r="17" spans="1:20" ht="14.25" thickBot="1" x14ac:dyDescent="0.3">
      <c r="A17" s="837" t="s">
        <v>23</v>
      </c>
      <c r="B17" s="844">
        <f>SUM(B10:B16)</f>
        <v>22789002</v>
      </c>
      <c r="C17" s="764"/>
      <c r="D17" s="844">
        <f>SUM(D10:D16)</f>
        <v>0</v>
      </c>
      <c r="E17" s="764"/>
      <c r="F17" s="844">
        <f>SUM(F10:F16)</f>
        <v>2268038</v>
      </c>
      <c r="G17" s="764"/>
      <c r="H17" s="844">
        <f>SUM(H10:H16)</f>
        <v>811811</v>
      </c>
      <c r="I17" s="764"/>
      <c r="J17" s="844">
        <f>SUM(J10:J16)</f>
        <v>25868851</v>
      </c>
      <c r="M17" s="857"/>
      <c r="N17" s="7"/>
      <c r="O17" s="7"/>
      <c r="P17" s="45"/>
    </row>
    <row r="18" spans="1:20" ht="12.75" customHeight="1" thickTop="1" x14ac:dyDescent="0.25">
      <c r="A18" s="745"/>
      <c r="B18" s="764"/>
      <c r="C18" s="764"/>
      <c r="D18" s="764"/>
      <c r="E18" s="764"/>
      <c r="F18" s="764"/>
      <c r="G18" s="764"/>
      <c r="H18" s="764"/>
      <c r="I18" s="764"/>
      <c r="J18" s="764"/>
      <c r="M18" s="27"/>
      <c r="N18" s="7"/>
      <c r="O18" s="7"/>
      <c r="P18" s="45"/>
    </row>
    <row r="19" spans="1:20" ht="13.5" x14ac:dyDescent="0.25">
      <c r="A19" s="855" t="s">
        <v>1091</v>
      </c>
      <c r="B19" s="745"/>
      <c r="C19" s="745"/>
      <c r="D19" s="745"/>
      <c r="E19" s="745"/>
      <c r="F19" s="745"/>
      <c r="G19" s="745"/>
      <c r="H19" s="745"/>
      <c r="I19" s="745"/>
      <c r="J19" s="745"/>
      <c r="M19" s="27"/>
      <c r="N19" s="7"/>
      <c r="O19" s="7"/>
      <c r="P19" s="3"/>
    </row>
    <row r="20" spans="1:20" ht="13.5" x14ac:dyDescent="0.25">
      <c r="A20" s="838" t="s">
        <v>109</v>
      </c>
      <c r="B20" s="851">
        <f>3560192+1300+1639</f>
        <v>3563131</v>
      </c>
      <c r="C20" s="851"/>
      <c r="D20" s="851">
        <v>0</v>
      </c>
      <c r="E20" s="851"/>
      <c r="F20" s="851">
        <v>0</v>
      </c>
      <c r="G20" s="851"/>
      <c r="H20" s="851">
        <f>+'Comb BS-Nonmajor'!T18</f>
        <v>20478</v>
      </c>
      <c r="I20" s="851"/>
      <c r="J20" s="851">
        <f t="shared" ref="J20:J25" si="1">SUM(B20:H20)</f>
        <v>3583609</v>
      </c>
      <c r="M20" s="858"/>
      <c r="N20" s="27"/>
      <c r="O20" s="7"/>
      <c r="P20" s="3"/>
    </row>
    <row r="21" spans="1:20" ht="13.5" x14ac:dyDescent="0.25">
      <c r="A21" s="837" t="s">
        <v>110</v>
      </c>
      <c r="B21" s="768">
        <v>226142</v>
      </c>
      <c r="C21" s="768"/>
      <c r="D21" s="768">
        <v>0</v>
      </c>
      <c r="E21" s="768"/>
      <c r="F21" s="768">
        <v>0</v>
      </c>
      <c r="G21" s="768"/>
      <c r="H21" s="768">
        <v>0</v>
      </c>
      <c r="I21" s="768"/>
      <c r="J21" s="768">
        <f t="shared" si="1"/>
        <v>226142</v>
      </c>
      <c r="M21" s="856"/>
      <c r="N21" s="7"/>
      <c r="O21" s="7"/>
      <c r="P21" s="8"/>
    </row>
    <row r="22" spans="1:20" ht="13.5" x14ac:dyDescent="0.25">
      <c r="A22" s="837" t="s">
        <v>28</v>
      </c>
      <c r="B22" s="768">
        <v>50551</v>
      </c>
      <c r="C22" s="768"/>
      <c r="D22" s="768">
        <v>0</v>
      </c>
      <c r="E22" s="768"/>
      <c r="F22" s="768">
        <v>0</v>
      </c>
      <c r="G22" s="768"/>
      <c r="H22" s="768">
        <f>+'Comb BS-Nonmajor'!T19</f>
        <v>74903</v>
      </c>
      <c r="I22" s="768"/>
      <c r="J22" s="768">
        <f t="shared" si="1"/>
        <v>125454</v>
      </c>
      <c r="M22" s="856"/>
      <c r="N22" s="7"/>
      <c r="O22" s="7"/>
      <c r="P22" s="8"/>
    </row>
    <row r="23" spans="1:20" ht="13.5" x14ac:dyDescent="0.25">
      <c r="A23" s="837" t="s">
        <v>111</v>
      </c>
      <c r="B23" s="768">
        <v>0</v>
      </c>
      <c r="C23" s="768"/>
      <c r="D23" s="768">
        <v>0</v>
      </c>
      <c r="E23" s="768"/>
      <c r="F23" s="768">
        <v>0</v>
      </c>
      <c r="G23" s="768"/>
      <c r="H23" s="768">
        <f>+'Comb BS-Nonmajor'!T20</f>
        <v>85030</v>
      </c>
      <c r="I23" s="768"/>
      <c r="J23" s="768">
        <f t="shared" si="1"/>
        <v>85030</v>
      </c>
      <c r="M23" s="856"/>
      <c r="N23" s="7"/>
      <c r="O23" s="7"/>
      <c r="P23" s="8"/>
    </row>
    <row r="24" spans="1:20" ht="13.5" x14ac:dyDescent="0.25">
      <c r="A24" s="838" t="s">
        <v>918</v>
      </c>
      <c r="B24" s="768">
        <v>0</v>
      </c>
      <c r="C24" s="768"/>
      <c r="D24" s="459">
        <v>0</v>
      </c>
      <c r="E24" s="768"/>
      <c r="F24" s="768">
        <v>0</v>
      </c>
      <c r="G24" s="768"/>
      <c r="H24" s="768">
        <v>0</v>
      </c>
      <c r="I24" s="768"/>
      <c r="J24" s="768">
        <f t="shared" si="1"/>
        <v>0</v>
      </c>
      <c r="L24" s="745"/>
      <c r="M24" s="856"/>
      <c r="N24" s="7"/>
      <c r="O24" s="7"/>
      <c r="P24" s="8"/>
    </row>
    <row r="25" spans="1:20" ht="13.5" x14ac:dyDescent="0.25">
      <c r="A25" s="838" t="s">
        <v>30</v>
      </c>
      <c r="B25" s="768">
        <f>56267+6612</f>
        <v>62879</v>
      </c>
      <c r="C25" s="768"/>
      <c r="D25" s="768">
        <v>0</v>
      </c>
      <c r="E25" s="768"/>
      <c r="F25" s="768">
        <v>0</v>
      </c>
      <c r="G25" s="768"/>
      <c r="H25" s="768">
        <v>0</v>
      </c>
      <c r="I25" s="768"/>
      <c r="J25" s="768">
        <f t="shared" si="1"/>
        <v>62879</v>
      </c>
      <c r="M25" s="856"/>
      <c r="N25" s="7"/>
      <c r="O25" s="7"/>
      <c r="P25" s="8"/>
      <c r="T25" s="302"/>
    </row>
    <row r="26" spans="1:20" x14ac:dyDescent="0.2">
      <c r="A26" s="840" t="s">
        <v>35</v>
      </c>
      <c r="B26" s="766">
        <f>SUM(B20:B25)</f>
        <v>3902703</v>
      </c>
      <c r="C26" s="709"/>
      <c r="D26" s="766">
        <f>SUM(D20:D25)</f>
        <v>0</v>
      </c>
      <c r="E26" s="709"/>
      <c r="F26" s="766">
        <f>SUM(F20:F25)</f>
        <v>0</v>
      </c>
      <c r="G26" s="709"/>
      <c r="H26" s="766">
        <f>SUM(H20:H25)</f>
        <v>180411</v>
      </c>
      <c r="I26" s="709"/>
      <c r="J26" s="766">
        <f>SUM(J20:J25)</f>
        <v>4083114</v>
      </c>
      <c r="M26" s="302"/>
    </row>
    <row r="27" spans="1:20" x14ac:dyDescent="0.2">
      <c r="A27" s="840"/>
      <c r="B27" s="709"/>
      <c r="C27" s="709"/>
      <c r="D27" s="709"/>
      <c r="E27" s="709"/>
      <c r="F27" s="709"/>
      <c r="G27" s="709"/>
      <c r="H27" s="709"/>
      <c r="I27" s="709"/>
      <c r="J27" s="709"/>
    </row>
    <row r="28" spans="1:20" x14ac:dyDescent="0.2">
      <c r="A28" s="759" t="s">
        <v>36</v>
      </c>
      <c r="B28" s="766">
        <f>2369257+28833+391502+329403</f>
        <v>3118995</v>
      </c>
      <c r="C28" s="709"/>
      <c r="D28" s="766">
        <v>0</v>
      </c>
      <c r="E28" s="709"/>
      <c r="F28" s="766">
        <v>1938038</v>
      </c>
      <c r="G28" s="709"/>
      <c r="H28" s="766">
        <f>+'Comb BS-Nonmajor'!T26</f>
        <v>1345</v>
      </c>
      <c r="I28" s="709"/>
      <c r="J28" s="766">
        <f t="shared" ref="J28" si="2">SUM(B28:H28)</f>
        <v>5058378</v>
      </c>
      <c r="M28" s="834" t="s">
        <v>1098</v>
      </c>
      <c r="N28" s="834"/>
    </row>
    <row r="29" spans="1:20" x14ac:dyDescent="0.2">
      <c r="A29" s="745" t="s">
        <v>112</v>
      </c>
      <c r="B29" s="745"/>
      <c r="C29" s="745"/>
      <c r="D29" s="745"/>
      <c r="E29" s="745"/>
      <c r="F29" s="745"/>
      <c r="G29" s="745"/>
      <c r="H29" s="745"/>
      <c r="I29" s="745"/>
      <c r="J29" s="745"/>
    </row>
    <row r="30" spans="1:20" x14ac:dyDescent="0.2">
      <c r="A30" s="759" t="s">
        <v>995</v>
      </c>
      <c r="B30" s="745"/>
      <c r="C30" s="745"/>
      <c r="D30" s="745"/>
      <c r="E30" s="745"/>
      <c r="F30" s="745"/>
      <c r="G30" s="745"/>
      <c r="H30" s="745"/>
      <c r="I30" s="745"/>
      <c r="J30" s="745"/>
    </row>
    <row r="31" spans="1:20" x14ac:dyDescent="0.2">
      <c r="A31" s="837" t="s">
        <v>113</v>
      </c>
      <c r="B31" s="745"/>
      <c r="C31" s="745"/>
      <c r="D31" s="745"/>
      <c r="E31" s="745"/>
      <c r="F31" s="745"/>
      <c r="G31" s="745"/>
      <c r="H31" s="745"/>
      <c r="I31" s="745"/>
      <c r="J31" s="745"/>
    </row>
    <row r="32" spans="1:20" x14ac:dyDescent="0.2">
      <c r="A32" s="840" t="s">
        <v>15</v>
      </c>
      <c r="B32" s="768">
        <f>2551800</f>
        <v>2551800</v>
      </c>
      <c r="C32" s="768"/>
      <c r="D32" s="768">
        <v>0</v>
      </c>
      <c r="E32" s="768"/>
      <c r="F32" s="768">
        <v>0</v>
      </c>
      <c r="G32" s="768"/>
      <c r="H32" s="768">
        <v>0</v>
      </c>
      <c r="I32" s="768"/>
      <c r="J32" s="768">
        <f>SUM(B32:H32)</f>
        <v>2551800</v>
      </c>
      <c r="M32" s="302"/>
    </row>
    <row r="33" spans="1:16" x14ac:dyDescent="0.2">
      <c r="A33" s="840" t="s">
        <v>1099</v>
      </c>
      <c r="B33" s="768">
        <v>6862</v>
      </c>
      <c r="C33" s="768"/>
      <c r="D33" s="768">
        <v>0</v>
      </c>
      <c r="E33" s="768"/>
      <c r="F33" s="768">
        <v>0</v>
      </c>
      <c r="G33" s="768"/>
      <c r="H33" s="768">
        <v>0</v>
      </c>
      <c r="I33" s="768"/>
      <c r="J33" s="768">
        <f>SUM(B33:H33)</f>
        <v>6862</v>
      </c>
      <c r="M33" s="302"/>
    </row>
    <row r="34" spans="1:16" x14ac:dyDescent="0.2">
      <c r="A34" s="837" t="s">
        <v>114</v>
      </c>
      <c r="B34" s="768"/>
      <c r="C34" s="768"/>
      <c r="D34" s="768"/>
      <c r="E34" s="768"/>
      <c r="F34" s="768"/>
      <c r="G34" s="768"/>
      <c r="H34" s="768"/>
      <c r="I34" s="768"/>
      <c r="J34" s="768"/>
      <c r="M34" s="302"/>
    </row>
    <row r="35" spans="1:16" x14ac:dyDescent="0.2">
      <c r="A35" s="840" t="s">
        <v>45</v>
      </c>
      <c r="B35" s="768">
        <f>4155128</f>
        <v>4155128</v>
      </c>
      <c r="C35" s="768"/>
      <c r="D35" s="768">
        <v>0</v>
      </c>
      <c r="E35" s="768"/>
      <c r="F35" s="768">
        <v>0</v>
      </c>
      <c r="G35" s="768"/>
      <c r="H35" s="768">
        <f>+'Comb BS-Nonmajor'!T30</f>
        <v>4478</v>
      </c>
      <c r="I35" s="768"/>
      <c r="J35" s="768">
        <f t="shared" ref="J35:J42" si="3">SUM(B35:H35)</f>
        <v>4159606</v>
      </c>
      <c r="M35" s="302"/>
    </row>
    <row r="36" spans="1:16" x14ac:dyDescent="0.2">
      <c r="A36" s="840" t="s">
        <v>43</v>
      </c>
      <c r="B36" s="768">
        <v>17285</v>
      </c>
      <c r="C36" s="768"/>
      <c r="D36" s="768">
        <v>0</v>
      </c>
      <c r="E36" s="768"/>
      <c r="F36" s="768">
        <v>0</v>
      </c>
      <c r="G36" s="768"/>
      <c r="H36" s="768">
        <v>0</v>
      </c>
      <c r="I36" s="768"/>
      <c r="J36" s="768">
        <f t="shared" si="3"/>
        <v>17285</v>
      </c>
      <c r="L36" s="302"/>
      <c r="M36" s="302"/>
      <c r="P36" s="302"/>
    </row>
    <row r="37" spans="1:16" x14ac:dyDescent="0.2">
      <c r="A37" s="840" t="s">
        <v>115</v>
      </c>
      <c r="B37" s="768">
        <v>0</v>
      </c>
      <c r="C37" s="768"/>
      <c r="D37" s="768">
        <v>0</v>
      </c>
      <c r="E37" s="768"/>
      <c r="F37" s="768">
        <v>0</v>
      </c>
      <c r="G37" s="768"/>
      <c r="H37" s="768">
        <f>+'Comb BS-Nonmajor'!T31</f>
        <v>1783</v>
      </c>
      <c r="I37" s="768"/>
      <c r="J37" s="768">
        <f t="shared" si="3"/>
        <v>1783</v>
      </c>
      <c r="L37" s="302"/>
      <c r="M37" s="302"/>
      <c r="P37" s="302"/>
    </row>
    <row r="38" spans="1:16" x14ac:dyDescent="0.2">
      <c r="A38" s="840" t="s">
        <v>116</v>
      </c>
      <c r="B38" s="768">
        <v>0</v>
      </c>
      <c r="C38" s="768"/>
      <c r="D38" s="768">
        <v>0</v>
      </c>
      <c r="E38" s="768"/>
      <c r="F38" s="768">
        <v>0</v>
      </c>
      <c r="G38" s="768"/>
      <c r="H38" s="768">
        <f>+'Comb BS-Nonmajor'!T32</f>
        <v>558550</v>
      </c>
      <c r="I38" s="768"/>
      <c r="J38" s="768">
        <f t="shared" si="3"/>
        <v>558550</v>
      </c>
      <c r="M38" s="302"/>
      <c r="P38" s="302"/>
    </row>
    <row r="39" spans="1:16" x14ac:dyDescent="0.2">
      <c r="A39" s="840" t="s">
        <v>117</v>
      </c>
      <c r="B39" s="768">
        <v>0</v>
      </c>
      <c r="C39" s="768"/>
      <c r="D39" s="768">
        <v>0</v>
      </c>
      <c r="E39" s="768"/>
      <c r="F39" s="768">
        <v>0</v>
      </c>
      <c r="G39" s="768"/>
      <c r="H39" s="768">
        <f>+'Comb BS-Nonmajor'!T33</f>
        <v>46346</v>
      </c>
      <c r="I39" s="768"/>
      <c r="J39" s="768">
        <f t="shared" si="3"/>
        <v>46346</v>
      </c>
      <c r="M39" s="302"/>
      <c r="P39" s="302"/>
    </row>
    <row r="40" spans="1:16" x14ac:dyDescent="0.2">
      <c r="A40" s="840" t="s">
        <v>958</v>
      </c>
      <c r="B40" s="768">
        <v>0</v>
      </c>
      <c r="C40" s="768"/>
      <c r="D40" s="768">
        <v>0</v>
      </c>
      <c r="E40" s="768"/>
      <c r="F40" s="768">
        <v>330000</v>
      </c>
      <c r="G40" s="768"/>
      <c r="H40" s="768">
        <v>0</v>
      </c>
      <c r="I40" s="768"/>
      <c r="J40" s="768">
        <f t="shared" si="3"/>
        <v>330000</v>
      </c>
      <c r="M40" s="302"/>
      <c r="P40" s="302"/>
    </row>
    <row r="41" spans="1:16" x14ac:dyDescent="0.2">
      <c r="A41" s="840" t="s">
        <v>1178</v>
      </c>
      <c r="B41" s="768">
        <v>0</v>
      </c>
      <c r="C41" s="768"/>
      <c r="D41" s="459">
        <v>0</v>
      </c>
      <c r="E41" s="768"/>
      <c r="F41" s="768">
        <v>0</v>
      </c>
      <c r="G41" s="768"/>
      <c r="H41" s="768"/>
      <c r="I41" s="768"/>
      <c r="J41" s="459">
        <f t="shared" si="3"/>
        <v>0</v>
      </c>
      <c r="M41" s="302"/>
      <c r="P41" s="302"/>
    </row>
    <row r="42" spans="1:16" x14ac:dyDescent="0.2">
      <c r="A42" s="840" t="s">
        <v>41</v>
      </c>
      <c r="B42" s="768">
        <v>0</v>
      </c>
      <c r="C42" s="768"/>
      <c r="D42" s="768">
        <v>0</v>
      </c>
      <c r="E42" s="768"/>
      <c r="F42" s="768">
        <v>0</v>
      </c>
      <c r="G42" s="768"/>
      <c r="H42" s="768">
        <f>+'Comb BS-Nonmajor'!T35</f>
        <v>2687</v>
      </c>
      <c r="I42" s="768"/>
      <c r="J42" s="768">
        <f t="shared" si="3"/>
        <v>2687</v>
      </c>
      <c r="M42" s="302"/>
      <c r="P42" s="302"/>
    </row>
    <row r="43" spans="1:16" x14ac:dyDescent="0.2">
      <c r="A43" s="837" t="s">
        <v>118</v>
      </c>
      <c r="B43" s="768"/>
      <c r="C43" s="768"/>
      <c r="D43" s="768"/>
      <c r="E43" s="768"/>
      <c r="F43" s="768"/>
      <c r="G43" s="768"/>
      <c r="H43" s="768"/>
      <c r="I43" s="768"/>
      <c r="J43" s="768"/>
      <c r="M43" s="302"/>
      <c r="P43" s="302"/>
    </row>
    <row r="44" spans="1:16" x14ac:dyDescent="0.2">
      <c r="A44" s="840" t="s">
        <v>119</v>
      </c>
      <c r="B44" s="768">
        <v>471723</v>
      </c>
      <c r="C44" s="768"/>
      <c r="D44" s="768">
        <v>0</v>
      </c>
      <c r="E44" s="768"/>
      <c r="F44" s="768">
        <v>0</v>
      </c>
      <c r="G44" s="768"/>
      <c r="H44" s="768">
        <v>0</v>
      </c>
      <c r="I44" s="768"/>
      <c r="J44" s="768">
        <f>SUM(B44:H44)</f>
        <v>471723</v>
      </c>
      <c r="M44" s="302"/>
      <c r="P44" s="302"/>
    </row>
    <row r="45" spans="1:16" x14ac:dyDescent="0.2">
      <c r="A45" s="840" t="s">
        <v>120</v>
      </c>
      <c r="B45" s="768">
        <v>1028267</v>
      </c>
      <c r="C45" s="768"/>
      <c r="D45" s="768">
        <v>0</v>
      </c>
      <c r="E45" s="768"/>
      <c r="F45" s="768">
        <v>0</v>
      </c>
      <c r="G45" s="768"/>
      <c r="H45" s="768">
        <v>0</v>
      </c>
      <c r="I45" s="768"/>
      <c r="J45" s="768">
        <f>SUM(B45:H45)</f>
        <v>1028267</v>
      </c>
      <c r="M45" s="302"/>
      <c r="P45" s="302"/>
    </row>
    <row r="46" spans="1:16" x14ac:dyDescent="0.2">
      <c r="A46" s="837" t="s">
        <v>121</v>
      </c>
      <c r="B46" s="768"/>
      <c r="C46" s="768"/>
      <c r="D46" s="768"/>
      <c r="E46" s="768"/>
      <c r="F46" s="768"/>
      <c r="G46" s="768"/>
      <c r="H46" s="768"/>
      <c r="I46" s="768"/>
      <c r="J46" s="768"/>
      <c r="M46" s="302"/>
      <c r="P46" s="302"/>
    </row>
    <row r="47" spans="1:16" x14ac:dyDescent="0.2">
      <c r="A47" s="840" t="s">
        <v>122</v>
      </c>
      <c r="B47" s="768">
        <v>0</v>
      </c>
      <c r="C47" s="768"/>
      <c r="D47" s="768">
        <v>0</v>
      </c>
      <c r="E47" s="768"/>
      <c r="F47" s="768">
        <v>0</v>
      </c>
      <c r="G47" s="768"/>
      <c r="H47" s="768">
        <f>+'Comb BS-Nonmajor'!T37</f>
        <v>7969</v>
      </c>
      <c r="I47" s="768"/>
      <c r="J47" s="768">
        <f>SUM(B47:H47)</f>
        <v>7969</v>
      </c>
      <c r="L47" s="302"/>
      <c r="M47" s="302"/>
      <c r="P47" s="302"/>
    </row>
    <row r="48" spans="1:16" x14ac:dyDescent="0.2">
      <c r="A48" s="840" t="s">
        <v>123</v>
      </c>
      <c r="B48" s="768">
        <v>0</v>
      </c>
      <c r="C48" s="768"/>
      <c r="D48" s="768">
        <v>0</v>
      </c>
      <c r="E48" s="768"/>
      <c r="F48" s="768">
        <v>0</v>
      </c>
      <c r="G48" s="768"/>
      <c r="H48" s="768">
        <f>+'Comb BS-Nonmajor'!R38</f>
        <v>10270</v>
      </c>
      <c r="I48" s="768"/>
      <c r="J48" s="768">
        <f>SUM(B48:H48)</f>
        <v>10270</v>
      </c>
      <c r="M48" s="302"/>
      <c r="P48" s="302"/>
    </row>
    <row r="49" spans="1:15" x14ac:dyDescent="0.2">
      <c r="A49" s="840" t="s">
        <v>124</v>
      </c>
      <c r="B49" s="768">
        <v>255000</v>
      </c>
      <c r="C49" s="768"/>
      <c r="D49" s="768">
        <v>0</v>
      </c>
      <c r="E49" s="768"/>
      <c r="F49" s="768">
        <v>0</v>
      </c>
      <c r="G49" s="768"/>
      <c r="H49" s="768">
        <v>0</v>
      </c>
      <c r="I49" s="768"/>
      <c r="J49" s="768">
        <f>SUM(B49:H49)</f>
        <v>255000</v>
      </c>
      <c r="K49" s="334"/>
      <c r="M49" s="302"/>
    </row>
    <row r="50" spans="1:15" x14ac:dyDescent="0.2">
      <c r="A50" s="837" t="s">
        <v>125</v>
      </c>
      <c r="B50" s="765">
        <f>B17-B26-B28-SUM(B32:B49)</f>
        <v>7281239</v>
      </c>
      <c r="C50" s="709"/>
      <c r="D50" s="765">
        <v>0</v>
      </c>
      <c r="E50" s="709"/>
      <c r="F50" s="765">
        <v>0</v>
      </c>
      <c r="G50" s="709"/>
      <c r="H50" s="765">
        <f>+'Comb BS-Nonmajor'!T39</f>
        <v>-2028</v>
      </c>
      <c r="I50" s="709"/>
      <c r="J50" s="768">
        <f>SUM(B50:H50)</f>
        <v>7279211</v>
      </c>
      <c r="L50" s="332"/>
      <c r="M50" s="302"/>
    </row>
    <row r="51" spans="1:15" x14ac:dyDescent="0.2">
      <c r="A51" s="852" t="s">
        <v>126</v>
      </c>
      <c r="B51" s="766">
        <f>SUM(B32:B50)</f>
        <v>15767304</v>
      </c>
      <c r="C51" s="709"/>
      <c r="D51" s="766">
        <f>SUM(D32:D50)</f>
        <v>0</v>
      </c>
      <c r="E51" s="709"/>
      <c r="F51" s="766">
        <f>SUM(F32:F50)</f>
        <v>330000</v>
      </c>
      <c r="G51" s="709"/>
      <c r="H51" s="766">
        <f>SUM(H32:H50)</f>
        <v>630055</v>
      </c>
      <c r="I51" s="709"/>
      <c r="J51" s="853">
        <f>SUM(J32:J50)</f>
        <v>16727359</v>
      </c>
      <c r="M51" s="302"/>
      <c r="O51" s="302"/>
    </row>
    <row r="52" spans="1:15" ht="26.25" thickBot="1" x14ac:dyDescent="0.25">
      <c r="A52" s="854" t="s">
        <v>127</v>
      </c>
      <c r="B52" s="844">
        <f>+B26+B51+B28</f>
        <v>22789002</v>
      </c>
      <c r="C52" s="764"/>
      <c r="D52" s="844">
        <f>+D26+D51+D28</f>
        <v>0</v>
      </c>
      <c r="E52" s="764"/>
      <c r="F52" s="844">
        <f>+F26+F51+F28</f>
        <v>2268038</v>
      </c>
      <c r="G52" s="764"/>
      <c r="H52" s="844">
        <f>+H26+H51+H28</f>
        <v>811811</v>
      </c>
      <c r="I52" s="764"/>
      <c r="J52" s="745"/>
      <c r="M52" s="302"/>
    </row>
    <row r="53" spans="1:15" ht="13.5" thickTop="1" x14ac:dyDescent="0.2">
      <c r="B53" s="318"/>
      <c r="C53" s="318"/>
      <c r="D53" s="318"/>
      <c r="E53" s="318"/>
      <c r="F53" s="318"/>
      <c r="G53" s="318"/>
      <c r="H53" s="318"/>
      <c r="I53" s="318"/>
    </row>
    <row r="54" spans="1:15" ht="12.75" customHeight="1" x14ac:dyDescent="0.2">
      <c r="H54" s="332"/>
      <c r="J54" s="753" t="s">
        <v>277</v>
      </c>
    </row>
    <row r="55" spans="1:15" ht="12.75" customHeight="1" x14ac:dyDescent="0.2"/>
    <row r="56" spans="1:15" ht="17.25" customHeight="1" x14ac:dyDescent="0.2"/>
    <row r="57" spans="1:15" ht="13.9" customHeight="1" x14ac:dyDescent="0.2">
      <c r="J57" s="322"/>
    </row>
    <row r="58" spans="1:15" ht="14.25" customHeight="1" x14ac:dyDescent="0.2">
      <c r="A58" s="990" t="s">
        <v>0</v>
      </c>
      <c r="B58" s="990"/>
      <c r="C58" s="990"/>
      <c r="D58" s="990"/>
      <c r="E58" s="990"/>
      <c r="F58" s="990"/>
      <c r="G58" s="990"/>
      <c r="H58" s="990"/>
      <c r="I58" s="990"/>
      <c r="J58" s="990"/>
    </row>
    <row r="59" spans="1:15" ht="12.75" customHeight="1" x14ac:dyDescent="0.2">
      <c r="A59" s="990" t="s">
        <v>101</v>
      </c>
      <c r="B59" s="990"/>
      <c r="C59" s="990"/>
      <c r="D59" s="990"/>
      <c r="E59" s="990"/>
      <c r="F59" s="990"/>
      <c r="G59" s="990"/>
      <c r="H59" s="990"/>
      <c r="I59" s="990"/>
      <c r="J59" s="990"/>
    </row>
    <row r="60" spans="1:15" ht="13.5" customHeight="1" x14ac:dyDescent="0.2">
      <c r="A60" s="990" t="s">
        <v>102</v>
      </c>
      <c r="B60" s="990"/>
      <c r="C60" s="990"/>
      <c r="D60" s="990"/>
      <c r="E60" s="990"/>
      <c r="F60" s="990"/>
      <c r="G60" s="990"/>
      <c r="H60" s="990"/>
      <c r="I60" s="990"/>
      <c r="J60" s="990"/>
    </row>
    <row r="61" spans="1:15" ht="12" customHeight="1" x14ac:dyDescent="0.2">
      <c r="A61" s="991" t="str">
        <f>A4</f>
        <v>June 30, 2025</v>
      </c>
      <c r="B61" s="991"/>
      <c r="C61" s="991"/>
      <c r="D61" s="991"/>
      <c r="E61" s="991"/>
      <c r="F61" s="991"/>
      <c r="G61" s="991"/>
      <c r="H61" s="991"/>
      <c r="I61" s="991"/>
      <c r="J61" s="991"/>
    </row>
    <row r="62" spans="1:15" ht="12" customHeight="1" x14ac:dyDescent="0.2">
      <c r="A62" s="682"/>
      <c r="B62" s="682"/>
      <c r="C62" s="682"/>
      <c r="D62" s="682"/>
      <c r="E62" s="682"/>
      <c r="F62" s="682"/>
      <c r="G62" s="682"/>
      <c r="H62" s="682"/>
      <c r="I62" s="682"/>
      <c r="J62" s="434" t="s">
        <v>100</v>
      </c>
      <c r="M62" s="745"/>
    </row>
    <row r="63" spans="1:15" ht="12" customHeight="1" x14ac:dyDescent="0.2">
      <c r="A63" s="682"/>
      <c r="B63" s="682"/>
      <c r="C63" s="682"/>
      <c r="D63" s="682"/>
      <c r="E63" s="682"/>
      <c r="F63" s="682"/>
      <c r="G63" s="682"/>
      <c r="H63" s="682"/>
      <c r="I63" s="682"/>
      <c r="J63" s="434"/>
      <c r="M63" s="745"/>
    </row>
    <row r="64" spans="1:15" ht="12.75" customHeight="1" thickBot="1" x14ac:dyDescent="0.25">
      <c r="A64" s="677"/>
      <c r="B64" s="677"/>
      <c r="C64" s="677"/>
      <c r="D64" s="677"/>
      <c r="E64" s="677"/>
      <c r="F64" s="677"/>
      <c r="G64" s="677"/>
      <c r="H64" s="677"/>
      <c r="I64" s="677"/>
      <c r="J64" s="677"/>
      <c r="M64" s="745"/>
    </row>
    <row r="65" spans="1:16" ht="12.75" customHeight="1" x14ac:dyDescent="0.2">
      <c r="A65" s="1015" t="s">
        <v>128</v>
      </c>
      <c r="B65" s="1015"/>
      <c r="C65" s="1015"/>
      <c r="D65" s="1015"/>
      <c r="E65" s="1015"/>
      <c r="F65" s="1015"/>
      <c r="G65" s="1015"/>
      <c r="H65" s="1015"/>
      <c r="I65" s="466"/>
      <c r="M65" s="745"/>
    </row>
    <row r="66" spans="1:16" ht="26.25" customHeight="1" x14ac:dyDescent="0.2">
      <c r="A66" s="1012" t="s">
        <v>129</v>
      </c>
      <c r="B66" s="1012"/>
      <c r="C66" s="1012"/>
      <c r="D66" s="1012"/>
      <c r="E66" s="1012"/>
      <c r="F66" s="1012"/>
      <c r="G66" s="1012"/>
      <c r="H66" s="1012"/>
      <c r="I66" s="436"/>
      <c r="J66" s="324">
        <f>+'GWNetPos 68 Exh 1'!B17</f>
        <v>8932</v>
      </c>
      <c r="L66" s="339" t="s">
        <v>1114</v>
      </c>
      <c r="M66" s="745"/>
    </row>
    <row r="67" spans="1:16" ht="12.75" customHeight="1" x14ac:dyDescent="0.2">
      <c r="A67" s="1014" t="s">
        <v>1187</v>
      </c>
      <c r="B67" s="1014"/>
      <c r="C67" s="1014"/>
      <c r="D67" s="1014"/>
      <c r="E67" s="1014"/>
      <c r="F67" s="1014"/>
      <c r="G67" s="1014"/>
      <c r="H67" s="1014"/>
      <c r="I67" s="436"/>
      <c r="J67" s="324">
        <f>292500</f>
        <v>292500</v>
      </c>
      <c r="L67" s="310" t="s">
        <v>1115</v>
      </c>
      <c r="M67" s="745"/>
    </row>
    <row r="68" spans="1:16" ht="12.75" customHeight="1" x14ac:dyDescent="0.2">
      <c r="A68" s="1012" t="s">
        <v>130</v>
      </c>
      <c r="B68" s="1012"/>
      <c r="C68" s="1012"/>
      <c r="D68" s="1012"/>
      <c r="E68" s="1012"/>
      <c r="F68" s="1012"/>
      <c r="G68" s="1012"/>
      <c r="H68" s="1012"/>
      <c r="I68" s="436"/>
      <c r="J68" s="459">
        <f>'GWNetPos 68 Exh 1'!B20+'GWNetPos 68 Exh 1'!B21+'GWNetPos 68 Exh 1'!B22</f>
        <v>10547310</v>
      </c>
      <c r="L68" s="339" t="s">
        <v>1114</v>
      </c>
      <c r="M68" s="745"/>
    </row>
    <row r="69" spans="1:16" ht="12.75" customHeight="1" x14ac:dyDescent="0.2">
      <c r="A69" s="340" t="s">
        <v>949</v>
      </c>
      <c r="B69" s="435"/>
      <c r="C69" s="435"/>
      <c r="D69" s="435"/>
      <c r="E69" s="435"/>
      <c r="F69" s="435"/>
      <c r="G69" s="435"/>
      <c r="H69" s="435"/>
      <c r="I69" s="435"/>
      <c r="J69" s="299">
        <f>'GWNetPos 68 Exh 1'!B18</f>
        <v>76022.949999999953</v>
      </c>
      <c r="L69" s="339" t="s">
        <v>1114</v>
      </c>
      <c r="M69" s="745"/>
    </row>
    <row r="70" spans="1:16" ht="12.75" customHeight="1" x14ac:dyDescent="0.2">
      <c r="A70" s="1012" t="s">
        <v>946</v>
      </c>
      <c r="B70" s="1012"/>
      <c r="C70" s="1012"/>
      <c r="D70" s="1012"/>
      <c r="E70" s="1012"/>
      <c r="F70" s="1012"/>
      <c r="G70" s="1012"/>
      <c r="H70" s="1012"/>
      <c r="I70" s="436"/>
      <c r="J70" s="459">
        <v>950950</v>
      </c>
      <c r="L70" s="339" t="s">
        <v>1116</v>
      </c>
      <c r="M70" s="299">
        <v>950950</v>
      </c>
      <c r="N70" s="302">
        <f>+M70-J70</f>
        <v>0</v>
      </c>
    </row>
    <row r="71" spans="1:16" ht="12.75" customHeight="1" x14ac:dyDescent="0.2">
      <c r="A71" s="1007" t="s">
        <v>947</v>
      </c>
      <c r="B71" s="1007"/>
      <c r="C71" s="1007"/>
      <c r="D71" s="1007"/>
      <c r="E71" s="1007"/>
      <c r="F71" s="1007"/>
      <c r="G71" s="1007"/>
      <c r="H71" s="1007"/>
      <c r="I71" s="838"/>
      <c r="J71" s="459">
        <v>3200</v>
      </c>
      <c r="L71" s="339" t="s">
        <v>1117</v>
      </c>
      <c r="M71" s="299">
        <v>3200</v>
      </c>
      <c r="N71" s="302">
        <f>+M71-J71</f>
        <v>0</v>
      </c>
    </row>
    <row r="72" spans="1:16" ht="25.5" customHeight="1" x14ac:dyDescent="0.2">
      <c r="A72" s="1013" t="s">
        <v>131</v>
      </c>
      <c r="B72" s="1013"/>
      <c r="C72" s="1013"/>
      <c r="D72" s="1013"/>
      <c r="E72" s="1013"/>
      <c r="F72" s="1013"/>
      <c r="G72" s="1013"/>
      <c r="H72" s="1013"/>
      <c r="I72" s="665"/>
      <c r="J72" s="299">
        <v>17279</v>
      </c>
      <c r="L72" s="339" t="s">
        <v>1118</v>
      </c>
      <c r="M72" s="745"/>
    </row>
    <row r="73" spans="1:16" ht="25.5" customHeight="1" x14ac:dyDescent="0.2">
      <c r="A73" s="1013" t="s">
        <v>132</v>
      </c>
      <c r="B73" s="1013"/>
      <c r="C73" s="1013"/>
      <c r="D73" s="1013"/>
      <c r="E73" s="1013"/>
      <c r="F73" s="1013"/>
      <c r="G73" s="1013"/>
      <c r="H73" s="1013"/>
      <c r="I73" s="665"/>
      <c r="J73" s="299">
        <f>0.95*43000</f>
        <v>40850</v>
      </c>
      <c r="L73" s="339" t="s">
        <v>1119</v>
      </c>
      <c r="M73" s="745"/>
    </row>
    <row r="74" spans="1:16" ht="37.15" customHeight="1" x14ac:dyDescent="0.2">
      <c r="A74" s="1007" t="s">
        <v>1122</v>
      </c>
      <c r="B74" s="1007"/>
      <c r="C74" s="1007"/>
      <c r="D74" s="1007"/>
      <c r="E74" s="1007"/>
      <c r="F74" s="1007"/>
      <c r="G74" s="1007"/>
      <c r="H74" s="1007"/>
      <c r="I74" s="838"/>
      <c r="J74" s="768">
        <v>2268257</v>
      </c>
      <c r="L74" s="324" t="s">
        <v>1123</v>
      </c>
      <c r="M74" s="745"/>
    </row>
    <row r="75" spans="1:16" ht="12.75" customHeight="1" x14ac:dyDescent="0.2">
      <c r="A75" s="436" t="s">
        <v>948</v>
      </c>
      <c r="B75" s="435"/>
      <c r="C75" s="435"/>
      <c r="D75" s="435"/>
      <c r="E75" s="435"/>
      <c r="F75" s="435"/>
      <c r="G75" s="435"/>
      <c r="H75" s="435"/>
      <c r="I75" s="435"/>
      <c r="J75" s="459">
        <v>-6245902</v>
      </c>
      <c r="K75" s="302"/>
      <c r="L75" s="339" t="s">
        <v>1120</v>
      </c>
      <c r="M75" s="299">
        <v>-6245902</v>
      </c>
      <c r="N75" s="302">
        <f>+M75-J75</f>
        <v>0</v>
      </c>
      <c r="O75" s="302"/>
    </row>
    <row r="76" spans="1:16" ht="12.75" customHeight="1" x14ac:dyDescent="0.2">
      <c r="A76" s="436" t="s">
        <v>134</v>
      </c>
      <c r="B76" s="435"/>
      <c r="C76" s="435"/>
      <c r="D76" s="435"/>
      <c r="E76" s="435"/>
      <c r="F76" s="435"/>
      <c r="G76" s="435"/>
      <c r="H76" s="435"/>
      <c r="I76" s="435"/>
      <c r="J76" s="459">
        <v>-1474358</v>
      </c>
      <c r="K76" s="302"/>
      <c r="L76" s="339" t="s">
        <v>1121</v>
      </c>
      <c r="M76" s="299">
        <v>-1474358</v>
      </c>
      <c r="N76" s="302">
        <f>+M76-J76</f>
        <v>0</v>
      </c>
      <c r="O76" s="302"/>
    </row>
    <row r="77" spans="1:16" ht="12.75" customHeight="1" x14ac:dyDescent="0.2">
      <c r="A77" s="436" t="s">
        <v>135</v>
      </c>
      <c r="B77" s="435"/>
      <c r="C77" s="435"/>
      <c r="D77" s="435"/>
      <c r="E77" s="435"/>
      <c r="F77" s="435"/>
      <c r="G77" s="435"/>
      <c r="H77" s="435"/>
      <c r="I77" s="435"/>
      <c r="J77" s="299">
        <f>-(101424+201632-101424+202959-201632)-(19713)</f>
        <v>-222672</v>
      </c>
      <c r="L77" s="310" t="s">
        <v>1118</v>
      </c>
      <c r="M77" s="745"/>
      <c r="N77" s="332"/>
    </row>
    <row r="78" spans="1:16" ht="24.75" customHeight="1" x14ac:dyDescent="0.2">
      <c r="A78" s="1007" t="s">
        <v>1124</v>
      </c>
      <c r="B78" s="1007"/>
      <c r="C78" s="1007"/>
      <c r="D78" s="1007"/>
      <c r="E78" s="1007"/>
      <c r="F78" s="1007"/>
      <c r="G78" s="1007"/>
      <c r="H78" s="1007"/>
      <c r="I78" s="838"/>
      <c r="J78" s="850">
        <v>2591062</v>
      </c>
      <c r="L78" s="324" t="s">
        <v>1123</v>
      </c>
      <c r="M78" s="745"/>
      <c r="N78" s="332"/>
    </row>
    <row r="79" spans="1:16" ht="12.75" customHeight="1" x14ac:dyDescent="0.2">
      <c r="A79" s="837" t="s">
        <v>950</v>
      </c>
      <c r="B79" s="435"/>
      <c r="C79" s="435"/>
      <c r="D79" s="435"/>
      <c r="E79" s="435"/>
      <c r="F79" s="435"/>
      <c r="G79" s="435"/>
      <c r="H79" s="435"/>
      <c r="I79" s="435"/>
      <c r="J79" s="463">
        <v>3268484</v>
      </c>
      <c r="L79" s="310" t="s">
        <v>1125</v>
      </c>
      <c r="M79" s="745"/>
    </row>
    <row r="80" spans="1:16" ht="12.75" customHeight="1" x14ac:dyDescent="0.2">
      <c r="A80" s="435" t="s">
        <v>136</v>
      </c>
      <c r="B80" s="435"/>
      <c r="C80" s="435"/>
      <c r="D80" s="435"/>
      <c r="E80" s="435"/>
      <c r="F80" s="435"/>
      <c r="G80" s="435"/>
      <c r="H80" s="435"/>
      <c r="I80" s="435"/>
      <c r="J80" s="463">
        <v>-475684</v>
      </c>
      <c r="L80" s="601" t="s">
        <v>1126</v>
      </c>
      <c r="M80" s="745"/>
      <c r="P80" s="302"/>
    </row>
    <row r="81" spans="1:13" ht="25.5" customHeight="1" x14ac:dyDescent="0.2">
      <c r="A81" s="1012" t="s">
        <v>945</v>
      </c>
      <c r="B81" s="1012"/>
      <c r="C81" s="1012"/>
      <c r="D81" s="1012"/>
      <c r="E81" s="1012"/>
      <c r="F81" s="1012"/>
      <c r="G81" s="1012"/>
      <c r="H81" s="1012"/>
      <c r="I81" s="436"/>
      <c r="J81" s="461">
        <v>-14012260</v>
      </c>
      <c r="L81" s="302" t="s">
        <v>1127</v>
      </c>
      <c r="M81" s="745"/>
    </row>
    <row r="82" spans="1:13" ht="12.75" customHeight="1" thickBot="1" x14ac:dyDescent="0.25">
      <c r="A82" s="1012" t="s">
        <v>137</v>
      </c>
      <c r="B82" s="1012"/>
      <c r="C82" s="1012"/>
      <c r="D82" s="1012"/>
      <c r="E82" s="1012"/>
      <c r="F82" s="1012"/>
      <c r="G82" s="1012"/>
      <c r="H82" s="1012"/>
      <c r="I82" s="436"/>
      <c r="J82" s="611">
        <f>SUM(J66:J81)+J51</f>
        <v>14361329.949999999</v>
      </c>
      <c r="K82" s="323">
        <f>J82-'GWNetPos 68 Exh 1'!B56</f>
        <v>-5.000000074505806E-2</v>
      </c>
      <c r="L82" s="323"/>
      <c r="M82" s="745"/>
    </row>
    <row r="83" spans="1:13" ht="12.75" customHeight="1" thickTop="1" x14ac:dyDescent="0.2">
      <c r="M83" s="745"/>
    </row>
    <row r="84" spans="1:13" x14ac:dyDescent="0.2">
      <c r="J84" s="850"/>
      <c r="K84" s="323"/>
      <c r="M84" s="745"/>
    </row>
    <row r="85" spans="1:13" x14ac:dyDescent="0.2">
      <c r="A85" s="310" t="str">
        <f>'GWNetPos 68 Exh 1'!A59</f>
        <v>The notes to the financial statements are an integral part of this statement.</v>
      </c>
      <c r="J85" s="332"/>
      <c r="L85" s="332"/>
    </row>
    <row r="86" spans="1:13" ht="13.5" thickBot="1" x14ac:dyDescent="0.25">
      <c r="J86" s="318"/>
      <c r="L86" s="302"/>
    </row>
    <row r="87" spans="1:13" ht="26.25" customHeight="1" thickBot="1" x14ac:dyDescent="0.25">
      <c r="A87" s="1009" t="s">
        <v>1195</v>
      </c>
      <c r="B87" s="1010"/>
      <c r="C87" s="1010"/>
      <c r="D87" s="1010"/>
      <c r="E87" s="1010"/>
      <c r="F87" s="1010"/>
      <c r="G87" s="1010"/>
      <c r="H87" s="1010"/>
      <c r="I87" s="1010"/>
      <c r="J87" s="1011"/>
      <c r="L87" s="302"/>
    </row>
    <row r="88" spans="1:13" x14ac:dyDescent="0.2">
      <c r="L88" s="332"/>
    </row>
    <row r="89" spans="1:13" hidden="1" x14ac:dyDescent="0.2">
      <c r="J89" s="302">
        <f>'GWNetPos 68 Exh 1'!B56</f>
        <v>14361330</v>
      </c>
    </row>
    <row r="90" spans="1:13" hidden="1" x14ac:dyDescent="0.2"/>
    <row r="91" spans="1:13" hidden="1" x14ac:dyDescent="0.2">
      <c r="J91" s="332">
        <f>J82-J89</f>
        <v>-5.000000074505806E-2</v>
      </c>
    </row>
  </sheetData>
  <customSheetViews>
    <customSheetView guid="{E0C60316-4586-4AAF-92CB-FA82BB1EB755}" topLeftCell="A44">
      <selection activeCell="B40" sqref="B40"/>
      <rowBreaks count="1" manualBreakCount="1">
        <brk id="49" max="3" man="1"/>
      </rowBreaks>
      <pageMargins left="0" right="0" top="0" bottom="0" header="0" footer="0"/>
      <printOptions horizontalCentered="1"/>
      <pageSetup scale="86" firstPageNumber="31" fitToHeight="0" orientation="portrait" useFirstPageNumber="1" r:id="rId1"/>
      <headerFooter alignWithMargins="0"/>
    </customSheetView>
    <customSheetView guid="{A8748736-0722-49EB-85B6-C9B52DDCFE0E}" showPageBreaks="1" printArea="1" hiddenColumns="1" topLeftCell="A76">
      <selection activeCell="A40" sqref="A40"/>
      <rowBreaks count="1" manualBreakCount="1">
        <brk id="53" max="16383" man="1"/>
      </rowBreaks>
      <pageMargins left="0.75" right="0.75" top="1" bottom="1" header="0.5" footer="0.5"/>
      <printOptions horizontalCentered="1"/>
      <pageSetup scale="86" firstPageNumber="31" fitToHeight="0" orientation="portrait" useFirstPageNumber="1" r:id="rId2"/>
      <headerFooter alignWithMargins="0"/>
    </customSheetView>
  </customSheetViews>
  <mergeCells count="22">
    <mergeCell ref="A87:J87"/>
    <mergeCell ref="A81:H81"/>
    <mergeCell ref="A61:J61"/>
    <mergeCell ref="A72:H72"/>
    <mergeCell ref="A58:J58"/>
    <mergeCell ref="A82:H82"/>
    <mergeCell ref="A68:H68"/>
    <mergeCell ref="A74:H74"/>
    <mergeCell ref="A67:H67"/>
    <mergeCell ref="A66:H66"/>
    <mergeCell ref="A60:J60"/>
    <mergeCell ref="A78:H78"/>
    <mergeCell ref="A59:J59"/>
    <mergeCell ref="A70:H70"/>
    <mergeCell ref="A65:H65"/>
    <mergeCell ref="A73:H73"/>
    <mergeCell ref="A71:H71"/>
    <mergeCell ref="A1:J1"/>
    <mergeCell ref="A2:J2"/>
    <mergeCell ref="A3:J3"/>
    <mergeCell ref="A4:J4"/>
    <mergeCell ref="B7:F7"/>
  </mergeCells>
  <phoneticPr fontId="0" type="noConversion"/>
  <printOptions horizontalCentered="1"/>
  <pageMargins left="0.75" right="0.75" top="1" bottom="1" header="0.5" footer="0.5"/>
  <pageSetup scale="78" firstPageNumber="31" fitToHeight="2" orientation="portrait" useFirstPageNumber="1" r:id="rId3"/>
  <headerFooter alignWithMargins="0"/>
  <rowBreaks count="1" manualBreakCount="1">
    <brk id="57" max="9"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7" tint="0.39997558519241921"/>
  </sheetPr>
  <dimension ref="A1:M87"/>
  <sheetViews>
    <sheetView zoomScaleNormal="100" workbookViewId="0">
      <selection activeCell="D7" sqref="D7"/>
    </sheetView>
  </sheetViews>
  <sheetFormatPr defaultColWidth="9.140625" defaultRowHeight="12.75" x14ac:dyDescent="0.2"/>
  <cols>
    <col min="1" max="1" width="2.42578125" style="310" customWidth="1"/>
    <col min="2" max="2" width="2.7109375" style="310" customWidth="1"/>
    <col min="3" max="3" width="2.85546875" style="310" customWidth="1"/>
    <col min="4" max="4" width="27.42578125" style="310" customWidth="1"/>
    <col min="5" max="5" width="13" style="310" customWidth="1"/>
    <col min="6" max="6" width="1.7109375" style="310" customWidth="1"/>
    <col min="7" max="7" width="9.85546875" style="310" bestFit="1" customWidth="1"/>
    <col min="8" max="8" width="1.7109375" style="310" customWidth="1"/>
    <col min="9" max="9" width="10.5703125" style="310" bestFit="1" customWidth="1"/>
    <col min="10" max="10" width="9.140625" style="310"/>
    <col min="11" max="11" width="10.28515625" style="310" bestFit="1" customWidth="1"/>
    <col min="12" max="16384" width="9.140625" style="310"/>
  </cols>
  <sheetData>
    <row r="1" spans="1:9" x14ac:dyDescent="0.2">
      <c r="A1" s="192" t="s">
        <v>0</v>
      </c>
      <c r="B1" s="111"/>
      <c r="C1" s="111"/>
      <c r="D1" s="111"/>
      <c r="E1" s="111"/>
      <c r="F1" s="111"/>
      <c r="G1" s="111"/>
      <c r="H1" s="111"/>
      <c r="I1" s="111"/>
    </row>
    <row r="2" spans="1:9" x14ac:dyDescent="0.2">
      <c r="A2" s="192" t="s">
        <v>639</v>
      </c>
      <c r="B2" s="111"/>
      <c r="C2" s="111"/>
      <c r="D2" s="111"/>
      <c r="E2" s="111"/>
      <c r="F2" s="111"/>
      <c r="G2" s="111"/>
      <c r="H2" s="111"/>
      <c r="I2" s="111"/>
    </row>
    <row r="3" spans="1:9" x14ac:dyDescent="0.2">
      <c r="A3" s="192" t="s">
        <v>640</v>
      </c>
      <c r="B3" s="111"/>
      <c r="C3" s="111"/>
      <c r="D3" s="111"/>
      <c r="E3" s="111"/>
      <c r="F3" s="111"/>
      <c r="G3" s="111"/>
      <c r="H3" s="111"/>
      <c r="I3" s="111"/>
    </row>
    <row r="4" spans="1:9" x14ac:dyDescent="0.2">
      <c r="A4" s="192" t="s">
        <v>641</v>
      </c>
      <c r="B4" s="111"/>
      <c r="C4" s="111"/>
      <c r="D4" s="111"/>
      <c r="E4" s="111"/>
      <c r="F4" s="111"/>
      <c r="G4" s="111"/>
      <c r="H4" s="111"/>
      <c r="I4" s="111"/>
    </row>
    <row r="5" spans="1:9" x14ac:dyDescent="0.2">
      <c r="A5" s="192" t="str">
        <f>'GWStmtAct 68 Exh 2'!A3</f>
        <v>For the Year Ended June 30, 2025</v>
      </c>
      <c r="B5" s="111"/>
      <c r="C5" s="111"/>
      <c r="D5" s="111"/>
      <c r="E5" s="111"/>
      <c r="F5" s="111"/>
      <c r="G5" s="111"/>
      <c r="H5" s="111"/>
      <c r="I5" s="111"/>
    </row>
    <row r="6" spans="1:9" x14ac:dyDescent="0.2">
      <c r="A6" s="192"/>
      <c r="B6" s="111"/>
      <c r="C6" s="111"/>
      <c r="D6" s="111"/>
      <c r="E6" s="111"/>
      <c r="F6" s="111"/>
      <c r="G6" s="111"/>
      <c r="H6" s="111"/>
      <c r="I6" s="111"/>
    </row>
    <row r="7" spans="1:9" x14ac:dyDescent="0.2">
      <c r="A7" s="192"/>
      <c r="B7" s="111"/>
      <c r="C7" s="111"/>
      <c r="D7" s="111"/>
      <c r="E7" s="111"/>
      <c r="F7" s="111"/>
      <c r="G7" s="111"/>
      <c r="H7" s="111"/>
      <c r="I7" s="111"/>
    </row>
    <row r="8" spans="1:9" ht="13.5" thickBot="1" x14ac:dyDescent="0.25">
      <c r="A8" s="81"/>
      <c r="B8" s="81"/>
      <c r="C8" s="81"/>
      <c r="D8" s="81"/>
      <c r="E8" s="81"/>
      <c r="F8" s="81"/>
      <c r="G8" s="81"/>
      <c r="H8" s="81"/>
      <c r="I8" s="81"/>
    </row>
    <row r="9" spans="1:9" x14ac:dyDescent="0.2">
      <c r="A9" s="26"/>
      <c r="B9" s="26"/>
      <c r="C9" s="26"/>
      <c r="D9" s="26"/>
      <c r="E9" s="26"/>
      <c r="F9" s="26"/>
      <c r="G9" s="26"/>
      <c r="H9" s="26"/>
      <c r="I9" s="113" t="s">
        <v>187</v>
      </c>
    </row>
    <row r="10" spans="1:9" x14ac:dyDescent="0.2">
      <c r="A10" s="26"/>
      <c r="B10" s="26"/>
      <c r="C10" s="26"/>
      <c r="D10" s="26"/>
      <c r="E10" s="113" t="s">
        <v>189</v>
      </c>
      <c r="F10" s="26"/>
      <c r="G10" s="26"/>
      <c r="H10" s="26"/>
      <c r="I10" s="809" t="s">
        <v>1053</v>
      </c>
    </row>
    <row r="11" spans="1:9" x14ac:dyDescent="0.2">
      <c r="A11" s="26"/>
      <c r="B11" s="26"/>
      <c r="C11" s="26"/>
      <c r="D11" s="26"/>
      <c r="E11" s="117" t="s">
        <v>190</v>
      </c>
      <c r="F11" s="26"/>
      <c r="G11" s="117" t="s">
        <v>191</v>
      </c>
      <c r="H11" s="26"/>
      <c r="I11" s="810" t="s">
        <v>1054</v>
      </c>
    </row>
    <row r="12" spans="1:9" x14ac:dyDescent="0.2">
      <c r="A12" s="198" t="s">
        <v>192</v>
      </c>
      <c r="B12" s="26"/>
      <c r="C12" s="26"/>
      <c r="D12" s="26"/>
      <c r="E12" s="121"/>
      <c r="F12" s="121"/>
      <c r="G12" s="121"/>
      <c r="H12" s="121"/>
      <c r="I12" s="121"/>
    </row>
    <row r="13" spans="1:9" x14ac:dyDescent="0.2">
      <c r="A13" s="89"/>
      <c r="B13" s="89" t="s">
        <v>642</v>
      </c>
      <c r="C13" s="26"/>
      <c r="D13" s="26"/>
      <c r="E13" s="121"/>
      <c r="F13" s="121"/>
      <c r="G13" s="121"/>
      <c r="H13" s="121"/>
      <c r="I13" s="121"/>
    </row>
    <row r="14" spans="1:9" x14ac:dyDescent="0.2">
      <c r="A14" s="89"/>
      <c r="B14" s="89"/>
      <c r="C14" s="26" t="s">
        <v>643</v>
      </c>
      <c r="D14" s="26"/>
      <c r="E14" s="121"/>
      <c r="F14" s="121"/>
      <c r="G14" s="121"/>
      <c r="H14" s="121"/>
      <c r="I14" s="121"/>
    </row>
    <row r="15" spans="1:9" x14ac:dyDescent="0.2">
      <c r="A15" s="26"/>
      <c r="D15" s="26" t="s">
        <v>644</v>
      </c>
      <c r="E15" s="193"/>
      <c r="F15" s="151"/>
      <c r="G15" s="150">
        <f>224542-4000+100881-6596</f>
        <v>314827</v>
      </c>
      <c r="H15" s="151"/>
      <c r="I15" s="193"/>
    </row>
    <row r="16" spans="1:9" x14ac:dyDescent="0.2">
      <c r="A16" s="26"/>
      <c r="D16" s="26" t="s">
        <v>645</v>
      </c>
      <c r="E16" s="194"/>
      <c r="F16" s="121"/>
      <c r="G16" s="125">
        <v>2453</v>
      </c>
      <c r="H16" s="121"/>
      <c r="I16" s="156"/>
    </row>
    <row r="17" spans="1:11" x14ac:dyDescent="0.2">
      <c r="A17" s="26"/>
      <c r="D17" s="26" t="s">
        <v>646</v>
      </c>
      <c r="E17" s="194"/>
      <c r="F17" s="121"/>
      <c r="G17" s="125">
        <v>3000</v>
      </c>
      <c r="H17" s="121"/>
      <c r="I17" s="156"/>
    </row>
    <row r="18" spans="1:11" x14ac:dyDescent="0.2">
      <c r="A18" s="26"/>
      <c r="C18" s="26" t="s">
        <v>647</v>
      </c>
      <c r="D18" s="26"/>
      <c r="E18" s="195"/>
      <c r="F18" s="121"/>
      <c r="G18" s="152">
        <v>100</v>
      </c>
      <c r="H18" s="121"/>
      <c r="I18" s="195"/>
    </row>
    <row r="19" spans="1:11" x14ac:dyDescent="0.2">
      <c r="A19" s="26"/>
      <c r="B19" s="26"/>
      <c r="D19" s="89" t="s">
        <v>6</v>
      </c>
      <c r="E19" s="196">
        <f>222200+100000+15000</f>
        <v>337200</v>
      </c>
      <c r="F19" s="121"/>
      <c r="G19" s="427">
        <f>SUM(G15:G18)</f>
        <v>320380</v>
      </c>
      <c r="H19" s="121"/>
      <c r="I19" s="196">
        <f>+G19-E19</f>
        <v>-16820</v>
      </c>
    </row>
    <row r="20" spans="1:11" x14ac:dyDescent="0.2">
      <c r="A20" s="26"/>
      <c r="B20" s="26"/>
      <c r="C20" s="26"/>
      <c r="D20" s="26"/>
      <c r="E20" s="149"/>
      <c r="F20" s="121"/>
      <c r="G20" s="149"/>
      <c r="H20" s="121"/>
      <c r="I20" s="149"/>
    </row>
    <row r="21" spans="1:11" x14ac:dyDescent="0.2">
      <c r="B21" s="26" t="s">
        <v>648</v>
      </c>
      <c r="C21" s="26"/>
      <c r="D21" s="26"/>
      <c r="E21" s="149"/>
      <c r="F21" s="121"/>
      <c r="G21" s="149"/>
      <c r="H21" s="121"/>
      <c r="I21" s="149"/>
    </row>
    <row r="22" spans="1:11" x14ac:dyDescent="0.2">
      <c r="B22" s="26"/>
      <c r="C22" s="26" t="s">
        <v>248</v>
      </c>
      <c r="D22" s="26"/>
      <c r="E22" s="149"/>
      <c r="F22" s="121"/>
      <c r="G22" s="149">
        <v>1000</v>
      </c>
      <c r="H22" s="121"/>
      <c r="I22" s="149"/>
    </row>
    <row r="23" spans="1:11" x14ac:dyDescent="0.2">
      <c r="B23" s="26"/>
      <c r="C23" s="26" t="s">
        <v>249</v>
      </c>
      <c r="D23" s="26"/>
      <c r="E23" s="149"/>
      <c r="F23" s="121"/>
      <c r="G23" s="149">
        <f>74811-32811</f>
        <v>42000</v>
      </c>
      <c r="H23" s="121"/>
      <c r="I23" s="149"/>
    </row>
    <row r="24" spans="1:11" x14ac:dyDescent="0.2">
      <c r="B24" s="26"/>
      <c r="C24" s="26" t="s">
        <v>250</v>
      </c>
      <c r="D24" s="26"/>
      <c r="E24" s="149"/>
      <c r="F24" s="121"/>
      <c r="G24" s="149">
        <v>58000</v>
      </c>
      <c r="H24" s="121"/>
      <c r="I24" s="149"/>
    </row>
    <row r="25" spans="1:11" x14ac:dyDescent="0.2">
      <c r="B25" s="26"/>
      <c r="C25" s="89" t="s">
        <v>148</v>
      </c>
      <c r="D25" s="26"/>
      <c r="E25" s="154"/>
      <c r="F25" s="121"/>
      <c r="G25" s="154">
        <v>917</v>
      </c>
      <c r="H25" s="121"/>
      <c r="I25" s="154"/>
    </row>
    <row r="26" spans="1:11" x14ac:dyDescent="0.2">
      <c r="B26" s="26"/>
      <c r="C26" s="89"/>
      <c r="D26" s="26" t="s">
        <v>6</v>
      </c>
      <c r="E26" s="197">
        <f>100800</f>
        <v>100800</v>
      </c>
      <c r="F26" s="121"/>
      <c r="G26" s="197">
        <f>SUM(G22:G25)</f>
        <v>101917</v>
      </c>
      <c r="H26" s="121"/>
      <c r="I26" s="197">
        <f>+G26-E26</f>
        <v>1117</v>
      </c>
    </row>
    <row r="27" spans="1:11" x14ac:dyDescent="0.2">
      <c r="A27" s="26"/>
      <c r="B27" s="26"/>
      <c r="C27" s="26"/>
      <c r="D27" s="89" t="s">
        <v>150</v>
      </c>
      <c r="E27" s="154">
        <f>E19+E26</f>
        <v>438000</v>
      </c>
      <c r="F27" s="121"/>
      <c r="G27" s="154">
        <f>G26+G19</f>
        <v>422297</v>
      </c>
      <c r="H27" s="121"/>
      <c r="I27" s="154">
        <f>+G27-E27</f>
        <v>-15703</v>
      </c>
      <c r="K27" s="302"/>
    </row>
    <row r="28" spans="1:11" x14ac:dyDescent="0.2">
      <c r="A28" s="26"/>
      <c r="B28" s="26"/>
      <c r="C28" s="26"/>
      <c r="D28" s="26"/>
      <c r="E28" s="145"/>
      <c r="F28" s="26"/>
      <c r="G28" s="145"/>
      <c r="H28" s="26"/>
      <c r="I28" s="145"/>
    </row>
    <row r="29" spans="1:11" x14ac:dyDescent="0.2">
      <c r="A29" s="198" t="s">
        <v>439</v>
      </c>
      <c r="B29" s="26"/>
      <c r="D29" s="26"/>
      <c r="E29" s="145"/>
      <c r="F29" s="26"/>
      <c r="G29" s="145"/>
      <c r="H29" s="26"/>
      <c r="I29" s="145"/>
    </row>
    <row r="30" spans="1:11" x14ac:dyDescent="0.2">
      <c r="A30" s="89"/>
      <c r="B30" s="26" t="s">
        <v>649</v>
      </c>
      <c r="C30" s="26"/>
      <c r="D30" s="26"/>
      <c r="E30" s="145"/>
      <c r="F30" s="26"/>
      <c r="G30" s="145"/>
      <c r="H30" s="26"/>
      <c r="I30" s="145"/>
    </row>
    <row r="31" spans="1:11" x14ac:dyDescent="0.2">
      <c r="A31" s="26"/>
      <c r="B31" s="26"/>
      <c r="C31" s="89" t="s">
        <v>442</v>
      </c>
      <c r="D31" s="26"/>
      <c r="E31" s="156"/>
      <c r="F31" s="26"/>
      <c r="G31" s="149">
        <f>17531-6131+20000+17918</f>
        <v>49318</v>
      </c>
      <c r="H31" s="26"/>
      <c r="I31" s="156"/>
      <c r="K31" s="302"/>
    </row>
    <row r="32" spans="1:11" x14ac:dyDescent="0.2">
      <c r="A32" s="26"/>
      <c r="B32" s="26"/>
      <c r="C32" s="89" t="s">
        <v>650</v>
      </c>
      <c r="D32" s="26"/>
      <c r="E32" s="156"/>
      <c r="F32" s="26"/>
      <c r="G32" s="149">
        <v>2488</v>
      </c>
      <c r="H32" s="26"/>
      <c r="I32" s="156"/>
    </row>
    <row r="33" spans="1:13" x14ac:dyDescent="0.2">
      <c r="A33" s="26"/>
      <c r="B33" s="26"/>
      <c r="C33" s="89" t="s">
        <v>443</v>
      </c>
      <c r="D33" s="26"/>
      <c r="E33" s="195"/>
      <c r="F33" s="26"/>
      <c r="G33" s="154">
        <v>2014</v>
      </c>
      <c r="H33" s="26"/>
      <c r="I33" s="157"/>
    </row>
    <row r="34" spans="1:13" x14ac:dyDescent="0.2">
      <c r="A34" s="26"/>
      <c r="B34" s="26"/>
      <c r="C34" s="26"/>
      <c r="D34" s="89" t="s">
        <v>6</v>
      </c>
      <c r="E34" s="282">
        <f>23000+20000</f>
        <v>43000</v>
      </c>
      <c r="F34" s="26"/>
      <c r="G34" s="154">
        <f>SUM(G31:G33)</f>
        <v>53820</v>
      </c>
      <c r="H34" s="26"/>
      <c r="I34" s="154">
        <f>E34-G34</f>
        <v>-10820</v>
      </c>
    </row>
    <row r="35" spans="1:13" x14ac:dyDescent="0.2">
      <c r="A35" s="26"/>
      <c r="B35" s="26"/>
      <c r="C35" s="26"/>
      <c r="D35" s="26"/>
      <c r="E35" s="145"/>
      <c r="F35" s="26"/>
      <c r="G35" s="149"/>
      <c r="H35" s="26"/>
      <c r="I35" s="145"/>
      <c r="K35" s="302"/>
      <c r="M35" s="355"/>
    </row>
    <row r="36" spans="1:13" x14ac:dyDescent="0.2">
      <c r="A36" s="26"/>
      <c r="B36" s="89" t="s">
        <v>651</v>
      </c>
      <c r="C36" s="26"/>
      <c r="D36" s="26"/>
      <c r="E36" s="145"/>
      <c r="F36" s="26"/>
      <c r="G36" s="149"/>
      <c r="H36" s="26"/>
      <c r="I36" s="145"/>
      <c r="K36" s="324"/>
      <c r="M36" s="355"/>
    </row>
    <row r="37" spans="1:13" x14ac:dyDescent="0.2">
      <c r="A37" s="26"/>
      <c r="B37" s="26"/>
      <c r="C37" s="89" t="s">
        <v>442</v>
      </c>
      <c r="D37" s="26"/>
      <c r="E37" s="156"/>
      <c r="F37" s="26"/>
      <c r="G37" s="149">
        <f>55121-3000+100000+881-12263+80000+1001000*0.05*0.32+0.05*0.32*(43000)</f>
        <v>237443</v>
      </c>
      <c r="H37" s="26"/>
      <c r="I37" s="156"/>
      <c r="K37" s="302"/>
    </row>
    <row r="38" spans="1:13" x14ac:dyDescent="0.2">
      <c r="A38" s="26"/>
      <c r="B38" s="26"/>
      <c r="C38" s="89" t="s">
        <v>650</v>
      </c>
      <c r="D38" s="26"/>
      <c r="E38" s="156"/>
      <c r="F38" s="26"/>
      <c r="G38" s="149">
        <v>7206</v>
      </c>
      <c r="H38" s="26"/>
      <c r="I38" s="156"/>
    </row>
    <row r="39" spans="1:13" x14ac:dyDescent="0.2">
      <c r="A39" s="26"/>
      <c r="B39" s="26"/>
      <c r="C39" s="89" t="s">
        <v>652</v>
      </c>
      <c r="D39" s="26"/>
      <c r="E39" s="156"/>
      <c r="F39" s="26"/>
      <c r="G39" s="149">
        <f>18411-6132+2093</f>
        <v>14372</v>
      </c>
      <c r="H39" s="26"/>
      <c r="I39" s="156"/>
    </row>
    <row r="40" spans="1:13" x14ac:dyDescent="0.2">
      <c r="A40" s="26"/>
      <c r="B40" s="26"/>
      <c r="C40" s="89" t="s">
        <v>653</v>
      </c>
      <c r="D40" s="26"/>
      <c r="E40" s="156"/>
      <c r="F40" s="26"/>
      <c r="G40" s="149">
        <v>3000</v>
      </c>
      <c r="H40" s="26"/>
      <c r="I40" s="156"/>
    </row>
    <row r="41" spans="1:13" x14ac:dyDescent="0.2">
      <c r="A41" s="26"/>
      <c r="B41" s="26"/>
      <c r="C41" s="89" t="s">
        <v>443</v>
      </c>
      <c r="D41" s="26"/>
      <c r="E41" s="195"/>
      <c r="F41" s="26"/>
      <c r="G41" s="154">
        <f>3494+145</f>
        <v>3639</v>
      </c>
      <c r="H41" s="26"/>
      <c r="I41" s="157"/>
    </row>
    <row r="42" spans="1:13" x14ac:dyDescent="0.2">
      <c r="A42" s="26"/>
      <c r="B42" s="26"/>
      <c r="C42" s="26"/>
      <c r="D42" s="89" t="s">
        <v>6</v>
      </c>
      <c r="E42" s="282">
        <f>188000+80000+15000</f>
        <v>283000</v>
      </c>
      <c r="F42" s="26"/>
      <c r="G42" s="154">
        <f>SUM(G37:G41)</f>
        <v>265660</v>
      </c>
      <c r="H42" s="26"/>
      <c r="I42" s="154">
        <f>E42-G42</f>
        <v>17340</v>
      </c>
    </row>
    <row r="43" spans="1:13" x14ac:dyDescent="0.2">
      <c r="A43" s="26"/>
      <c r="B43" s="26"/>
      <c r="C43" s="26"/>
      <c r="D43" s="26"/>
      <c r="E43" s="145"/>
      <c r="F43" s="26"/>
      <c r="G43" s="145"/>
      <c r="H43" s="26"/>
      <c r="I43" s="145"/>
    </row>
    <row r="44" spans="1:13" x14ac:dyDescent="0.2">
      <c r="A44" s="26"/>
      <c r="B44" s="89" t="s">
        <v>654</v>
      </c>
      <c r="C44" s="26"/>
      <c r="D44" s="26"/>
      <c r="E44" s="199">
        <v>47000</v>
      </c>
      <c r="F44" s="121"/>
      <c r="G44" s="154">
        <v>46559</v>
      </c>
      <c r="H44" s="121"/>
      <c r="I44" s="154">
        <f>E44-G44</f>
        <v>441</v>
      </c>
    </row>
    <row r="45" spans="1:13" x14ac:dyDescent="0.2">
      <c r="A45" s="26"/>
      <c r="B45" s="26"/>
      <c r="C45" s="26"/>
      <c r="D45" s="89" t="s">
        <v>162</v>
      </c>
      <c r="E45" s="154">
        <f>E34+E42+E44</f>
        <v>373000</v>
      </c>
      <c r="F45" s="121"/>
      <c r="G45" s="154">
        <f>G42+G44+G34</f>
        <v>366039</v>
      </c>
      <c r="H45" s="121"/>
      <c r="I45" s="154">
        <f>E45-G45</f>
        <v>6961</v>
      </c>
    </row>
    <row r="46" spans="1:13" x14ac:dyDescent="0.2">
      <c r="A46" s="26"/>
      <c r="B46" s="26"/>
      <c r="C46" s="26"/>
      <c r="D46" s="26"/>
      <c r="E46" s="145"/>
      <c r="F46" s="26"/>
      <c r="G46" s="145"/>
      <c r="H46" s="26"/>
      <c r="I46" s="145"/>
    </row>
    <row r="47" spans="1:13" x14ac:dyDescent="0.2">
      <c r="A47" s="89" t="s">
        <v>531</v>
      </c>
      <c r="B47" s="26"/>
      <c r="C47" s="26"/>
      <c r="D47" s="26"/>
      <c r="E47" s="154">
        <f>E27-E45</f>
        <v>65000</v>
      </c>
      <c r="F47" s="121"/>
      <c r="G47" s="154">
        <f>G27-G45</f>
        <v>56258</v>
      </c>
      <c r="H47" s="121"/>
      <c r="I47" s="154">
        <f>I27+I45</f>
        <v>-8742</v>
      </c>
      <c r="K47" s="302"/>
    </row>
    <row r="48" spans="1:13" x14ac:dyDescent="0.2">
      <c r="A48" s="89"/>
      <c r="B48" s="26"/>
      <c r="C48" s="26"/>
      <c r="D48" s="26"/>
      <c r="E48" s="125"/>
      <c r="F48" s="121"/>
      <c r="G48" s="125"/>
      <c r="H48" s="121"/>
      <c r="I48" s="125"/>
    </row>
    <row r="49" spans="1:11" x14ac:dyDescent="0.2">
      <c r="A49" s="26"/>
      <c r="B49" s="26"/>
      <c r="C49" s="26"/>
      <c r="D49" s="26"/>
      <c r="E49" s="149"/>
      <c r="F49" s="121"/>
      <c r="G49" s="149"/>
      <c r="H49" s="121"/>
      <c r="I49" s="322" t="s">
        <v>277</v>
      </c>
    </row>
    <row r="50" spans="1:11" x14ac:dyDescent="0.2">
      <c r="A50" s="26"/>
      <c r="B50" s="26"/>
      <c r="C50" s="26"/>
      <c r="D50" s="26"/>
      <c r="E50" s="149"/>
      <c r="F50" s="121"/>
      <c r="G50" s="149"/>
      <c r="H50" s="121"/>
      <c r="I50" s="322"/>
    </row>
    <row r="51" spans="1:11" x14ac:dyDescent="0.2">
      <c r="A51" s="26"/>
      <c r="B51" s="26"/>
      <c r="C51" s="26"/>
      <c r="D51" s="26"/>
      <c r="E51" s="149"/>
      <c r="F51" s="121"/>
      <c r="G51" s="149"/>
      <c r="H51" s="121"/>
      <c r="I51" s="322"/>
    </row>
    <row r="52" spans="1:11" x14ac:dyDescent="0.2">
      <c r="A52" s="26"/>
      <c r="B52" s="26"/>
      <c r="C52" s="26"/>
      <c r="D52" s="26"/>
      <c r="E52" s="149"/>
      <c r="F52" s="121"/>
      <c r="G52" s="149"/>
      <c r="H52" s="121"/>
      <c r="I52" s="322"/>
    </row>
    <row r="53" spans="1:11" ht="13.5" thickBot="1" x14ac:dyDescent="0.25">
      <c r="A53" s="81"/>
      <c r="B53" s="81"/>
      <c r="C53" s="81"/>
      <c r="D53" s="81"/>
      <c r="E53" s="81"/>
      <c r="F53" s="81"/>
      <c r="G53" s="81"/>
      <c r="H53" s="81"/>
      <c r="I53" s="81"/>
    </row>
    <row r="54" spans="1:11" x14ac:dyDescent="0.2">
      <c r="A54" s="26"/>
      <c r="B54" s="26"/>
      <c r="C54" s="26"/>
      <c r="D54" s="26"/>
      <c r="E54" s="26"/>
      <c r="F54" s="26"/>
      <c r="G54" s="26"/>
      <c r="H54" s="26"/>
      <c r="I54" s="113" t="s">
        <v>187</v>
      </c>
    </row>
    <row r="55" spans="1:11" x14ac:dyDescent="0.2">
      <c r="A55" s="26"/>
      <c r="B55" s="26"/>
      <c r="C55" s="26"/>
      <c r="D55" s="26"/>
      <c r="E55" s="113" t="s">
        <v>189</v>
      </c>
      <c r="F55" s="26"/>
      <c r="G55" s="26"/>
      <c r="H55" s="26"/>
      <c r="I55" s="809" t="s">
        <v>1053</v>
      </c>
    </row>
    <row r="56" spans="1:11" x14ac:dyDescent="0.2">
      <c r="A56" s="26"/>
      <c r="B56" s="26"/>
      <c r="C56" s="26"/>
      <c r="D56" s="26"/>
      <c r="E56" s="117" t="s">
        <v>190</v>
      </c>
      <c r="F56" s="26"/>
      <c r="G56" s="117" t="s">
        <v>191</v>
      </c>
      <c r="H56" s="26"/>
      <c r="I56" s="810" t="s">
        <v>1054</v>
      </c>
    </row>
    <row r="57" spans="1:11" x14ac:dyDescent="0.2">
      <c r="A57" s="26"/>
      <c r="B57" s="26"/>
      <c r="C57" s="26"/>
      <c r="D57" s="26"/>
      <c r="E57" s="149"/>
      <c r="F57" s="121"/>
      <c r="G57" s="149"/>
      <c r="H57" s="121"/>
      <c r="I57" s="322"/>
    </row>
    <row r="58" spans="1:11" x14ac:dyDescent="0.2">
      <c r="A58" s="198" t="s">
        <v>655</v>
      </c>
      <c r="B58" s="26"/>
      <c r="C58" s="26"/>
      <c r="D58" s="26"/>
      <c r="E58" s="149"/>
      <c r="F58" s="121"/>
      <c r="G58" s="149"/>
      <c r="H58" s="121"/>
      <c r="I58" s="149"/>
    </row>
    <row r="59" spans="1:11" x14ac:dyDescent="0.2">
      <c r="A59" s="26"/>
      <c r="B59" s="89" t="s">
        <v>636</v>
      </c>
      <c r="C59" s="26"/>
      <c r="D59" s="26"/>
      <c r="E59" s="149"/>
      <c r="F59" s="121"/>
      <c r="G59" s="149"/>
      <c r="H59" s="121"/>
      <c r="I59" s="149"/>
    </row>
    <row r="60" spans="1:11" x14ac:dyDescent="0.2">
      <c r="A60" s="26"/>
      <c r="B60" s="26"/>
      <c r="C60" s="89" t="s">
        <v>656</v>
      </c>
      <c r="D60" s="26"/>
      <c r="E60" s="149"/>
      <c r="F60" s="121"/>
      <c r="G60" s="149"/>
      <c r="H60" s="121"/>
      <c r="I60" s="149"/>
    </row>
    <row r="61" spans="1:11" x14ac:dyDescent="0.2">
      <c r="A61" s="26"/>
      <c r="B61" s="26"/>
      <c r="C61" s="89"/>
      <c r="D61" s="26" t="s">
        <v>657</v>
      </c>
      <c r="E61" s="154">
        <v>-65000</v>
      </c>
      <c r="F61" s="121"/>
      <c r="G61" s="154">
        <v>-65000</v>
      </c>
      <c r="H61" s="121"/>
      <c r="I61" s="154">
        <v>0</v>
      </c>
    </row>
    <row r="62" spans="1:11" x14ac:dyDescent="0.2">
      <c r="A62" s="26"/>
      <c r="B62" s="26"/>
      <c r="C62" s="26"/>
      <c r="D62" s="26"/>
      <c r="E62" s="149"/>
      <c r="F62" s="121"/>
      <c r="G62" s="149"/>
      <c r="H62" s="121"/>
      <c r="I62" s="149"/>
    </row>
    <row r="63" spans="1:11" x14ac:dyDescent="0.2">
      <c r="A63" s="89" t="s">
        <v>658</v>
      </c>
      <c r="C63" s="26"/>
      <c r="D63" s="26"/>
      <c r="E63" s="149"/>
      <c r="F63" s="121"/>
      <c r="G63" s="149"/>
      <c r="H63" s="121"/>
      <c r="I63" s="149"/>
    </row>
    <row r="64" spans="1:11" ht="13.5" thickBot="1" x14ac:dyDescent="0.25">
      <c r="A64" s="26"/>
      <c r="B64" s="89" t="s">
        <v>659</v>
      </c>
      <c r="C64" s="26"/>
      <c r="D64" s="26"/>
      <c r="E64" s="200">
        <f>E47+E61</f>
        <v>0</v>
      </c>
      <c r="F64" s="121"/>
      <c r="G64" s="200">
        <f>G47+G61</f>
        <v>-8742</v>
      </c>
      <c r="H64" s="121"/>
      <c r="I64" s="200">
        <f>I47+I61</f>
        <v>-8742</v>
      </c>
      <c r="K64" s="302"/>
    </row>
    <row r="65" spans="1:9" ht="13.5" thickTop="1" x14ac:dyDescent="0.2">
      <c r="A65" s="26"/>
      <c r="B65" s="26"/>
      <c r="C65" s="26"/>
      <c r="D65" s="26"/>
      <c r="E65" s="149"/>
      <c r="F65" s="121"/>
      <c r="G65" s="149"/>
      <c r="H65" s="121"/>
      <c r="I65" s="149"/>
    </row>
    <row r="66" spans="1:9" x14ac:dyDescent="0.2">
      <c r="A66" s="201" t="s">
        <v>660</v>
      </c>
      <c r="B66" s="202"/>
      <c r="C66" s="202"/>
      <c r="D66" s="202"/>
      <c r="E66" s="203"/>
      <c r="F66" s="203"/>
      <c r="G66" s="603"/>
      <c r="H66" s="203"/>
      <c r="I66" s="203"/>
    </row>
    <row r="67" spans="1:9" x14ac:dyDescent="0.2">
      <c r="A67" s="201" t="s">
        <v>661</v>
      </c>
      <c r="B67" s="202"/>
      <c r="C67" s="202"/>
      <c r="D67" s="202"/>
      <c r="E67" s="202"/>
      <c r="F67" s="202"/>
      <c r="G67" s="603"/>
      <c r="H67" s="202"/>
      <c r="I67" s="202"/>
    </row>
    <row r="68" spans="1:9" x14ac:dyDescent="0.2">
      <c r="A68" s="89" t="s">
        <v>658</v>
      </c>
      <c r="C68" s="202"/>
      <c r="D68" s="202"/>
      <c r="E68" s="202"/>
      <c r="F68" s="202"/>
      <c r="G68" s="603"/>
      <c r="H68" s="202"/>
      <c r="I68" s="202"/>
    </row>
    <row r="69" spans="1:9" x14ac:dyDescent="0.2">
      <c r="A69" s="26"/>
      <c r="B69" s="89" t="s">
        <v>659</v>
      </c>
      <c r="C69" s="202"/>
      <c r="D69" s="202"/>
      <c r="E69" s="202"/>
      <c r="F69" s="202"/>
      <c r="G69" s="150">
        <f>+G64</f>
        <v>-8742</v>
      </c>
      <c r="H69" s="202"/>
      <c r="I69" s="202"/>
    </row>
    <row r="70" spans="1:9" x14ac:dyDescent="0.2">
      <c r="A70" s="202"/>
      <c r="B70" s="202"/>
      <c r="C70" s="202"/>
      <c r="D70" s="202"/>
      <c r="E70" s="202"/>
      <c r="F70" s="202"/>
      <c r="G70" s="603"/>
      <c r="H70" s="202"/>
      <c r="I70" s="202"/>
    </row>
    <row r="71" spans="1:9" x14ac:dyDescent="0.2">
      <c r="A71" s="202"/>
      <c r="B71" s="204" t="s">
        <v>662</v>
      </c>
      <c r="C71" s="202"/>
      <c r="D71" s="202"/>
      <c r="E71" s="202"/>
      <c r="F71" s="202"/>
      <c r="G71" s="603"/>
      <c r="H71" s="202"/>
      <c r="I71" s="202"/>
    </row>
    <row r="72" spans="1:9" x14ac:dyDescent="0.2">
      <c r="A72" s="202"/>
      <c r="B72" s="202"/>
      <c r="C72" s="204" t="s">
        <v>654</v>
      </c>
      <c r="D72" s="202"/>
      <c r="E72" s="203"/>
      <c r="F72" s="203"/>
      <c r="G72" s="603">
        <v>46559</v>
      </c>
      <c r="H72" s="203"/>
      <c r="I72" s="203"/>
    </row>
    <row r="73" spans="1:9" x14ac:dyDescent="0.2">
      <c r="A73" s="202"/>
      <c r="B73" s="202"/>
      <c r="C73" s="204" t="s">
        <v>244</v>
      </c>
      <c r="D73" s="202"/>
      <c r="E73" s="203"/>
      <c r="F73" s="203"/>
      <c r="G73" s="603">
        <v>-50241</v>
      </c>
      <c r="H73" s="203"/>
      <c r="I73" s="203"/>
    </row>
    <row r="74" spans="1:9" x14ac:dyDescent="0.2">
      <c r="A74" s="202"/>
      <c r="B74" s="202"/>
      <c r="C74" s="204" t="s">
        <v>663</v>
      </c>
      <c r="D74" s="202"/>
      <c r="E74" s="203"/>
      <c r="F74" s="203"/>
      <c r="G74" s="603">
        <f>-'EFCF Exh 11'!E50</f>
        <v>30668.848000000002</v>
      </c>
      <c r="H74" s="203"/>
      <c r="I74" s="203"/>
    </row>
    <row r="75" spans="1:9" x14ac:dyDescent="0.2">
      <c r="A75" s="202"/>
      <c r="B75" s="202"/>
      <c r="C75" s="204" t="s">
        <v>664</v>
      </c>
      <c r="D75" s="202"/>
      <c r="E75" s="203"/>
      <c r="F75" s="203"/>
      <c r="G75" s="603">
        <f>-'EFCF Exh 11'!E52</f>
        <v>-34960.976000000002</v>
      </c>
      <c r="H75" s="203"/>
      <c r="I75" s="203"/>
    </row>
    <row r="76" spans="1:9" x14ac:dyDescent="0.2">
      <c r="A76" s="202"/>
      <c r="B76" s="202"/>
      <c r="C76" s="204" t="s">
        <v>665</v>
      </c>
      <c r="D76" s="202"/>
      <c r="E76" s="203"/>
      <c r="F76" s="203"/>
      <c r="G76" s="603">
        <f>-'EFCF Exh 11'!E54</f>
        <v>72.896000000000001</v>
      </c>
      <c r="H76" s="203"/>
      <c r="I76" s="203"/>
    </row>
    <row r="77" spans="1:9" x14ac:dyDescent="0.2">
      <c r="A77" s="202"/>
      <c r="B77" s="202"/>
      <c r="C77" s="204" t="s">
        <v>666</v>
      </c>
      <c r="D77" s="202"/>
      <c r="E77" s="203"/>
      <c r="F77" s="203"/>
      <c r="G77" s="603">
        <f>-'EFCF Exh 11'!E51</f>
        <v>117.584</v>
      </c>
      <c r="H77" s="203"/>
      <c r="I77" s="203"/>
    </row>
    <row r="78" spans="1:9" x14ac:dyDescent="0.2">
      <c r="A78" s="202"/>
      <c r="B78" s="202"/>
      <c r="C78" s="204" t="s">
        <v>667</v>
      </c>
      <c r="D78" s="202"/>
      <c r="E78" s="203"/>
      <c r="F78" s="203"/>
      <c r="G78" s="603">
        <f>-'EFCF Exh 11'!E53</f>
        <v>8205.2319999999963</v>
      </c>
      <c r="H78" s="203"/>
      <c r="I78" s="203"/>
    </row>
    <row r="79" spans="1:9" x14ac:dyDescent="0.2">
      <c r="A79" s="202"/>
      <c r="B79" s="202"/>
      <c r="C79" s="204" t="s">
        <v>668</v>
      </c>
      <c r="D79" s="202"/>
      <c r="E79" s="203"/>
      <c r="F79" s="203"/>
      <c r="G79" s="603">
        <f>-'EFCF Exh 11'!E55</f>
        <v>-8703.1039999999994</v>
      </c>
      <c r="H79" s="203"/>
      <c r="I79" s="203"/>
    </row>
    <row r="80" spans="1:9" ht="26.45" customHeight="1" x14ac:dyDescent="0.2">
      <c r="A80" s="202"/>
      <c r="B80" s="202"/>
      <c r="C80" s="1151" t="s">
        <v>1006</v>
      </c>
      <c r="D80" s="1151"/>
      <c r="E80" s="1151"/>
      <c r="F80" s="203"/>
      <c r="G80" s="603">
        <v>-46274</v>
      </c>
      <c r="H80" s="203"/>
      <c r="I80" s="203"/>
    </row>
    <row r="81" spans="1:11" x14ac:dyDescent="0.2">
      <c r="A81" s="202"/>
      <c r="B81" s="202"/>
      <c r="C81" s="89" t="s">
        <v>669</v>
      </c>
      <c r="D81" s="202"/>
      <c r="E81" s="203"/>
      <c r="F81" s="203"/>
      <c r="G81" s="603"/>
      <c r="H81" s="203"/>
      <c r="I81" s="202"/>
    </row>
    <row r="82" spans="1:11" x14ac:dyDescent="0.2">
      <c r="A82" s="202"/>
      <c r="B82" s="202"/>
      <c r="D82" s="202" t="s">
        <v>657</v>
      </c>
      <c r="E82" s="203"/>
      <c r="F82" s="203"/>
      <c r="G82" s="603">
        <v>65000</v>
      </c>
      <c r="H82" s="203"/>
      <c r="I82" s="203"/>
    </row>
    <row r="83" spans="1:11" x14ac:dyDescent="0.2">
      <c r="A83" s="202"/>
      <c r="B83" s="202"/>
      <c r="C83" s="905" t="s">
        <v>1110</v>
      </c>
      <c r="D83" s="906"/>
      <c r="E83" s="907"/>
      <c r="F83" s="203"/>
      <c r="G83" s="909">
        <v>-14250</v>
      </c>
      <c r="H83" s="203"/>
      <c r="I83" s="203"/>
    </row>
    <row r="84" spans="1:11" x14ac:dyDescent="0.2">
      <c r="A84" s="202"/>
      <c r="B84" s="202"/>
      <c r="C84" s="202"/>
      <c r="D84" s="204" t="s">
        <v>670</v>
      </c>
      <c r="E84" s="203"/>
      <c r="F84" s="203"/>
      <c r="G84" s="604">
        <f>SUM(G72:G83)</f>
        <v>-3805.5200000000041</v>
      </c>
      <c r="H84" s="203"/>
      <c r="I84" s="203"/>
    </row>
    <row r="85" spans="1:11" ht="13.5" thickBot="1" x14ac:dyDescent="0.25">
      <c r="A85" s="204"/>
      <c r="B85" s="202" t="s">
        <v>94</v>
      </c>
      <c r="D85" s="202"/>
      <c r="E85" s="203"/>
      <c r="F85" s="203"/>
      <c r="G85" s="200">
        <f>(G84+G64)+1</f>
        <v>-12546.520000000004</v>
      </c>
      <c r="H85" s="203"/>
      <c r="I85" s="203"/>
      <c r="K85" s="332"/>
    </row>
    <row r="86" spans="1:11" ht="13.5" thickTop="1" x14ac:dyDescent="0.2"/>
    <row r="87" spans="1:11" x14ac:dyDescent="0.2">
      <c r="I87" s="332"/>
    </row>
  </sheetData>
  <customSheetViews>
    <customSheetView guid="{E0C60316-4586-4AAF-92CB-FA82BB1EB755}" topLeftCell="A10">
      <rowBreaks count="1" manualBreakCount="1">
        <brk id="47" max="16383" man="1"/>
      </rowBreaks>
      <pageMargins left="0" right="0" top="0" bottom="0" header="0" footer="0"/>
      <printOptions horizontalCentered="1"/>
      <pageSetup scale="86" firstPageNumber="125" fitToHeight="0" orientation="portrait" useFirstPageNumber="1" r:id="rId1"/>
      <headerFooter alignWithMargins="0"/>
    </customSheetView>
    <customSheetView guid="{A8748736-0722-49EB-85B6-C9B52DDCFE0E}" showPageBreaks="1" printArea="1">
      <selection activeCell="E60" sqref="E60"/>
      <rowBreaks count="1" manualBreakCount="1">
        <brk id="47" max="16383" man="1"/>
      </rowBreaks>
      <pageMargins left="0.75" right="0.75" top="1" bottom="1" header="0.5" footer="0.5"/>
      <printOptions horizontalCentered="1"/>
      <pageSetup scale="86" firstPageNumber="125" fitToHeight="0" orientation="portrait" useFirstPageNumber="1" r:id="rId2"/>
      <headerFooter alignWithMargins="0"/>
    </customSheetView>
  </customSheetViews>
  <mergeCells count="1">
    <mergeCell ref="C80:E80"/>
  </mergeCells>
  <phoneticPr fontId="0" type="noConversion"/>
  <printOptions horizontalCentered="1"/>
  <pageMargins left="0.75" right="0.75" top="1" bottom="1" header="0.5" footer="0.5"/>
  <pageSetup scale="86" firstPageNumber="125" fitToHeight="0" orientation="portrait" useFirstPageNumber="1" r:id="rId3"/>
  <headerFooter alignWithMargins="0"/>
  <rowBreaks count="1" manualBreakCount="1">
    <brk id="50" max="9"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7" tint="0.39997558519241921"/>
  </sheetPr>
  <dimension ref="A1:M76"/>
  <sheetViews>
    <sheetView workbookViewId="0">
      <selection activeCell="D6" sqref="D6"/>
    </sheetView>
  </sheetViews>
  <sheetFormatPr defaultColWidth="9.140625" defaultRowHeight="12.75" x14ac:dyDescent="0.2"/>
  <cols>
    <col min="1" max="3" width="3" style="30" customWidth="1"/>
    <col min="4" max="4" width="21.85546875" style="30" customWidth="1"/>
    <col min="5" max="5" width="10.28515625" style="30" customWidth="1"/>
    <col min="6" max="6" width="1.7109375" style="30" customWidth="1"/>
    <col min="7" max="7" width="8.7109375" style="30" customWidth="1"/>
    <col min="8" max="8" width="1.7109375" style="30" customWidth="1"/>
    <col min="9" max="9" width="8.7109375" style="30" customWidth="1"/>
    <col min="10" max="10" width="1.7109375" style="30" customWidth="1"/>
    <col min="11" max="11" width="8.7109375" style="30" customWidth="1"/>
    <col min="12" max="12" width="1.7109375" style="30" customWidth="1"/>
    <col min="13" max="13" width="10.7109375" style="30" customWidth="1"/>
    <col min="14" max="16384" width="9.140625" style="30"/>
  </cols>
  <sheetData>
    <row r="1" spans="1:13" x14ac:dyDescent="0.2">
      <c r="A1" s="1154" t="s">
        <v>0</v>
      </c>
      <c r="B1" s="1154"/>
      <c r="C1" s="1154"/>
      <c r="D1" s="1154"/>
      <c r="E1" s="1154"/>
      <c r="F1" s="1154"/>
      <c r="G1" s="1154"/>
      <c r="H1" s="1154"/>
      <c r="I1" s="1154"/>
      <c r="J1" s="1154"/>
      <c r="K1" s="1154"/>
      <c r="L1" s="1154"/>
      <c r="M1" s="1154"/>
    </row>
    <row r="2" spans="1:13" x14ac:dyDescent="0.2">
      <c r="A2" s="1154" t="s">
        <v>671</v>
      </c>
      <c r="B2" s="1154"/>
      <c r="C2" s="1154"/>
      <c r="D2" s="1154"/>
      <c r="E2" s="1154"/>
      <c r="F2" s="1154"/>
      <c r="G2" s="1154"/>
      <c r="H2" s="1154"/>
      <c r="I2" s="1154"/>
      <c r="J2" s="1154"/>
      <c r="K2" s="1154"/>
      <c r="L2" s="1154"/>
      <c r="M2" s="1154"/>
    </row>
    <row r="3" spans="1:13" x14ac:dyDescent="0.2">
      <c r="A3" s="1154" t="s">
        <v>672</v>
      </c>
      <c r="B3" s="1154"/>
      <c r="C3" s="1154"/>
      <c r="D3" s="1154"/>
      <c r="E3" s="1154"/>
      <c r="F3" s="1154"/>
      <c r="G3" s="1154"/>
      <c r="H3" s="1154"/>
      <c r="I3" s="1154"/>
      <c r="J3" s="1154"/>
      <c r="K3" s="1154"/>
      <c r="L3" s="1154"/>
      <c r="M3" s="1154"/>
    </row>
    <row r="4" spans="1:13" x14ac:dyDescent="0.2">
      <c r="A4" s="1154" t="str">
        <f>'SR-BA7 (Opioid)Multi Yr'!A5</f>
        <v>From Inception and for the Fiscal Year Ended June 30, 2025</v>
      </c>
      <c r="B4" s="1154"/>
      <c r="C4" s="1154"/>
      <c r="D4" s="1154"/>
      <c r="E4" s="1154"/>
      <c r="F4" s="1154"/>
      <c r="G4" s="1154"/>
      <c r="H4" s="1154"/>
      <c r="I4" s="1154"/>
      <c r="J4" s="1154"/>
      <c r="K4" s="1154"/>
      <c r="L4" s="1154"/>
      <c r="M4" s="1154"/>
    </row>
    <row r="5" spans="1:13" x14ac:dyDescent="0.2">
      <c r="A5" s="673"/>
      <c r="B5" s="673"/>
      <c r="C5" s="673"/>
      <c r="D5" s="673"/>
      <c r="E5" s="673"/>
      <c r="F5" s="673"/>
      <c r="G5" s="673"/>
      <c r="H5" s="673"/>
      <c r="I5" s="673"/>
      <c r="J5" s="673"/>
      <c r="K5" s="673"/>
      <c r="L5" s="673"/>
      <c r="M5" s="673"/>
    </row>
    <row r="6" spans="1:13" x14ac:dyDescent="0.2">
      <c r="A6" s="673"/>
      <c r="B6" s="673"/>
      <c r="C6" s="673"/>
      <c r="D6" s="673"/>
      <c r="E6" s="673"/>
      <c r="F6" s="673"/>
      <c r="G6" s="673"/>
      <c r="H6" s="673"/>
      <c r="I6" s="673"/>
      <c r="J6" s="673"/>
      <c r="K6" s="673"/>
      <c r="L6" s="673"/>
      <c r="M6" s="673"/>
    </row>
    <row r="7" spans="1:13" ht="13.5" thickBot="1" x14ac:dyDescent="0.25">
      <c r="A7" s="205"/>
      <c r="B7" s="205"/>
      <c r="C7" s="205"/>
      <c r="D7" s="205"/>
      <c r="E7" s="205"/>
      <c r="F7" s="205"/>
      <c r="G7" s="205"/>
      <c r="H7" s="205"/>
      <c r="I7" s="205"/>
      <c r="J7" s="205"/>
      <c r="K7" s="205"/>
      <c r="L7" s="205"/>
      <c r="M7" s="205"/>
    </row>
    <row r="8" spans="1:13" ht="13.5" thickTop="1" x14ac:dyDescent="0.2">
      <c r="A8" s="206"/>
      <c r="B8" s="206"/>
      <c r="C8" s="206"/>
      <c r="D8" s="206"/>
      <c r="E8" s="207" t="s">
        <v>622</v>
      </c>
      <c r="F8" s="206"/>
      <c r="G8" s="1153" t="s">
        <v>191</v>
      </c>
      <c r="H8" s="1153"/>
      <c r="I8" s="1153"/>
      <c r="J8" s="1153"/>
      <c r="K8" s="1153"/>
      <c r="L8" s="206"/>
      <c r="M8" s="113" t="s">
        <v>187</v>
      </c>
    </row>
    <row r="9" spans="1:13" x14ac:dyDescent="0.2">
      <c r="A9" s="206"/>
      <c r="B9" s="206"/>
      <c r="C9" s="206"/>
      <c r="D9" s="206"/>
      <c r="E9" s="207" t="s">
        <v>673</v>
      </c>
      <c r="F9" s="206"/>
      <c r="G9" s="207" t="s">
        <v>602</v>
      </c>
      <c r="H9" s="206"/>
      <c r="I9" s="207" t="s">
        <v>674</v>
      </c>
      <c r="J9" s="206"/>
      <c r="K9" s="207" t="s">
        <v>604</v>
      </c>
      <c r="L9" s="206"/>
      <c r="M9" s="809" t="s">
        <v>1053</v>
      </c>
    </row>
    <row r="10" spans="1:13" x14ac:dyDescent="0.2">
      <c r="A10" s="206"/>
      <c r="B10" s="208" t="s">
        <v>112</v>
      </c>
      <c r="C10" s="206"/>
      <c r="D10" s="206"/>
      <c r="E10" s="472" t="s">
        <v>624</v>
      </c>
      <c r="F10" s="206"/>
      <c r="G10" s="472" t="s">
        <v>605</v>
      </c>
      <c r="H10" s="206"/>
      <c r="I10" s="472" t="s">
        <v>606</v>
      </c>
      <c r="J10" s="206"/>
      <c r="K10" s="472" t="s">
        <v>607</v>
      </c>
      <c r="L10" s="206"/>
      <c r="M10" s="810" t="s">
        <v>1054</v>
      </c>
    </row>
    <row r="11" spans="1:13" x14ac:dyDescent="0.2">
      <c r="A11" s="208" t="s">
        <v>192</v>
      </c>
      <c r="B11" s="206"/>
      <c r="C11" s="206"/>
      <c r="D11" s="206"/>
      <c r="E11" s="206"/>
      <c r="F11" s="206"/>
      <c r="G11" s="206"/>
      <c r="H11" s="206"/>
      <c r="I11" s="206"/>
      <c r="J11" s="206"/>
      <c r="K11" s="206"/>
      <c r="L11" s="206"/>
      <c r="M11" s="206"/>
    </row>
    <row r="12" spans="1:13" x14ac:dyDescent="0.2">
      <c r="A12" s="206"/>
      <c r="B12" s="208" t="s">
        <v>148</v>
      </c>
      <c r="C12" s="206"/>
      <c r="D12" s="206"/>
      <c r="E12" s="209">
        <v>40000</v>
      </c>
      <c r="F12" s="209"/>
      <c r="G12" s="210">
        <v>0</v>
      </c>
      <c r="H12" s="209"/>
      <c r="I12" s="210">
        <v>0</v>
      </c>
      <c r="J12" s="209"/>
      <c r="K12" s="210">
        <v>0</v>
      </c>
      <c r="L12" s="209"/>
      <c r="M12" s="209">
        <f>-K12-E12</f>
        <v>-40000</v>
      </c>
    </row>
    <row r="13" spans="1:13" x14ac:dyDescent="0.2">
      <c r="A13" s="206"/>
      <c r="B13" s="206"/>
      <c r="C13" s="206"/>
      <c r="D13" s="206"/>
      <c r="E13" s="211"/>
      <c r="F13" s="211"/>
      <c r="G13" s="211"/>
      <c r="H13" s="211"/>
      <c r="I13" s="211"/>
      <c r="J13" s="211"/>
      <c r="K13" s="211"/>
      <c r="L13" s="211"/>
      <c r="M13" s="211"/>
    </row>
    <row r="14" spans="1:13" x14ac:dyDescent="0.2">
      <c r="A14" s="208" t="s">
        <v>197</v>
      </c>
      <c r="B14" s="206"/>
      <c r="C14" s="206"/>
      <c r="D14" s="206"/>
      <c r="E14" s="211"/>
      <c r="F14" s="211"/>
      <c r="G14" s="211"/>
      <c r="H14" s="211"/>
      <c r="I14" s="211"/>
      <c r="J14" s="211"/>
      <c r="K14" s="211"/>
      <c r="L14" s="211"/>
      <c r="M14" s="211"/>
    </row>
    <row r="15" spans="1:13" x14ac:dyDescent="0.2">
      <c r="A15" s="206"/>
      <c r="B15" s="208" t="s">
        <v>532</v>
      </c>
      <c r="C15" s="206"/>
      <c r="D15" s="206"/>
      <c r="E15" s="211"/>
      <c r="F15" s="211"/>
      <c r="G15" s="211"/>
      <c r="H15" s="211"/>
      <c r="I15" s="211"/>
      <c r="J15" s="211"/>
      <c r="K15" s="211"/>
      <c r="L15" s="211"/>
      <c r="M15" s="211"/>
    </row>
    <row r="16" spans="1:13" x14ac:dyDescent="0.2">
      <c r="A16" s="206"/>
      <c r="B16" s="206"/>
      <c r="C16" s="208" t="s">
        <v>675</v>
      </c>
      <c r="D16" s="206"/>
      <c r="E16" s="211">
        <v>1300000</v>
      </c>
      <c r="F16" s="211"/>
      <c r="G16" s="212">
        <v>0</v>
      </c>
      <c r="H16" s="211"/>
      <c r="I16" s="211">
        <v>65000</v>
      </c>
      <c r="J16" s="211"/>
      <c r="K16" s="211">
        <v>65000</v>
      </c>
      <c r="L16" s="211"/>
      <c r="M16" s="211">
        <f>K16-E16</f>
        <v>-1235000</v>
      </c>
    </row>
    <row r="17" spans="1:13" x14ac:dyDescent="0.2">
      <c r="A17" s="206"/>
      <c r="B17" s="208" t="s">
        <v>534</v>
      </c>
      <c r="C17" s="206"/>
      <c r="D17" s="206"/>
      <c r="E17" s="211"/>
      <c r="F17" s="211"/>
      <c r="G17" s="211"/>
      <c r="H17" s="211"/>
      <c r="I17" s="211"/>
      <c r="J17" s="211"/>
      <c r="K17" s="211"/>
      <c r="L17" s="211"/>
      <c r="M17" s="211"/>
    </row>
    <row r="18" spans="1:13" x14ac:dyDescent="0.2">
      <c r="A18" s="206"/>
      <c r="B18" s="206"/>
      <c r="C18" s="208" t="s">
        <v>675</v>
      </c>
      <c r="D18" s="206"/>
      <c r="E18" s="211">
        <v>-1340000</v>
      </c>
      <c r="F18" s="211"/>
      <c r="G18" s="212">
        <v>0</v>
      </c>
      <c r="H18" s="211"/>
      <c r="I18" s="212">
        <v>0</v>
      </c>
      <c r="J18" s="211"/>
      <c r="K18" s="212">
        <v>0</v>
      </c>
      <c r="L18" s="211"/>
      <c r="M18" s="211">
        <f>K18-E18</f>
        <v>1340000</v>
      </c>
    </row>
    <row r="19" spans="1:13" x14ac:dyDescent="0.2">
      <c r="A19" s="206"/>
      <c r="B19" s="206"/>
      <c r="C19" s="208" t="s">
        <v>1046</v>
      </c>
      <c r="E19" s="213">
        <f>SUM(E15:E18)</f>
        <v>-40000</v>
      </c>
      <c r="F19" s="211"/>
      <c r="G19" s="213">
        <f>SUM(G15:G18)</f>
        <v>0</v>
      </c>
      <c r="H19" s="211"/>
      <c r="I19" s="213">
        <f>SUM(I15:I18)</f>
        <v>65000</v>
      </c>
      <c r="J19" s="211"/>
      <c r="K19" s="213">
        <f>SUM(K15:K18)</f>
        <v>65000</v>
      </c>
      <c r="L19" s="211"/>
      <c r="M19" s="213">
        <f>K19-E19</f>
        <v>105000</v>
      </c>
    </row>
    <row r="20" spans="1:13" x14ac:dyDescent="0.2">
      <c r="A20" s="206"/>
      <c r="B20" s="206"/>
      <c r="C20" s="206"/>
      <c r="D20" s="206"/>
      <c r="E20" s="211"/>
      <c r="F20" s="211"/>
      <c r="G20" s="211"/>
      <c r="H20" s="211"/>
      <c r="I20" s="211"/>
      <c r="J20" s="211"/>
      <c r="K20" s="211"/>
      <c r="L20" s="211"/>
      <c r="M20" s="211"/>
    </row>
    <row r="21" spans="1:13" ht="24.6" customHeight="1" thickBot="1" x14ac:dyDescent="0.25">
      <c r="A21" s="1152" t="s">
        <v>676</v>
      </c>
      <c r="B21" s="1042"/>
      <c r="C21" s="1042"/>
      <c r="D21" s="1042"/>
      <c r="E21" s="214">
        <f>E12+E19</f>
        <v>0</v>
      </c>
      <c r="F21" s="211"/>
      <c r="G21" s="214">
        <f>G12+G19</f>
        <v>0</v>
      </c>
      <c r="H21" s="211"/>
      <c r="I21" s="214">
        <f>I12+I19</f>
        <v>65000</v>
      </c>
      <c r="J21" s="211"/>
      <c r="K21" s="214">
        <f>K12+K19</f>
        <v>65000</v>
      </c>
      <c r="L21" s="211"/>
      <c r="M21" s="214">
        <f>M12+M19</f>
        <v>65000</v>
      </c>
    </row>
    <row r="22" spans="1:13" ht="13.5" thickTop="1" x14ac:dyDescent="0.2">
      <c r="A22" s="208"/>
      <c r="B22" s="206"/>
      <c r="C22" s="206"/>
      <c r="D22" s="206"/>
      <c r="E22" s="310"/>
      <c r="F22" s="310"/>
      <c r="G22" s="310"/>
      <c r="H22" s="310"/>
      <c r="I22" s="310"/>
      <c r="J22" s="310"/>
      <c r="K22" s="310"/>
      <c r="L22" s="310"/>
      <c r="M22" s="310"/>
    </row>
    <row r="23" spans="1:13" x14ac:dyDescent="0.2">
      <c r="A23" s="26"/>
      <c r="B23" s="26"/>
      <c r="C23" s="26"/>
      <c r="D23" s="26"/>
      <c r="E23" s="26"/>
      <c r="F23" s="211"/>
      <c r="G23" s="26"/>
      <c r="H23" s="211"/>
      <c r="I23" s="26"/>
      <c r="J23" s="211"/>
      <c r="K23" s="26"/>
      <c r="L23" s="211"/>
      <c r="M23" s="26"/>
    </row>
    <row r="24" spans="1:13" x14ac:dyDescent="0.2">
      <c r="A24" s="310"/>
      <c r="B24" s="310"/>
      <c r="C24" s="310"/>
      <c r="D24" s="310"/>
      <c r="E24" s="310"/>
      <c r="F24" s="211"/>
      <c r="G24" s="310"/>
      <c r="H24" s="211"/>
      <c r="I24" s="310"/>
      <c r="J24" s="211"/>
      <c r="K24" s="310"/>
      <c r="L24" s="211"/>
      <c r="M24" s="310"/>
    </row>
    <row r="25" spans="1:13" x14ac:dyDescent="0.2">
      <c r="A25" s="310"/>
      <c r="B25" s="310"/>
      <c r="C25" s="310"/>
      <c r="D25" s="310"/>
      <c r="E25" s="310"/>
      <c r="F25" s="310"/>
      <c r="G25" s="310"/>
      <c r="H25" s="211"/>
      <c r="I25" s="310"/>
      <c r="J25" s="211"/>
      <c r="K25" s="310"/>
      <c r="L25" s="211"/>
      <c r="M25" s="310"/>
    </row>
    <row r="26" spans="1:13" x14ac:dyDescent="0.2">
      <c r="A26" s="310"/>
      <c r="B26" s="310"/>
      <c r="C26" s="310"/>
      <c r="D26" s="310"/>
      <c r="E26" s="310"/>
      <c r="F26" s="310"/>
      <c r="G26" s="310"/>
      <c r="H26" s="211"/>
      <c r="I26" s="310"/>
      <c r="J26" s="310"/>
      <c r="K26" s="310"/>
      <c r="L26" s="310"/>
      <c r="M26" s="310"/>
    </row>
    <row r="76" spans="7:7" x14ac:dyDescent="0.2">
      <c r="G76" s="34" t="s">
        <v>318</v>
      </c>
    </row>
  </sheetData>
  <customSheetViews>
    <customSheetView guid="{E0C60316-4586-4AAF-92CB-FA82BB1EB755}">
      <selection sqref="A1:M1"/>
      <pageMargins left="0" right="0" top="0" bottom="0" header="0" footer="0"/>
      <printOptions horizontalCentered="1"/>
      <pageSetup scale="86" firstPageNumber="121" fitToHeight="0" orientation="portrait" useFirstPageNumber="1" r:id="rId1"/>
      <headerFooter alignWithMargins="0"/>
    </customSheetView>
    <customSheetView guid="{A8748736-0722-49EB-85B6-C9B52DDCFE0E}" showPageBreaks="1" printArea="1">
      <selection activeCell="K33" sqref="K33"/>
      <pageMargins left="0.75" right="0.75" top="1" bottom="1" header="0.5" footer="0.5"/>
      <printOptions horizontalCentered="1"/>
      <pageSetup scale="86" firstPageNumber="121" fitToHeight="0" orientation="portrait" useFirstPageNumber="1" r:id="rId2"/>
      <headerFooter alignWithMargins="0"/>
    </customSheetView>
  </customSheetViews>
  <mergeCells count="6">
    <mergeCell ref="A21:D21"/>
    <mergeCell ref="G8:K8"/>
    <mergeCell ref="A1:M1"/>
    <mergeCell ref="A2:M2"/>
    <mergeCell ref="A3:M3"/>
    <mergeCell ref="A4:M4"/>
  </mergeCells>
  <phoneticPr fontId="0" type="noConversion"/>
  <printOptions horizontalCentered="1"/>
  <pageMargins left="0.75" right="0.75" top="1" bottom="1" header="0.5" footer="0.5"/>
  <pageSetup scale="86" firstPageNumber="121" fitToHeight="0" orientation="portrait" useFirstPageNumber="1" r:id="rId3"/>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J158"/>
  <sheetViews>
    <sheetView zoomScaleNormal="100" workbookViewId="0"/>
  </sheetViews>
  <sheetFormatPr defaultColWidth="9.140625" defaultRowHeight="12.75" x14ac:dyDescent="0.2"/>
  <cols>
    <col min="1" max="3" width="2.42578125" style="310" customWidth="1"/>
    <col min="4" max="4" width="30.7109375" style="310" customWidth="1"/>
    <col min="5" max="5" width="12.28515625" style="310" customWidth="1"/>
    <col min="6" max="6" width="1.7109375" style="310" customWidth="1"/>
    <col min="7" max="7" width="12.28515625" style="310" customWidth="1"/>
    <col min="8" max="8" width="1.7109375" style="310" customWidth="1"/>
    <col min="9" max="9" width="12.28515625" style="310" customWidth="1"/>
    <col min="10" max="10" width="12.85546875" style="310" bestFit="1" customWidth="1"/>
    <col min="11" max="16384" width="9.140625" style="310"/>
  </cols>
  <sheetData>
    <row r="1" spans="1:9" x14ac:dyDescent="0.2">
      <c r="A1" s="215" t="s">
        <v>0</v>
      </c>
      <c r="B1" s="216"/>
      <c r="C1" s="216"/>
      <c r="D1" s="216"/>
      <c r="E1" s="216"/>
      <c r="F1" s="216"/>
      <c r="G1" s="216"/>
      <c r="H1" s="216"/>
      <c r="I1" s="216"/>
    </row>
    <row r="2" spans="1:9" x14ac:dyDescent="0.2">
      <c r="A2" s="215" t="s">
        <v>677</v>
      </c>
      <c r="B2" s="216"/>
      <c r="C2" s="216"/>
      <c r="D2" s="216"/>
      <c r="E2" s="216"/>
      <c r="F2" s="216"/>
      <c r="G2" s="216"/>
      <c r="H2" s="216"/>
      <c r="I2" s="216"/>
    </row>
    <row r="3" spans="1:9" x14ac:dyDescent="0.2">
      <c r="A3" s="215" t="s">
        <v>640</v>
      </c>
      <c r="B3" s="216"/>
      <c r="C3" s="216"/>
      <c r="D3" s="216"/>
      <c r="E3" s="216"/>
      <c r="F3" s="216"/>
      <c r="G3" s="216"/>
      <c r="H3" s="216"/>
      <c r="I3" s="216"/>
    </row>
    <row r="4" spans="1:9" x14ac:dyDescent="0.2">
      <c r="A4" s="215" t="s">
        <v>678</v>
      </c>
      <c r="B4" s="216"/>
      <c r="C4" s="216"/>
      <c r="D4" s="216"/>
      <c r="E4" s="216"/>
      <c r="F4" s="216"/>
      <c r="G4" s="216"/>
      <c r="H4" s="216"/>
      <c r="I4" s="216"/>
    </row>
    <row r="5" spans="1:9" x14ac:dyDescent="0.2">
      <c r="A5" s="215" t="str">
        <f>'GWStmtAct 68 Exh 2'!A3</f>
        <v>For the Year Ended June 30, 2025</v>
      </c>
      <c r="B5" s="216"/>
      <c r="C5" s="216"/>
      <c r="D5" s="216"/>
      <c r="E5" s="216"/>
      <c r="F5" s="216"/>
      <c r="G5" s="216"/>
      <c r="H5" s="216"/>
      <c r="I5" s="216"/>
    </row>
    <row r="6" spans="1:9" x14ac:dyDescent="0.2">
      <c r="A6" s="215"/>
      <c r="B6" s="216"/>
      <c r="C6" s="216"/>
      <c r="D6" s="216"/>
      <c r="E6" s="216"/>
      <c r="F6" s="216"/>
      <c r="G6" s="216"/>
      <c r="H6" s="216"/>
      <c r="I6" s="216"/>
    </row>
    <row r="7" spans="1:9" ht="13.5" thickBot="1" x14ac:dyDescent="0.25">
      <c r="A7" s="217"/>
      <c r="B7" s="217"/>
      <c r="C7" s="217"/>
      <c r="D7" s="217"/>
      <c r="E7" s="217"/>
      <c r="F7" s="217"/>
      <c r="G7" s="217"/>
      <c r="H7" s="217"/>
      <c r="I7" s="217"/>
    </row>
    <row r="8" spans="1:9" x14ac:dyDescent="0.2">
      <c r="A8" s="202"/>
      <c r="B8" s="202"/>
      <c r="C8" s="202"/>
      <c r="D8" s="202"/>
      <c r="E8" s="202"/>
      <c r="F8" s="202"/>
      <c r="G8" s="202"/>
      <c r="H8" s="202"/>
      <c r="I8" s="113" t="s">
        <v>187</v>
      </c>
    </row>
    <row r="9" spans="1:9" x14ac:dyDescent="0.2">
      <c r="A9" s="202"/>
      <c r="B9" s="202"/>
      <c r="C9" s="202"/>
      <c r="D9" s="202"/>
      <c r="E9" s="218" t="s">
        <v>189</v>
      </c>
      <c r="F9" s="202"/>
      <c r="G9" s="202"/>
      <c r="H9" s="202"/>
      <c r="I9" s="809" t="s">
        <v>1053</v>
      </c>
    </row>
    <row r="10" spans="1:9" x14ac:dyDescent="0.2">
      <c r="A10" s="202"/>
      <c r="B10" s="218" t="s">
        <v>112</v>
      </c>
      <c r="C10" s="202"/>
      <c r="D10" s="202"/>
      <c r="E10" s="219" t="s">
        <v>190</v>
      </c>
      <c r="F10" s="202"/>
      <c r="G10" s="219" t="s">
        <v>191</v>
      </c>
      <c r="H10" s="202"/>
      <c r="I10" s="810" t="s">
        <v>1054</v>
      </c>
    </row>
    <row r="11" spans="1:9" x14ac:dyDescent="0.2">
      <c r="A11" s="201" t="s">
        <v>192</v>
      </c>
      <c r="B11" s="202"/>
      <c r="C11" s="202"/>
      <c r="D11" s="202"/>
      <c r="E11" s="202"/>
      <c r="F11" s="202"/>
      <c r="G11" s="202"/>
      <c r="H11" s="202"/>
      <c r="I11" s="202"/>
    </row>
    <row r="12" spans="1:9" x14ac:dyDescent="0.2">
      <c r="A12" s="202"/>
      <c r="B12" s="204" t="s">
        <v>643</v>
      </c>
      <c r="C12" s="202"/>
      <c r="D12" s="202"/>
      <c r="E12" s="202"/>
      <c r="F12" s="202"/>
      <c r="G12" s="202"/>
      <c r="H12" s="202"/>
      <c r="I12" s="202"/>
    </row>
    <row r="13" spans="1:9" x14ac:dyDescent="0.2">
      <c r="A13" s="202"/>
      <c r="B13" s="204" t="s">
        <v>679</v>
      </c>
      <c r="C13" s="202"/>
      <c r="D13" s="202"/>
      <c r="E13" s="202"/>
      <c r="F13" s="202"/>
      <c r="G13" s="202"/>
      <c r="H13" s="202"/>
      <c r="I13" s="202"/>
    </row>
    <row r="14" spans="1:9" x14ac:dyDescent="0.2">
      <c r="A14" s="202"/>
      <c r="B14" s="202"/>
      <c r="C14" s="204" t="s">
        <v>680</v>
      </c>
      <c r="D14" s="202"/>
      <c r="E14" s="220"/>
      <c r="F14" s="221"/>
      <c r="G14" s="221">
        <f>332261+150000</f>
        <v>482261</v>
      </c>
      <c r="H14" s="221"/>
      <c r="I14" s="220"/>
    </row>
    <row r="15" spans="1:9" x14ac:dyDescent="0.2">
      <c r="A15" s="202"/>
      <c r="B15" s="202"/>
      <c r="C15" s="204" t="s">
        <v>681</v>
      </c>
      <c r="D15" s="202"/>
      <c r="E15" s="222"/>
      <c r="F15" s="223"/>
      <c r="G15" s="224">
        <f>94646+50000</f>
        <v>144646</v>
      </c>
      <c r="H15" s="223"/>
      <c r="I15" s="222"/>
    </row>
    <row r="16" spans="1:9" x14ac:dyDescent="0.2">
      <c r="A16" s="202"/>
      <c r="B16" s="202"/>
      <c r="C16" s="202"/>
      <c r="D16" s="204" t="s">
        <v>6</v>
      </c>
      <c r="E16" s="225">
        <f>417670+200000+875000*0.05*0.67+40000</f>
        <v>686982.5</v>
      </c>
      <c r="F16" s="223"/>
      <c r="G16" s="224">
        <f>SUM(G14:G15)</f>
        <v>626907</v>
      </c>
      <c r="H16" s="223"/>
      <c r="I16" s="225">
        <f>G16-E16</f>
        <v>-60075.5</v>
      </c>
    </row>
    <row r="17" spans="1:9" x14ac:dyDescent="0.2">
      <c r="A17" s="202"/>
      <c r="B17" s="202"/>
      <c r="C17" s="202"/>
      <c r="D17" s="202"/>
      <c r="E17" s="223"/>
      <c r="F17" s="223"/>
      <c r="G17" s="223"/>
      <c r="H17" s="223"/>
      <c r="I17" s="223"/>
    </row>
    <row r="18" spans="1:9" x14ac:dyDescent="0.2">
      <c r="A18" s="202"/>
      <c r="B18" s="204" t="s">
        <v>682</v>
      </c>
      <c r="C18" s="202"/>
      <c r="D18" s="202"/>
      <c r="E18" s="223"/>
      <c r="F18" s="223"/>
      <c r="G18" s="223"/>
      <c r="H18" s="223"/>
      <c r="I18" s="223"/>
    </row>
    <row r="19" spans="1:9" x14ac:dyDescent="0.2">
      <c r="A19" s="202"/>
      <c r="B19" s="202"/>
      <c r="C19" s="204" t="s">
        <v>680</v>
      </c>
      <c r="D19" s="202"/>
      <c r="E19" s="226"/>
      <c r="F19" s="223"/>
      <c r="G19" s="223">
        <f>241986+150000</f>
        <v>391986</v>
      </c>
      <c r="H19" s="223"/>
      <c r="I19" s="226"/>
    </row>
    <row r="20" spans="1:9" x14ac:dyDescent="0.2">
      <c r="A20" s="202"/>
      <c r="B20" s="202"/>
      <c r="C20" s="204" t="s">
        <v>681</v>
      </c>
      <c r="D20" s="202"/>
      <c r="E20" s="227"/>
      <c r="F20" s="223"/>
      <c r="G20" s="224">
        <f>110215+50000</f>
        <v>160215</v>
      </c>
      <c r="H20" s="223"/>
      <c r="I20" s="227"/>
    </row>
    <row r="21" spans="1:9" x14ac:dyDescent="0.2">
      <c r="A21" s="202"/>
      <c r="B21" s="202"/>
      <c r="C21" s="202"/>
      <c r="D21" s="204" t="s">
        <v>6</v>
      </c>
      <c r="E21" s="224">
        <f>344330+200000</f>
        <v>544330</v>
      </c>
      <c r="F21" s="223"/>
      <c r="G21" s="224">
        <f>SUM(G19:G20)</f>
        <v>552201</v>
      </c>
      <c r="H21" s="223"/>
      <c r="I21" s="224">
        <f>G21-E21</f>
        <v>7871</v>
      </c>
    </row>
    <row r="22" spans="1:9" x14ac:dyDescent="0.2">
      <c r="A22" s="202"/>
      <c r="B22" s="202"/>
      <c r="C22" s="202"/>
      <c r="D22" s="202"/>
      <c r="E22" s="223"/>
      <c r="F22" s="223"/>
      <c r="G22" s="223"/>
      <c r="H22" s="223"/>
      <c r="I22" s="223"/>
    </row>
    <row r="23" spans="1:9" x14ac:dyDescent="0.2">
      <c r="A23" s="202"/>
      <c r="B23" s="204" t="s">
        <v>683</v>
      </c>
      <c r="C23" s="202"/>
      <c r="D23" s="202"/>
      <c r="E23" s="224">
        <v>8500</v>
      </c>
      <c r="F23" s="223"/>
      <c r="G23" s="224">
        <v>7100</v>
      </c>
      <c r="H23" s="223"/>
      <c r="I23" s="224">
        <f>G23-E23</f>
        <v>-1400</v>
      </c>
    </row>
    <row r="24" spans="1:9" x14ac:dyDescent="0.2">
      <c r="A24" s="202"/>
      <c r="B24" s="202"/>
      <c r="C24" s="202"/>
      <c r="D24" s="202"/>
      <c r="E24" s="223"/>
      <c r="F24" s="223"/>
      <c r="G24" s="223"/>
      <c r="H24" s="223"/>
      <c r="I24" s="223"/>
    </row>
    <row r="25" spans="1:9" x14ac:dyDescent="0.2">
      <c r="A25" s="202"/>
      <c r="B25" s="204" t="s">
        <v>684</v>
      </c>
      <c r="C25" s="202"/>
      <c r="D25" s="202"/>
      <c r="E25" s="224">
        <v>500</v>
      </c>
      <c r="F25" s="223"/>
      <c r="G25" s="224">
        <v>430</v>
      </c>
      <c r="H25" s="223"/>
      <c r="I25" s="224">
        <f>G25-E25</f>
        <v>-70</v>
      </c>
    </row>
    <row r="26" spans="1:9" x14ac:dyDescent="0.2">
      <c r="A26" s="202"/>
      <c r="B26" s="202"/>
      <c r="C26" s="202"/>
      <c r="D26" s="204" t="s">
        <v>231</v>
      </c>
      <c r="E26" s="224">
        <f>E16+E21+E23+E25</f>
        <v>1240312.5</v>
      </c>
      <c r="F26" s="223"/>
      <c r="G26" s="224">
        <f>G16+G21+G23+G25</f>
        <v>1186638</v>
      </c>
      <c r="H26" s="223"/>
      <c r="I26" s="224">
        <f>G26-E26</f>
        <v>-53674.5</v>
      </c>
    </row>
    <row r="27" spans="1:9" x14ac:dyDescent="0.2">
      <c r="A27" s="202"/>
      <c r="B27" s="202"/>
      <c r="C27" s="202"/>
      <c r="D27" s="202"/>
      <c r="E27" s="223"/>
      <c r="F27" s="223"/>
      <c r="G27" s="223"/>
      <c r="H27" s="223"/>
      <c r="I27" s="223"/>
    </row>
    <row r="28" spans="1:9" x14ac:dyDescent="0.2">
      <c r="A28" s="202"/>
      <c r="B28" s="204" t="s">
        <v>648</v>
      </c>
      <c r="C28" s="202"/>
      <c r="D28" s="202"/>
      <c r="E28" s="223"/>
      <c r="F28" s="223"/>
      <c r="G28" s="223"/>
      <c r="H28" s="223"/>
      <c r="I28" s="223"/>
    </row>
    <row r="29" spans="1:9" x14ac:dyDescent="0.2">
      <c r="A29" s="202"/>
      <c r="B29" s="202"/>
      <c r="C29" s="204" t="s">
        <v>685</v>
      </c>
      <c r="D29" s="202"/>
      <c r="E29" s="227">
        <v>0</v>
      </c>
      <c r="F29" s="223"/>
      <c r="G29" s="224">
        <f>32162+5033+1</f>
        <v>37196</v>
      </c>
      <c r="H29" s="223"/>
      <c r="I29" s="224">
        <f>G29-E29</f>
        <v>37196</v>
      </c>
    </row>
    <row r="30" spans="1:9" x14ac:dyDescent="0.2">
      <c r="A30" s="202"/>
      <c r="B30" s="202"/>
      <c r="C30" s="202"/>
      <c r="D30" s="204" t="s">
        <v>150</v>
      </c>
      <c r="E30" s="224">
        <f>E26+E29</f>
        <v>1240312.5</v>
      </c>
      <c r="F30" s="223"/>
      <c r="G30" s="224">
        <f>G26+G29</f>
        <v>1223834</v>
      </c>
      <c r="H30" s="223"/>
      <c r="I30" s="224">
        <f>G30-E30</f>
        <v>-16478.5</v>
      </c>
    </row>
    <row r="31" spans="1:9" x14ac:dyDescent="0.2">
      <c r="A31" s="202"/>
      <c r="B31" s="202"/>
      <c r="C31" s="202"/>
      <c r="D31" s="202"/>
      <c r="E31" s="223"/>
      <c r="F31" s="223"/>
      <c r="G31" s="223"/>
      <c r="H31" s="223"/>
      <c r="I31" s="223"/>
    </row>
    <row r="32" spans="1:9" x14ac:dyDescent="0.2">
      <c r="A32" s="201" t="s">
        <v>439</v>
      </c>
      <c r="B32" s="202"/>
      <c r="C32" s="202"/>
      <c r="D32" s="202"/>
      <c r="E32" s="223"/>
      <c r="F32" s="223"/>
      <c r="G32" s="223"/>
      <c r="H32" s="223"/>
      <c r="I32" s="223"/>
    </row>
    <row r="33" spans="1:9" x14ac:dyDescent="0.2">
      <c r="A33" s="202"/>
      <c r="B33" s="204" t="s">
        <v>445</v>
      </c>
      <c r="C33" s="202"/>
      <c r="D33" s="202"/>
      <c r="E33" s="223"/>
      <c r="F33" s="223"/>
      <c r="G33" s="223"/>
      <c r="H33" s="223"/>
      <c r="I33" s="223"/>
    </row>
    <row r="34" spans="1:9" x14ac:dyDescent="0.2">
      <c r="A34" s="202"/>
      <c r="B34" s="202"/>
      <c r="C34" s="204" t="s">
        <v>442</v>
      </c>
      <c r="D34" s="202"/>
      <c r="E34" s="226"/>
      <c r="F34" s="223"/>
      <c r="G34" s="223">
        <f>51728-2110+306+75000+1001000*0.05*0.67+0.05*0.68*(43000)+0.05*0.67*(64267)</f>
        <v>162072.44450000001</v>
      </c>
      <c r="H34" s="223"/>
      <c r="I34" s="226"/>
    </row>
    <row r="35" spans="1:9" x14ac:dyDescent="0.2">
      <c r="A35" s="202"/>
      <c r="B35" s="202"/>
      <c r="C35" s="204" t="s">
        <v>686</v>
      </c>
      <c r="D35" s="202"/>
      <c r="E35" s="226"/>
      <c r="F35" s="223"/>
      <c r="G35" s="223">
        <v>137</v>
      </c>
      <c r="H35" s="223"/>
      <c r="I35" s="226"/>
    </row>
    <row r="36" spans="1:9" x14ac:dyDescent="0.2">
      <c r="A36" s="202"/>
      <c r="B36" s="202"/>
      <c r="C36" s="204" t="s">
        <v>650</v>
      </c>
      <c r="D36" s="202"/>
      <c r="E36" s="226"/>
      <c r="F36" s="223"/>
      <c r="G36" s="223">
        <v>1136</v>
      </c>
      <c r="H36" s="223"/>
      <c r="I36" s="226"/>
    </row>
    <row r="37" spans="1:9" x14ac:dyDescent="0.2">
      <c r="A37" s="202"/>
      <c r="B37" s="202"/>
      <c r="C37" s="204" t="s">
        <v>687</v>
      </c>
      <c r="D37" s="202"/>
      <c r="E37" s="226"/>
      <c r="F37" s="223"/>
      <c r="G37" s="223">
        <v>8000</v>
      </c>
      <c r="H37" s="223"/>
      <c r="I37" s="226"/>
    </row>
    <row r="38" spans="1:9" x14ac:dyDescent="0.2">
      <c r="A38" s="202"/>
      <c r="B38" s="202"/>
      <c r="C38" s="204" t="s">
        <v>443</v>
      </c>
      <c r="D38" s="202"/>
      <c r="E38" s="227"/>
      <c r="F38" s="223"/>
      <c r="G38" s="224">
        <v>4951</v>
      </c>
      <c r="H38" s="223"/>
      <c r="I38" s="227"/>
    </row>
    <row r="39" spans="1:9" x14ac:dyDescent="0.2">
      <c r="A39" s="202"/>
      <c r="B39" s="202"/>
      <c r="C39" s="202"/>
      <c r="D39" s="204" t="s">
        <v>6</v>
      </c>
      <c r="E39" s="224">
        <f>68690+75000+875000*0.67*0.05+40000</f>
        <v>213002.5</v>
      </c>
      <c r="F39" s="223"/>
      <c r="G39" s="224">
        <f>SUM(G34:G38)</f>
        <v>176296.44450000001</v>
      </c>
      <c r="H39" s="223"/>
      <c r="I39" s="224">
        <f>E39-G39</f>
        <v>36706.055499999988</v>
      </c>
    </row>
    <row r="40" spans="1:9" x14ac:dyDescent="0.2">
      <c r="A40" s="202"/>
      <c r="B40" s="202"/>
      <c r="C40" s="202"/>
      <c r="D40" s="228"/>
      <c r="E40" s="223"/>
      <c r="F40" s="223"/>
      <c r="G40" s="223"/>
      <c r="H40" s="223"/>
      <c r="I40" s="223"/>
    </row>
    <row r="41" spans="1:9" x14ac:dyDescent="0.2">
      <c r="A41" s="202"/>
      <c r="B41" s="204" t="s">
        <v>447</v>
      </c>
      <c r="C41" s="202"/>
      <c r="D41" s="202"/>
      <c r="E41" s="223"/>
      <c r="F41" s="223"/>
      <c r="G41" s="223"/>
      <c r="H41" s="223"/>
      <c r="I41" s="223"/>
    </row>
    <row r="42" spans="1:9" x14ac:dyDescent="0.2">
      <c r="A42" s="202"/>
      <c r="B42" s="202"/>
      <c r="C42" s="204" t="s">
        <v>442</v>
      </c>
      <c r="D42" s="202"/>
      <c r="E42" s="226"/>
      <c r="F42" s="223"/>
      <c r="G42" s="223">
        <f>15505+75000</f>
        <v>90505</v>
      </c>
      <c r="H42" s="223"/>
      <c r="I42" s="226"/>
    </row>
    <row r="43" spans="1:9" x14ac:dyDescent="0.2">
      <c r="A43" s="202"/>
      <c r="B43" s="202"/>
      <c r="C43" s="204" t="s">
        <v>686</v>
      </c>
      <c r="D43" s="202"/>
      <c r="E43" s="226"/>
      <c r="F43" s="223"/>
      <c r="G43" s="223">
        <v>419</v>
      </c>
      <c r="H43" s="223"/>
      <c r="I43" s="226"/>
    </row>
    <row r="44" spans="1:9" x14ac:dyDescent="0.2">
      <c r="A44" s="202"/>
      <c r="B44" s="202"/>
      <c r="C44" s="204" t="s">
        <v>650</v>
      </c>
      <c r="D44" s="202"/>
      <c r="E44" s="226"/>
      <c r="F44" s="223"/>
      <c r="G44" s="223">
        <v>1858</v>
      </c>
      <c r="H44" s="223"/>
      <c r="I44" s="226"/>
    </row>
    <row r="45" spans="1:9" x14ac:dyDescent="0.2">
      <c r="A45" s="202"/>
      <c r="B45" s="202"/>
      <c r="C45" s="204" t="s">
        <v>450</v>
      </c>
      <c r="D45" s="202"/>
      <c r="E45" s="226"/>
      <c r="F45" s="223"/>
      <c r="G45" s="223">
        <v>7807</v>
      </c>
      <c r="H45" s="223"/>
      <c r="I45" s="226"/>
    </row>
    <row r="46" spans="1:9" x14ac:dyDescent="0.2">
      <c r="A46" s="202"/>
      <c r="B46" s="202"/>
      <c r="C46" s="204" t="s">
        <v>443</v>
      </c>
      <c r="D46" s="202"/>
      <c r="E46" s="227"/>
      <c r="F46" s="223"/>
      <c r="G46" s="224">
        <v>4251</v>
      </c>
      <c r="H46" s="223"/>
      <c r="I46" s="227"/>
    </row>
    <row r="47" spans="1:9" x14ac:dyDescent="0.2">
      <c r="A47" s="202"/>
      <c r="B47" s="202"/>
      <c r="C47" s="202"/>
      <c r="D47" s="204" t="s">
        <v>6</v>
      </c>
      <c r="E47" s="224">
        <f>32200+75000</f>
        <v>107200</v>
      </c>
      <c r="F47" s="223"/>
      <c r="G47" s="224">
        <f>SUM(G42:G46)</f>
        <v>104840</v>
      </c>
      <c r="H47" s="223"/>
      <c r="I47" s="224">
        <f>E47-G47</f>
        <v>2360</v>
      </c>
    </row>
    <row r="48" spans="1:9" x14ac:dyDescent="0.2">
      <c r="A48" s="202"/>
      <c r="B48" s="202"/>
      <c r="C48" s="202"/>
      <c r="D48" s="202"/>
      <c r="E48" s="223"/>
      <c r="F48" s="223"/>
      <c r="G48" s="223"/>
      <c r="H48" s="223"/>
      <c r="I48" s="223"/>
    </row>
    <row r="49" spans="1:9" x14ac:dyDescent="0.2">
      <c r="A49" s="202"/>
      <c r="B49" s="204" t="s">
        <v>688</v>
      </c>
      <c r="C49" s="202"/>
      <c r="D49" s="202"/>
      <c r="E49" s="223"/>
      <c r="F49" s="223"/>
      <c r="G49" s="223"/>
      <c r="H49" s="223"/>
      <c r="I49" s="223"/>
    </row>
    <row r="50" spans="1:9" x14ac:dyDescent="0.2">
      <c r="A50" s="202"/>
      <c r="B50" s="202"/>
      <c r="C50" s="204" t="s">
        <v>442</v>
      </c>
      <c r="D50" s="202"/>
      <c r="E50" s="226"/>
      <c r="F50" s="223"/>
      <c r="G50" s="223">
        <f>27712+75000</f>
        <v>102712</v>
      </c>
      <c r="H50" s="223"/>
      <c r="I50" s="226"/>
    </row>
    <row r="51" spans="1:9" x14ac:dyDescent="0.2">
      <c r="A51" s="202"/>
      <c r="B51" s="202"/>
      <c r="C51" s="204" t="s">
        <v>689</v>
      </c>
      <c r="D51" s="202"/>
      <c r="E51" s="226"/>
      <c r="F51" s="223"/>
      <c r="G51" s="223">
        <v>31388</v>
      </c>
      <c r="H51" s="223"/>
      <c r="I51" s="226"/>
    </row>
    <row r="52" spans="1:9" x14ac:dyDescent="0.2">
      <c r="A52" s="202"/>
      <c r="B52" s="202"/>
      <c r="C52" s="204" t="s">
        <v>650</v>
      </c>
      <c r="D52" s="202"/>
      <c r="E52" s="226"/>
      <c r="F52" s="223"/>
      <c r="G52" s="223">
        <v>3358</v>
      </c>
      <c r="H52" s="223"/>
      <c r="I52" s="226"/>
    </row>
    <row r="53" spans="1:9" x14ac:dyDescent="0.2">
      <c r="A53" s="202"/>
      <c r="B53" s="202"/>
      <c r="C53" s="204" t="s">
        <v>443</v>
      </c>
      <c r="D53" s="202"/>
      <c r="E53" s="227"/>
      <c r="F53" s="223"/>
      <c r="G53" s="224">
        <v>4352</v>
      </c>
      <c r="H53" s="223"/>
      <c r="I53" s="227"/>
    </row>
    <row r="54" spans="1:9" x14ac:dyDescent="0.2">
      <c r="A54" s="202"/>
      <c r="B54" s="202"/>
      <c r="C54" s="202"/>
      <c r="D54" s="204" t="s">
        <v>6</v>
      </c>
      <c r="E54" s="224">
        <f>74880+75000</f>
        <v>149880</v>
      </c>
      <c r="F54" s="223"/>
      <c r="G54" s="224">
        <f>SUM(G50:G53)</f>
        <v>141810</v>
      </c>
      <c r="H54" s="223"/>
      <c r="I54" s="224">
        <f>E54-G54</f>
        <v>8070</v>
      </c>
    </row>
    <row r="55" spans="1:9" x14ac:dyDescent="0.2">
      <c r="A55" s="202"/>
      <c r="B55" s="202"/>
      <c r="C55" s="202"/>
      <c r="D55" s="202"/>
      <c r="E55" s="223"/>
      <c r="F55" s="223"/>
      <c r="G55" s="223"/>
      <c r="H55" s="223"/>
      <c r="I55" s="223"/>
    </row>
    <row r="56" spans="1:9" x14ac:dyDescent="0.2">
      <c r="A56" s="202"/>
      <c r="B56" s="204" t="s">
        <v>690</v>
      </c>
      <c r="C56" s="202"/>
      <c r="D56" s="202"/>
      <c r="E56" s="223"/>
      <c r="F56" s="223"/>
      <c r="G56" s="223"/>
      <c r="H56" s="223"/>
      <c r="I56" s="223"/>
    </row>
    <row r="57" spans="1:9" x14ac:dyDescent="0.2">
      <c r="A57" s="202"/>
      <c r="B57" s="202"/>
      <c r="C57" s="204" t="s">
        <v>442</v>
      </c>
      <c r="D57" s="202"/>
      <c r="E57" s="226"/>
      <c r="F57" s="223"/>
      <c r="G57" s="223">
        <f>5435+50000+51028</f>
        <v>106463</v>
      </c>
      <c r="H57" s="223"/>
      <c r="I57" s="226"/>
    </row>
    <row r="58" spans="1:9" x14ac:dyDescent="0.2">
      <c r="A58" s="202"/>
      <c r="B58" s="202"/>
      <c r="C58" s="204" t="s">
        <v>691</v>
      </c>
      <c r="D58" s="202"/>
      <c r="E58" s="226"/>
      <c r="F58" s="223"/>
      <c r="G58" s="223">
        <v>15918</v>
      </c>
      <c r="H58" s="223"/>
      <c r="I58" s="226"/>
    </row>
    <row r="59" spans="1:9" x14ac:dyDescent="0.2">
      <c r="A59" s="202"/>
      <c r="B59" s="202"/>
      <c r="C59" s="204" t="s">
        <v>650</v>
      </c>
      <c r="D59" s="202"/>
      <c r="E59" s="226"/>
      <c r="F59" s="223"/>
      <c r="G59" s="223">
        <v>125</v>
      </c>
      <c r="H59" s="223"/>
      <c r="I59" s="226"/>
    </row>
    <row r="60" spans="1:9" x14ac:dyDescent="0.2">
      <c r="A60" s="202"/>
      <c r="B60" s="202"/>
      <c r="C60" s="204" t="s">
        <v>443</v>
      </c>
      <c r="D60" s="202"/>
      <c r="E60" s="227"/>
      <c r="F60" s="223"/>
      <c r="G60" s="224">
        <v>1326</v>
      </c>
      <c r="H60" s="223"/>
      <c r="I60" s="227"/>
    </row>
    <row r="61" spans="1:9" x14ac:dyDescent="0.2">
      <c r="A61" s="202"/>
      <c r="B61" s="202"/>
      <c r="C61" s="202"/>
      <c r="D61" s="204" t="s">
        <v>6</v>
      </c>
      <c r="E61" s="224">
        <f>27500+50000</f>
        <v>77500</v>
      </c>
      <c r="F61" s="223"/>
      <c r="G61" s="224">
        <f>SUM(G57:G60)</f>
        <v>123832</v>
      </c>
      <c r="H61" s="223"/>
      <c r="I61" s="224">
        <f>E61-G61</f>
        <v>-46332</v>
      </c>
    </row>
    <row r="62" spans="1:9" x14ac:dyDescent="0.2">
      <c r="A62" s="202"/>
      <c r="B62" s="202"/>
      <c r="C62" s="202"/>
      <c r="D62" s="204"/>
      <c r="E62" s="223"/>
      <c r="F62" s="223"/>
      <c r="G62" s="223"/>
      <c r="H62" s="223"/>
      <c r="I62" s="223"/>
    </row>
    <row r="63" spans="1:9" x14ac:dyDescent="0.2">
      <c r="A63" s="202"/>
      <c r="B63" s="202"/>
      <c r="C63" s="202"/>
      <c r="D63" s="204"/>
      <c r="E63" s="223"/>
      <c r="F63" s="223"/>
      <c r="G63" s="223"/>
      <c r="H63" s="223"/>
      <c r="I63" s="356" t="s">
        <v>277</v>
      </c>
    </row>
    <row r="64" spans="1:9" x14ac:dyDescent="0.2">
      <c r="A64" s="202"/>
      <c r="B64" s="202"/>
      <c r="C64" s="202"/>
      <c r="D64" s="204"/>
      <c r="E64" s="223"/>
      <c r="F64" s="223"/>
      <c r="G64" s="223"/>
      <c r="H64" s="223"/>
      <c r="I64" s="223"/>
    </row>
    <row r="65" spans="1:9" x14ac:dyDescent="0.2">
      <c r="A65" s="202"/>
      <c r="B65" s="202"/>
      <c r="C65" s="202"/>
      <c r="D65" s="204"/>
      <c r="E65" s="223"/>
      <c r="F65" s="223"/>
      <c r="G65" s="223"/>
      <c r="H65" s="223"/>
      <c r="I65" s="223"/>
    </row>
    <row r="66" spans="1:9" x14ac:dyDescent="0.2">
      <c r="A66" s="202"/>
      <c r="B66" s="202"/>
      <c r="C66" s="202"/>
      <c r="D66" s="204"/>
      <c r="E66" s="223"/>
      <c r="F66" s="223"/>
      <c r="G66" s="223"/>
      <c r="H66" s="223"/>
      <c r="I66" s="223"/>
    </row>
    <row r="67" spans="1:9" ht="13.5" thickBot="1" x14ac:dyDescent="0.25">
      <c r="A67" s="692"/>
      <c r="B67" s="692"/>
      <c r="C67" s="692"/>
      <c r="D67" s="742"/>
      <c r="E67" s="693"/>
      <c r="F67" s="693"/>
      <c r="G67" s="693"/>
      <c r="H67" s="693"/>
      <c r="I67" s="693"/>
    </row>
    <row r="68" spans="1:9" x14ac:dyDescent="0.2">
      <c r="A68" s="202"/>
      <c r="B68" s="202"/>
      <c r="C68" s="202"/>
      <c r="D68" s="202"/>
      <c r="E68" s="450"/>
      <c r="F68" s="450"/>
      <c r="G68" s="450"/>
      <c r="H68" s="450"/>
      <c r="I68" s="113" t="s">
        <v>187</v>
      </c>
    </row>
    <row r="69" spans="1:9" x14ac:dyDescent="0.2">
      <c r="A69" s="202"/>
      <c r="B69" s="202"/>
      <c r="C69" s="202"/>
      <c r="D69" s="202"/>
      <c r="E69" s="451" t="s">
        <v>189</v>
      </c>
      <c r="F69" s="450"/>
      <c r="G69" s="450"/>
      <c r="H69" s="450"/>
      <c r="I69" s="809" t="s">
        <v>1053</v>
      </c>
    </row>
    <row r="70" spans="1:9" x14ac:dyDescent="0.2">
      <c r="A70" s="202"/>
      <c r="B70" s="202"/>
      <c r="C70" s="202"/>
      <c r="D70" s="202"/>
      <c r="E70" s="452" t="s">
        <v>190</v>
      </c>
      <c r="F70" s="450"/>
      <c r="G70" s="452" t="s">
        <v>191</v>
      </c>
      <c r="H70" s="450"/>
      <c r="I70" s="810" t="s">
        <v>1054</v>
      </c>
    </row>
    <row r="71" spans="1:9" x14ac:dyDescent="0.2">
      <c r="A71" s="202"/>
      <c r="B71" s="204" t="s">
        <v>692</v>
      </c>
      <c r="C71" s="202"/>
      <c r="D71" s="202"/>
      <c r="E71" s="223"/>
      <c r="F71" s="223"/>
      <c r="G71" s="223"/>
      <c r="H71" s="223"/>
      <c r="I71" s="223"/>
    </row>
    <row r="72" spans="1:9" x14ac:dyDescent="0.2">
      <c r="A72" s="202"/>
      <c r="B72" s="202"/>
      <c r="C72" s="204" t="s">
        <v>442</v>
      </c>
      <c r="D72" s="202"/>
      <c r="E72" s="226"/>
      <c r="F72" s="223"/>
      <c r="G72" s="223">
        <f>7314+45000</f>
        <v>52314</v>
      </c>
      <c r="H72" s="223"/>
      <c r="I72" s="226"/>
    </row>
    <row r="73" spans="1:9" x14ac:dyDescent="0.2">
      <c r="A73" s="202"/>
      <c r="B73" s="202"/>
      <c r="C73" s="204" t="s">
        <v>650</v>
      </c>
      <c r="D73" s="202"/>
      <c r="E73" s="226"/>
      <c r="F73" s="223"/>
      <c r="G73" s="223">
        <v>13973</v>
      </c>
      <c r="H73" s="223"/>
      <c r="I73" s="226"/>
    </row>
    <row r="74" spans="1:9" x14ac:dyDescent="0.2">
      <c r="A74" s="202"/>
      <c r="B74" s="202"/>
      <c r="C74" s="204" t="s">
        <v>693</v>
      </c>
      <c r="D74" s="202"/>
      <c r="E74" s="226"/>
      <c r="F74" s="223"/>
      <c r="G74" s="223">
        <v>3368</v>
      </c>
      <c r="H74" s="223"/>
      <c r="I74" s="226"/>
    </row>
    <row r="75" spans="1:9" x14ac:dyDescent="0.2">
      <c r="A75" s="202"/>
      <c r="B75" s="202"/>
      <c r="C75" s="204" t="s">
        <v>443</v>
      </c>
      <c r="D75" s="202"/>
      <c r="E75" s="227"/>
      <c r="F75" s="223"/>
      <c r="G75" s="224">
        <v>4867</v>
      </c>
      <c r="H75" s="223"/>
      <c r="I75" s="227"/>
    </row>
    <row r="76" spans="1:9" x14ac:dyDescent="0.2">
      <c r="A76" s="202"/>
      <c r="B76" s="202"/>
      <c r="C76" s="202"/>
      <c r="D76" s="204" t="s">
        <v>6</v>
      </c>
      <c r="E76" s="224">
        <f>35750+45000</f>
        <v>80750</v>
      </c>
      <c r="F76" s="223"/>
      <c r="G76" s="224">
        <f>SUM(G72:G75)</f>
        <v>74522</v>
      </c>
      <c r="H76" s="223"/>
      <c r="I76" s="224">
        <f>E76-G76</f>
        <v>6228</v>
      </c>
    </row>
    <row r="77" spans="1:9" x14ac:dyDescent="0.2">
      <c r="A77" s="202"/>
      <c r="B77" s="202"/>
      <c r="C77" s="202"/>
      <c r="D77" s="202"/>
      <c r="E77" s="223"/>
      <c r="F77" s="223"/>
      <c r="G77" s="223"/>
      <c r="H77" s="223"/>
      <c r="I77" s="223"/>
    </row>
    <row r="78" spans="1:9" x14ac:dyDescent="0.2">
      <c r="A78" s="202"/>
      <c r="B78" s="204" t="s">
        <v>694</v>
      </c>
      <c r="C78" s="202"/>
      <c r="D78" s="202"/>
      <c r="E78" s="223"/>
      <c r="F78" s="223"/>
      <c r="G78" s="223"/>
      <c r="H78" s="223"/>
      <c r="I78" s="223"/>
    </row>
    <row r="79" spans="1:9" x14ac:dyDescent="0.2">
      <c r="A79" s="202"/>
      <c r="B79" s="202"/>
      <c r="C79" s="204" t="s">
        <v>442</v>
      </c>
      <c r="D79" s="202"/>
      <c r="E79" s="226"/>
      <c r="F79" s="223"/>
      <c r="G79" s="223">
        <f>7608+50000</f>
        <v>57608</v>
      </c>
      <c r="H79" s="223"/>
      <c r="I79" s="226"/>
    </row>
    <row r="80" spans="1:9" x14ac:dyDescent="0.2">
      <c r="A80" s="202"/>
      <c r="B80" s="202"/>
      <c r="C80" s="204" t="s">
        <v>650</v>
      </c>
      <c r="D80" s="202"/>
      <c r="E80" s="226"/>
      <c r="F80" s="223"/>
      <c r="G80" s="223">
        <v>10338</v>
      </c>
      <c r="H80" s="223"/>
      <c r="I80" s="226"/>
    </row>
    <row r="81" spans="1:9" x14ac:dyDescent="0.2">
      <c r="A81" s="202"/>
      <c r="B81" s="202"/>
      <c r="C81" s="204" t="s">
        <v>443</v>
      </c>
      <c r="D81" s="202"/>
      <c r="E81" s="227"/>
      <c r="F81" s="223"/>
      <c r="G81" s="224">
        <v>5365</v>
      </c>
      <c r="H81" s="223"/>
      <c r="I81" s="227"/>
    </row>
    <row r="82" spans="1:9" x14ac:dyDescent="0.2">
      <c r="A82" s="202"/>
      <c r="B82" s="202"/>
      <c r="C82" s="202"/>
      <c r="D82" s="204" t="s">
        <v>6</v>
      </c>
      <c r="E82" s="224">
        <f>26300+50000</f>
        <v>76300</v>
      </c>
      <c r="F82" s="223"/>
      <c r="G82" s="224">
        <f>SUM(G79:G81)</f>
        <v>73311</v>
      </c>
      <c r="H82" s="223"/>
      <c r="I82" s="224">
        <f>E82-G82</f>
        <v>2989</v>
      </c>
    </row>
    <row r="83" spans="1:9" x14ac:dyDescent="0.2">
      <c r="A83" s="202"/>
      <c r="B83" s="202"/>
      <c r="C83" s="202"/>
      <c r="D83" s="204"/>
      <c r="E83" s="223"/>
      <c r="F83" s="223"/>
      <c r="G83" s="223"/>
      <c r="H83" s="223"/>
      <c r="I83" s="223"/>
    </row>
    <row r="84" spans="1:9" x14ac:dyDescent="0.2">
      <c r="A84" s="202"/>
      <c r="B84" s="204" t="s">
        <v>695</v>
      </c>
      <c r="C84" s="202"/>
      <c r="D84" s="202"/>
      <c r="E84" s="223"/>
      <c r="F84" s="223"/>
      <c r="G84" s="223"/>
      <c r="H84" s="223"/>
      <c r="I84" s="223"/>
    </row>
    <row r="85" spans="1:9" x14ac:dyDescent="0.2">
      <c r="A85" s="202"/>
      <c r="B85" s="202"/>
      <c r="C85" s="204" t="s">
        <v>442</v>
      </c>
      <c r="D85" s="202"/>
      <c r="E85" s="226"/>
      <c r="F85" s="223"/>
      <c r="G85" s="223">
        <f>15676-6892+15000</f>
        <v>23784</v>
      </c>
      <c r="H85" s="223"/>
      <c r="I85" s="226"/>
    </row>
    <row r="86" spans="1:9" x14ac:dyDescent="0.2">
      <c r="A86" s="202"/>
      <c r="B86" s="202"/>
      <c r="C86" s="204" t="s">
        <v>689</v>
      </c>
      <c r="D86" s="202"/>
      <c r="E86" s="226"/>
      <c r="F86" s="223"/>
      <c r="G86" s="223">
        <v>6966</v>
      </c>
      <c r="H86" s="223"/>
      <c r="I86" s="226"/>
    </row>
    <row r="87" spans="1:9" x14ac:dyDescent="0.2">
      <c r="A87" s="202"/>
      <c r="B87" s="202"/>
      <c r="C87" s="204" t="s">
        <v>650</v>
      </c>
      <c r="D87" s="202"/>
      <c r="E87" s="226"/>
      <c r="F87" s="223"/>
      <c r="G87" s="223">
        <v>3520</v>
      </c>
      <c r="H87" s="223"/>
      <c r="I87" s="226"/>
    </row>
    <row r="88" spans="1:9" x14ac:dyDescent="0.2">
      <c r="A88" s="202"/>
      <c r="B88" s="202"/>
      <c r="C88" s="204" t="s">
        <v>443</v>
      </c>
      <c r="D88" s="202"/>
      <c r="E88" s="227"/>
      <c r="F88" s="223"/>
      <c r="G88" s="224">
        <f>1850+995</f>
        <v>2845</v>
      </c>
      <c r="H88" s="223"/>
      <c r="I88" s="227"/>
    </row>
    <row r="89" spans="1:9" x14ac:dyDescent="0.2">
      <c r="A89" s="202"/>
      <c r="B89" s="202"/>
      <c r="C89" s="202"/>
      <c r="D89" s="204" t="s">
        <v>6</v>
      </c>
      <c r="E89" s="224">
        <f>23600+15000</f>
        <v>38600</v>
      </c>
      <c r="F89" s="223"/>
      <c r="G89" s="224">
        <f>SUM(G85:G88)</f>
        <v>37115</v>
      </c>
      <c r="H89" s="223"/>
      <c r="I89" s="224">
        <f>E89-G89</f>
        <v>1485</v>
      </c>
    </row>
    <row r="90" spans="1:9" x14ac:dyDescent="0.2">
      <c r="A90" s="202"/>
      <c r="B90" s="202"/>
      <c r="C90" s="202"/>
      <c r="D90" s="202"/>
      <c r="E90" s="223"/>
      <c r="F90" s="223"/>
      <c r="G90" s="223"/>
      <c r="H90" s="223"/>
      <c r="I90" s="223"/>
    </row>
    <row r="91" spans="1:9" x14ac:dyDescent="0.2">
      <c r="A91" s="202"/>
      <c r="B91" s="204" t="s">
        <v>696</v>
      </c>
      <c r="C91" s="202"/>
      <c r="D91" s="202"/>
      <c r="E91" s="223"/>
      <c r="F91" s="223"/>
      <c r="G91" s="223"/>
      <c r="H91" s="223"/>
      <c r="I91" s="223"/>
    </row>
    <row r="92" spans="1:9" x14ac:dyDescent="0.2">
      <c r="A92" s="202"/>
      <c r="B92" s="202"/>
      <c r="C92" s="204" t="s">
        <v>442</v>
      </c>
      <c r="D92" s="202"/>
      <c r="E92" s="226"/>
      <c r="F92" s="223"/>
      <c r="G92" s="223">
        <f>4386+15000</f>
        <v>19386</v>
      </c>
      <c r="H92" s="223"/>
      <c r="I92" s="226"/>
    </row>
    <row r="93" spans="1:9" x14ac:dyDescent="0.2">
      <c r="A93" s="202"/>
      <c r="B93" s="202"/>
      <c r="C93" s="204" t="s">
        <v>650</v>
      </c>
      <c r="D93" s="202"/>
      <c r="E93" s="226"/>
      <c r="F93" s="223"/>
      <c r="G93" s="223">
        <v>445</v>
      </c>
      <c r="H93" s="223"/>
      <c r="I93" s="226"/>
    </row>
    <row r="94" spans="1:9" x14ac:dyDescent="0.2">
      <c r="A94" s="202"/>
      <c r="B94" s="202"/>
      <c r="C94" s="204" t="s">
        <v>443</v>
      </c>
      <c r="D94" s="202"/>
      <c r="E94" s="227"/>
      <c r="F94" s="223"/>
      <c r="G94" s="224">
        <f>113</f>
        <v>113</v>
      </c>
      <c r="H94" s="223"/>
      <c r="I94" s="226"/>
    </row>
    <row r="95" spans="1:9" x14ac:dyDescent="0.2">
      <c r="A95" s="202"/>
      <c r="B95" s="202"/>
      <c r="C95" s="202"/>
      <c r="D95" s="204" t="s">
        <v>6</v>
      </c>
      <c r="E95" s="224">
        <f>5600+15000</f>
        <v>20600</v>
      </c>
      <c r="F95" s="223"/>
      <c r="G95" s="224">
        <f>SUM(G92:G94)</f>
        <v>19944</v>
      </c>
      <c r="H95" s="223"/>
      <c r="I95" s="229">
        <f>E95-G95</f>
        <v>656</v>
      </c>
    </row>
    <row r="96" spans="1:9" x14ac:dyDescent="0.2">
      <c r="A96" s="202"/>
      <c r="B96" s="202"/>
      <c r="C96" s="202"/>
      <c r="D96" s="204"/>
      <c r="E96" s="223"/>
      <c r="F96" s="223"/>
      <c r="G96" s="223"/>
      <c r="H96" s="223"/>
      <c r="I96" s="230"/>
    </row>
    <row r="97" spans="1:9" x14ac:dyDescent="0.2">
      <c r="A97" s="202"/>
      <c r="B97" s="202" t="s">
        <v>241</v>
      </c>
      <c r="C97" s="202"/>
      <c r="D97" s="204"/>
      <c r="E97" s="231">
        <v>7000</v>
      </c>
      <c r="F97" s="223"/>
      <c r="G97" s="231">
        <v>6892</v>
      </c>
      <c r="H97" s="223"/>
      <c r="I97" s="224">
        <f>E97-G97</f>
        <v>108</v>
      </c>
    </row>
    <row r="98" spans="1:9" x14ac:dyDescent="0.2">
      <c r="E98" s="324"/>
      <c r="F98" s="324"/>
      <c r="G98" s="324"/>
      <c r="H98" s="324"/>
      <c r="I98" s="232"/>
    </row>
    <row r="99" spans="1:9" x14ac:dyDescent="0.2">
      <c r="A99" s="202"/>
      <c r="B99" s="204" t="s">
        <v>157</v>
      </c>
      <c r="C99" s="202"/>
      <c r="D99" s="202"/>
      <c r="E99" s="223"/>
      <c r="F99" s="223"/>
      <c r="G99" s="223"/>
      <c r="H99" s="223"/>
      <c r="I99" s="223"/>
    </row>
    <row r="100" spans="1:9" x14ac:dyDescent="0.2">
      <c r="A100" s="202"/>
      <c r="B100" s="202"/>
      <c r="C100" s="204" t="s">
        <v>195</v>
      </c>
      <c r="D100" s="202"/>
      <c r="E100" s="223">
        <v>101020</v>
      </c>
      <c r="F100" s="223"/>
      <c r="G100" s="223">
        <v>99144</v>
      </c>
      <c r="H100" s="223"/>
      <c r="I100" s="223">
        <f>E100-G100</f>
        <v>1876</v>
      </c>
    </row>
    <row r="101" spans="1:9" x14ac:dyDescent="0.2">
      <c r="A101" s="202"/>
      <c r="B101" s="202"/>
      <c r="C101" s="204" t="s">
        <v>697</v>
      </c>
      <c r="D101" s="202"/>
      <c r="E101" s="224">
        <v>250000</v>
      </c>
      <c r="F101" s="223"/>
      <c r="G101" s="224">
        <v>250000</v>
      </c>
      <c r="H101" s="223"/>
      <c r="I101" s="227">
        <f>E101-G101</f>
        <v>0</v>
      </c>
    </row>
    <row r="102" spans="1:9" x14ac:dyDescent="0.2">
      <c r="A102" s="202"/>
      <c r="B102" s="202"/>
      <c r="C102" s="202"/>
      <c r="D102" s="204" t="s">
        <v>6</v>
      </c>
      <c r="E102" s="224">
        <f>SUM(E100:E101)</f>
        <v>351020</v>
      </c>
      <c r="F102" s="223"/>
      <c r="G102" s="224">
        <f>SUM(G100:G101)</f>
        <v>349144</v>
      </c>
      <c r="H102" s="223"/>
      <c r="I102" s="224">
        <f>E102-G102</f>
        <v>1876</v>
      </c>
    </row>
    <row r="103" spans="1:9" x14ac:dyDescent="0.2">
      <c r="A103" s="202"/>
      <c r="B103" s="202"/>
      <c r="C103" s="202"/>
      <c r="D103" s="202"/>
      <c r="E103" s="223"/>
      <c r="F103" s="223"/>
      <c r="G103" s="223"/>
      <c r="H103" s="223"/>
      <c r="I103" s="223"/>
    </row>
    <row r="104" spans="1:9" x14ac:dyDescent="0.2">
      <c r="A104" s="202"/>
      <c r="B104" s="204" t="s">
        <v>613</v>
      </c>
      <c r="C104" s="202"/>
      <c r="D104" s="202"/>
      <c r="E104" s="223"/>
      <c r="F104" s="223"/>
      <c r="G104" s="223"/>
      <c r="H104" s="223"/>
      <c r="I104" s="223"/>
    </row>
    <row r="105" spans="1:9" x14ac:dyDescent="0.2">
      <c r="A105" s="202"/>
      <c r="B105" s="202"/>
      <c r="C105" s="204" t="s">
        <v>698</v>
      </c>
      <c r="D105" s="202"/>
      <c r="E105" s="223">
        <v>93000</v>
      </c>
      <c r="F105" s="223"/>
      <c r="G105" s="223">
        <v>38576</v>
      </c>
      <c r="H105" s="223"/>
      <c r="I105" s="223">
        <f t="shared" ref="I105:I111" si="0">E105-G105</f>
        <v>54424</v>
      </c>
    </row>
    <row r="106" spans="1:9" x14ac:dyDescent="0.2">
      <c r="A106" s="202"/>
      <c r="B106" s="202"/>
      <c r="C106" s="204" t="s">
        <v>699</v>
      </c>
      <c r="D106" s="202"/>
      <c r="E106" s="223">
        <v>27000</v>
      </c>
      <c r="F106" s="223"/>
      <c r="G106" s="223">
        <v>18495</v>
      </c>
      <c r="H106" s="223"/>
      <c r="I106" s="223">
        <f t="shared" si="0"/>
        <v>8505</v>
      </c>
    </row>
    <row r="107" spans="1:9" x14ac:dyDescent="0.2">
      <c r="A107" s="202"/>
      <c r="B107" s="202"/>
      <c r="C107" s="204" t="s">
        <v>700</v>
      </c>
      <c r="D107" s="202"/>
      <c r="E107" s="223">
        <v>21625</v>
      </c>
      <c r="F107" s="223"/>
      <c r="G107" s="223">
        <v>17310</v>
      </c>
      <c r="H107" s="223"/>
      <c r="I107" s="223">
        <f t="shared" si="0"/>
        <v>4315</v>
      </c>
    </row>
    <row r="108" spans="1:9" x14ac:dyDescent="0.2">
      <c r="A108" s="202"/>
      <c r="B108" s="202"/>
      <c r="C108" s="204" t="s">
        <v>701</v>
      </c>
      <c r="D108" s="202"/>
      <c r="E108" s="223">
        <v>52100</v>
      </c>
      <c r="F108" s="223"/>
      <c r="G108" s="223">
        <v>32594</v>
      </c>
      <c r="H108" s="223"/>
      <c r="I108" s="223">
        <f t="shared" si="0"/>
        <v>19506</v>
      </c>
    </row>
    <row r="109" spans="1:9" x14ac:dyDescent="0.2">
      <c r="A109" s="202"/>
      <c r="B109" s="202"/>
      <c r="C109" s="204" t="s">
        <v>702</v>
      </c>
      <c r="D109" s="202"/>
      <c r="E109" s="223">
        <v>12085</v>
      </c>
      <c r="F109" s="223"/>
      <c r="G109" s="223">
        <v>8043</v>
      </c>
      <c r="H109" s="223"/>
      <c r="I109" s="223">
        <f t="shared" si="0"/>
        <v>4042</v>
      </c>
    </row>
    <row r="110" spans="1:9" x14ac:dyDescent="0.2">
      <c r="A110" s="202"/>
      <c r="B110" s="202"/>
      <c r="C110" s="204" t="s">
        <v>703</v>
      </c>
      <c r="D110" s="202"/>
      <c r="E110" s="224">
        <v>12650</v>
      </c>
      <c r="F110" s="223"/>
      <c r="G110" s="224">
        <v>10346</v>
      </c>
      <c r="H110" s="223"/>
      <c r="I110" s="224">
        <f t="shared" si="0"/>
        <v>2304</v>
      </c>
    </row>
    <row r="111" spans="1:9" x14ac:dyDescent="0.2">
      <c r="A111" s="202"/>
      <c r="B111" s="202"/>
      <c r="C111" s="202"/>
      <c r="D111" s="204" t="s">
        <v>402</v>
      </c>
      <c r="E111" s="224">
        <f>SUM(E105:E110)</f>
        <v>218460</v>
      </c>
      <c r="F111" s="223"/>
      <c r="G111" s="224">
        <f>SUM(G105:G110)</f>
        <v>125364</v>
      </c>
      <c r="H111" s="223"/>
      <c r="I111" s="224">
        <f t="shared" si="0"/>
        <v>93096</v>
      </c>
    </row>
    <row r="112" spans="1:9" x14ac:dyDescent="0.2">
      <c r="A112" s="202"/>
      <c r="B112" s="202"/>
      <c r="C112" s="202"/>
      <c r="D112" s="204" t="s">
        <v>162</v>
      </c>
      <c r="E112" s="224">
        <f>E111+E102+E97+E95+E89+E82+E76+E61+E54+E47+E39</f>
        <v>1340312.5</v>
      </c>
      <c r="F112" s="223"/>
      <c r="G112" s="224">
        <f>G111+G102+G97+G95+G89+G82+G76+G61+G54+G47+G39</f>
        <v>1233070.4445</v>
      </c>
      <c r="H112" s="223"/>
      <c r="I112" s="224">
        <f>E112-G112</f>
        <v>107242.05550000002</v>
      </c>
    </row>
    <row r="113" spans="1:10" x14ac:dyDescent="0.2">
      <c r="A113" s="202"/>
      <c r="B113" s="202"/>
      <c r="C113" s="202"/>
      <c r="D113" s="204"/>
      <c r="E113" s="223"/>
      <c r="F113" s="223"/>
      <c r="G113" s="223"/>
      <c r="H113" s="223"/>
      <c r="I113" s="223"/>
    </row>
    <row r="114" spans="1:10" x14ac:dyDescent="0.2">
      <c r="A114" s="202"/>
      <c r="B114" s="202" t="s">
        <v>619</v>
      </c>
      <c r="C114" s="202"/>
      <c r="D114" s="204"/>
      <c r="E114" s="223">
        <f>+E30-E112</f>
        <v>-100000</v>
      </c>
      <c r="F114" s="223"/>
      <c r="G114" s="223">
        <f>+G30-G112</f>
        <v>-9236.4444999999832</v>
      </c>
      <c r="H114" s="223"/>
      <c r="I114" s="223">
        <f>+I30-I112</f>
        <v>-123720.55550000002</v>
      </c>
    </row>
    <row r="115" spans="1:10" x14ac:dyDescent="0.2">
      <c r="A115" s="202"/>
      <c r="B115" s="202"/>
      <c r="C115" s="202"/>
      <c r="D115" s="204"/>
      <c r="E115" s="223"/>
      <c r="F115" s="223"/>
      <c r="G115" s="223"/>
      <c r="H115" s="223"/>
      <c r="I115" s="223"/>
    </row>
    <row r="116" spans="1:10" x14ac:dyDescent="0.2">
      <c r="A116" s="201" t="s">
        <v>543</v>
      </c>
      <c r="B116" s="202"/>
      <c r="C116" s="202"/>
      <c r="D116" s="202"/>
      <c r="E116" s="223"/>
      <c r="F116" s="223"/>
      <c r="G116" s="223"/>
      <c r="H116" s="223"/>
      <c r="I116" s="223"/>
    </row>
    <row r="117" spans="1:10" x14ac:dyDescent="0.2">
      <c r="A117" s="202"/>
      <c r="B117" s="204" t="s">
        <v>532</v>
      </c>
      <c r="C117" s="202"/>
      <c r="D117" s="202"/>
      <c r="E117" s="223"/>
      <c r="F117" s="223"/>
      <c r="G117" s="223"/>
      <c r="H117" s="223"/>
      <c r="I117" s="223"/>
    </row>
    <row r="118" spans="1:10" x14ac:dyDescent="0.2">
      <c r="A118" s="202"/>
      <c r="B118" s="202"/>
      <c r="C118" s="204" t="s">
        <v>140</v>
      </c>
      <c r="D118" s="202"/>
      <c r="E118" s="224">
        <v>100000</v>
      </c>
      <c r="F118" s="223"/>
      <c r="G118" s="224">
        <v>100000</v>
      </c>
      <c r="H118" s="223"/>
      <c r="I118" s="227">
        <f>G118-E118</f>
        <v>0</v>
      </c>
    </row>
    <row r="119" spans="1:10" x14ac:dyDescent="0.2">
      <c r="A119" s="202"/>
      <c r="B119" s="202"/>
      <c r="C119" s="202"/>
      <c r="D119" s="204" t="s">
        <v>621</v>
      </c>
      <c r="E119" s="223">
        <f>+E118</f>
        <v>100000</v>
      </c>
      <c r="F119" s="223"/>
      <c r="G119" s="223">
        <f>+G118</f>
        <v>100000</v>
      </c>
      <c r="H119" s="223"/>
      <c r="I119" s="223">
        <f>+I118</f>
        <v>0</v>
      </c>
    </row>
    <row r="120" spans="1:10" x14ac:dyDescent="0.2">
      <c r="A120" s="202"/>
      <c r="B120" s="202"/>
      <c r="C120" s="202"/>
      <c r="D120" s="202"/>
      <c r="E120" s="223"/>
      <c r="F120" s="223"/>
      <c r="G120" s="223"/>
      <c r="H120" s="223"/>
      <c r="I120" s="223"/>
    </row>
    <row r="121" spans="1:10" x14ac:dyDescent="0.2">
      <c r="A121" s="204" t="s">
        <v>676</v>
      </c>
      <c r="B121" s="202"/>
      <c r="C121" s="202"/>
      <c r="D121" s="202"/>
      <c r="E121" s="223"/>
      <c r="F121" s="223"/>
      <c r="G121" s="223"/>
      <c r="H121" s="223"/>
      <c r="I121" s="223"/>
    </row>
    <row r="122" spans="1:10" ht="13.5" thickBot="1" x14ac:dyDescent="0.25">
      <c r="A122" s="204" t="s">
        <v>704</v>
      </c>
      <c r="B122" s="202"/>
      <c r="C122" s="202"/>
      <c r="D122" s="202"/>
      <c r="E122" s="619">
        <f>+E114+E119</f>
        <v>0</v>
      </c>
      <c r="F122" s="223"/>
      <c r="G122" s="619">
        <f>+G114+G118</f>
        <v>90763.555500000017</v>
      </c>
      <c r="H122" s="223"/>
      <c r="I122" s="619">
        <f>G122-E122</f>
        <v>90763.555500000017</v>
      </c>
    </row>
    <row r="123" spans="1:10" ht="13.5" thickTop="1" x14ac:dyDescent="0.2">
      <c r="A123" s="202"/>
      <c r="B123" s="202"/>
      <c r="C123" s="202"/>
      <c r="D123" s="202"/>
      <c r="E123" s="223"/>
      <c r="F123" s="223"/>
      <c r="G123" s="223"/>
      <c r="H123" s="223"/>
      <c r="I123" s="223"/>
    </row>
    <row r="124" spans="1:10" x14ac:dyDescent="0.2">
      <c r="A124" s="202"/>
      <c r="B124" s="202"/>
      <c r="C124" s="202"/>
      <c r="D124" s="202"/>
      <c r="E124" s="223"/>
      <c r="F124" s="223"/>
      <c r="G124" s="223"/>
      <c r="H124" s="223"/>
      <c r="I124" s="356" t="s">
        <v>277</v>
      </c>
    </row>
    <row r="125" spans="1:10" x14ac:dyDescent="0.2">
      <c r="A125" s="202"/>
      <c r="B125" s="202"/>
      <c r="C125" s="202"/>
      <c r="D125" s="202"/>
      <c r="E125" s="223"/>
      <c r="F125" s="223"/>
      <c r="G125" s="223"/>
      <c r="H125" s="223"/>
      <c r="I125" s="356"/>
    </row>
    <row r="126" spans="1:10" x14ac:dyDescent="0.2">
      <c r="A126" s="202"/>
      <c r="B126" s="202"/>
      <c r="C126" s="202"/>
      <c r="D126" s="202"/>
      <c r="E126" s="223"/>
      <c r="F126" s="223"/>
      <c r="G126" s="223"/>
      <c r="H126" s="223"/>
      <c r="I126" s="356"/>
    </row>
    <row r="127" spans="1:10" ht="13.5" thickBot="1" x14ac:dyDescent="0.25">
      <c r="A127" s="692"/>
      <c r="B127" s="692"/>
      <c r="C127" s="692"/>
      <c r="D127" s="692"/>
      <c r="E127" s="693"/>
      <c r="F127" s="693"/>
      <c r="G127" s="693"/>
      <c r="H127" s="693"/>
      <c r="I127" s="694"/>
    </row>
    <row r="128" spans="1:10" x14ac:dyDescent="0.2">
      <c r="A128" s="202"/>
      <c r="B128" s="202"/>
      <c r="C128" s="202"/>
      <c r="D128" s="202"/>
      <c r="E128" s="223"/>
      <c r="F128" s="223"/>
      <c r="G128" s="223"/>
      <c r="H128" s="223"/>
      <c r="I128" s="356"/>
      <c r="J128" s="202"/>
    </row>
    <row r="129" spans="1:10" x14ac:dyDescent="0.2">
      <c r="A129" s="201" t="s">
        <v>660</v>
      </c>
      <c r="B129" s="202"/>
      <c r="C129" s="202"/>
      <c r="D129" s="202"/>
      <c r="E129" s="223"/>
      <c r="F129" s="223"/>
      <c r="G129" s="223"/>
      <c r="H129" s="223"/>
      <c r="I129" s="223"/>
      <c r="J129" s="202"/>
    </row>
    <row r="130" spans="1:10" x14ac:dyDescent="0.2">
      <c r="A130" s="201" t="s">
        <v>661</v>
      </c>
      <c r="B130" s="202"/>
      <c r="C130" s="202"/>
      <c r="D130" s="202"/>
      <c r="E130" s="223"/>
      <c r="F130" s="223"/>
      <c r="G130" s="223"/>
      <c r="H130" s="223"/>
      <c r="I130" s="223"/>
    </row>
    <row r="131" spans="1:10" x14ac:dyDescent="0.2">
      <c r="A131" s="202"/>
      <c r="B131" s="204" t="s">
        <v>676</v>
      </c>
      <c r="C131" s="202"/>
      <c r="D131" s="202"/>
      <c r="E131" s="223"/>
      <c r="F131" s="223"/>
      <c r="G131" s="223"/>
      <c r="H131" s="223"/>
      <c r="I131" s="204"/>
    </row>
    <row r="132" spans="1:10" x14ac:dyDescent="0.2">
      <c r="A132" s="202"/>
      <c r="B132" s="204" t="s">
        <v>704</v>
      </c>
      <c r="C132" s="202"/>
      <c r="D132" s="202"/>
      <c r="E132" s="223"/>
      <c r="F132" s="223"/>
      <c r="G132" s="221">
        <f>G122</f>
        <v>90763.555500000017</v>
      </c>
      <c r="H132" s="223"/>
      <c r="I132" s="204"/>
    </row>
    <row r="133" spans="1:10" x14ac:dyDescent="0.2">
      <c r="A133" s="202"/>
      <c r="B133" s="202"/>
      <c r="C133" s="202"/>
      <c r="D133" s="202"/>
      <c r="E133" s="223"/>
      <c r="F133" s="223"/>
      <c r="G133" s="223"/>
      <c r="H133" s="223"/>
      <c r="I133" s="223"/>
    </row>
    <row r="134" spans="1:10" x14ac:dyDescent="0.2">
      <c r="A134" s="202"/>
      <c r="B134" s="204" t="s">
        <v>662</v>
      </c>
      <c r="C134" s="202"/>
      <c r="D134" s="202"/>
      <c r="E134" s="223"/>
      <c r="F134" s="223"/>
      <c r="G134" s="223"/>
      <c r="H134" s="223"/>
      <c r="I134" s="223"/>
    </row>
    <row r="135" spans="1:10" x14ac:dyDescent="0.2">
      <c r="A135" s="202"/>
      <c r="B135" s="202"/>
      <c r="C135" s="204" t="s">
        <v>697</v>
      </c>
      <c r="D135" s="202"/>
      <c r="E135" s="223"/>
      <c r="F135" s="223"/>
      <c r="G135" s="223">
        <v>250000</v>
      </c>
      <c r="H135" s="223"/>
      <c r="I135" s="223"/>
    </row>
    <row r="136" spans="1:10" hidden="1" x14ac:dyDescent="0.2">
      <c r="A136" s="202"/>
      <c r="B136" s="202"/>
      <c r="C136" s="204" t="s">
        <v>156</v>
      </c>
      <c r="D136" s="202"/>
      <c r="E136" s="223"/>
      <c r="F136" s="223"/>
      <c r="G136" s="223">
        <v>125364</v>
      </c>
      <c r="H136" s="223"/>
      <c r="I136" s="223"/>
    </row>
    <row r="137" spans="1:10" x14ac:dyDescent="0.2">
      <c r="A137" s="202"/>
      <c r="B137" s="202"/>
      <c r="C137" s="204" t="s">
        <v>705</v>
      </c>
      <c r="D137" s="202"/>
      <c r="E137" s="223"/>
      <c r="F137" s="223"/>
      <c r="G137" s="223"/>
      <c r="H137" s="223"/>
      <c r="I137" s="223"/>
    </row>
    <row r="138" spans="1:10" x14ac:dyDescent="0.2">
      <c r="A138" s="202"/>
      <c r="B138" s="202"/>
      <c r="C138" s="204" t="s">
        <v>706</v>
      </c>
      <c r="D138" s="202"/>
      <c r="E138" s="223"/>
      <c r="F138" s="223"/>
      <c r="G138" s="223">
        <v>121348</v>
      </c>
      <c r="H138" s="223"/>
      <c r="I138" s="691"/>
    </row>
    <row r="139" spans="1:10" x14ac:dyDescent="0.2">
      <c r="A139" s="202"/>
      <c r="B139" s="202"/>
      <c r="C139" s="295" t="s">
        <v>707</v>
      </c>
      <c r="D139" s="202"/>
      <c r="E139" s="223"/>
      <c r="F139" s="223"/>
      <c r="G139" s="223">
        <v>0</v>
      </c>
      <c r="H139" s="223"/>
      <c r="I139" s="223"/>
    </row>
    <row r="140" spans="1:10" x14ac:dyDescent="0.2">
      <c r="A140" s="202"/>
      <c r="B140" s="202"/>
      <c r="C140" s="204" t="s">
        <v>1004</v>
      </c>
      <c r="D140" s="204"/>
      <c r="E140" s="223"/>
      <c r="F140" s="223"/>
      <c r="G140" s="223">
        <f>-'EFCF Exh 11'!G50</f>
        <v>63224.900500000011</v>
      </c>
      <c r="H140" s="223"/>
      <c r="I140" s="223"/>
    </row>
    <row r="141" spans="1:10" x14ac:dyDescent="0.2">
      <c r="A141" s="202"/>
      <c r="B141" s="202"/>
      <c r="C141" s="204" t="s">
        <v>664</v>
      </c>
      <c r="D141" s="204"/>
      <c r="E141" s="223"/>
      <c r="F141" s="223"/>
      <c r="G141" s="223">
        <f>-'EFCF Exh 11'!G52</f>
        <v>-73199.5435</v>
      </c>
      <c r="H141" s="223"/>
      <c r="I141" s="223"/>
    </row>
    <row r="142" spans="1:10" x14ac:dyDescent="0.2">
      <c r="A142" s="202"/>
      <c r="B142" s="202"/>
      <c r="C142" s="204" t="s">
        <v>665</v>
      </c>
      <c r="D142" s="204"/>
      <c r="E142" s="223"/>
      <c r="F142" s="223"/>
      <c r="G142" s="223">
        <f>-'EFCF Exh 11'!G54</f>
        <v>497.62599999999998</v>
      </c>
      <c r="H142" s="223"/>
      <c r="I142" s="203"/>
    </row>
    <row r="143" spans="1:10" x14ac:dyDescent="0.2">
      <c r="A143" s="202"/>
      <c r="B143" s="202"/>
      <c r="C143" s="204" t="s">
        <v>708</v>
      </c>
      <c r="D143" s="204"/>
      <c r="E143" s="223"/>
      <c r="F143" s="223"/>
      <c r="G143" s="223">
        <f>-'EFCF Exh 11'!G51</f>
        <v>249.86600000000001</v>
      </c>
      <c r="H143" s="223"/>
      <c r="I143" s="223"/>
    </row>
    <row r="144" spans="1:10" x14ac:dyDescent="0.2">
      <c r="A144" s="202"/>
      <c r="B144" s="202"/>
      <c r="C144" s="204" t="s">
        <v>667</v>
      </c>
      <c r="D144" s="204"/>
      <c r="E144" s="223"/>
      <c r="F144" s="223"/>
      <c r="G144" s="223">
        <f>-'EFCF Exh 11'!G53</f>
        <v>17436.118000000002</v>
      </c>
      <c r="H144" s="223"/>
      <c r="I144" s="223"/>
    </row>
    <row r="145" spans="1:9" x14ac:dyDescent="0.2">
      <c r="A145" s="202"/>
      <c r="B145" s="202"/>
      <c r="C145" s="204" t="s">
        <v>668</v>
      </c>
      <c r="D145" s="204"/>
      <c r="E145" s="223"/>
      <c r="F145" s="223"/>
      <c r="G145" s="223">
        <f>-'EFCF Exh 11'!G55</f>
        <v>-18494.096000000001</v>
      </c>
      <c r="H145" s="223"/>
      <c r="I145" s="223"/>
    </row>
    <row r="146" spans="1:9" x14ac:dyDescent="0.2">
      <c r="A146" s="202"/>
      <c r="B146" s="202"/>
      <c r="C146" s="204" t="s">
        <v>709</v>
      </c>
      <c r="D146" s="204"/>
      <c r="E146" s="223"/>
      <c r="F146" s="223"/>
      <c r="G146" s="223">
        <f>-1868+3791</f>
        <v>1923</v>
      </c>
      <c r="H146" s="223"/>
      <c r="I146" s="223"/>
    </row>
    <row r="147" spans="1:9" x14ac:dyDescent="0.2">
      <c r="A147" s="202"/>
      <c r="B147" s="202"/>
      <c r="C147" s="905" t="s">
        <v>1110</v>
      </c>
      <c r="D147" s="905"/>
      <c r="E147" s="908"/>
      <c r="F147" s="223"/>
      <c r="G147" s="908">
        <v>-28500</v>
      </c>
      <c r="H147" s="223"/>
      <c r="I147" s="223"/>
    </row>
    <row r="148" spans="1:9" x14ac:dyDescent="0.2">
      <c r="A148" s="202"/>
      <c r="B148" s="202"/>
      <c r="C148" s="204" t="s">
        <v>244</v>
      </c>
      <c r="D148" s="202"/>
      <c r="E148" s="223"/>
      <c r="F148" s="223"/>
      <c r="G148" s="223">
        <v>-200963</v>
      </c>
      <c r="H148" s="223"/>
      <c r="I148" s="223"/>
    </row>
    <row r="149" spans="1:9" x14ac:dyDescent="0.2">
      <c r="A149" s="202"/>
      <c r="B149" s="202"/>
      <c r="C149" s="204" t="s">
        <v>710</v>
      </c>
      <c r="D149" s="202"/>
      <c r="E149" s="223"/>
      <c r="F149" s="223"/>
      <c r="G149" s="223"/>
      <c r="H149" s="223"/>
      <c r="I149" s="223"/>
    </row>
    <row r="150" spans="1:9" x14ac:dyDescent="0.2">
      <c r="A150" s="202"/>
      <c r="B150" s="202"/>
      <c r="C150" s="204" t="s">
        <v>711</v>
      </c>
      <c r="D150" s="202"/>
      <c r="E150" s="223"/>
      <c r="F150" s="223"/>
      <c r="G150" s="223">
        <v>32162</v>
      </c>
      <c r="H150" s="223"/>
      <c r="I150" s="691"/>
    </row>
    <row r="151" spans="1:9" x14ac:dyDescent="0.2">
      <c r="A151" s="202"/>
      <c r="B151" s="202"/>
      <c r="C151" s="204" t="s">
        <v>1112</v>
      </c>
      <c r="D151" s="202"/>
      <c r="E151" s="223"/>
      <c r="F151" s="223"/>
      <c r="G151" s="223"/>
      <c r="H151" s="223"/>
      <c r="I151" s="223"/>
    </row>
    <row r="152" spans="1:9" x14ac:dyDescent="0.2">
      <c r="A152" s="202"/>
      <c r="B152" s="202"/>
      <c r="C152" s="204" t="s">
        <v>712</v>
      </c>
      <c r="D152" s="202"/>
      <c r="E152" s="223"/>
      <c r="F152" s="223"/>
      <c r="G152" s="223">
        <v>101012</v>
      </c>
      <c r="H152" s="223"/>
      <c r="I152" s="223"/>
    </row>
    <row r="153" spans="1:9" x14ac:dyDescent="0.2">
      <c r="A153" s="202"/>
      <c r="B153" s="202"/>
      <c r="C153" s="204" t="s">
        <v>1111</v>
      </c>
      <c r="D153" s="202"/>
      <c r="E153" s="223"/>
      <c r="F153" s="223"/>
      <c r="G153" s="224">
        <v>-32162</v>
      </c>
      <c r="H153" s="223"/>
      <c r="I153" s="223"/>
    </row>
    <row r="154" spans="1:9" x14ac:dyDescent="0.2">
      <c r="A154" s="202"/>
      <c r="B154" s="202"/>
      <c r="C154" s="202"/>
      <c r="D154" s="204" t="s">
        <v>670</v>
      </c>
      <c r="E154" s="223"/>
      <c r="F154" s="223"/>
      <c r="G154" s="224">
        <f>SUM(G135:G153)</f>
        <v>359898.87099999993</v>
      </c>
      <c r="H154" s="223"/>
      <c r="I154" s="223"/>
    </row>
    <row r="155" spans="1:9" ht="13.5" thickBot="1" x14ac:dyDescent="0.25">
      <c r="B155" s="204" t="s">
        <v>94</v>
      </c>
      <c r="C155" s="202"/>
      <c r="D155" s="202"/>
      <c r="E155" s="203"/>
      <c r="F155" s="203"/>
      <c r="G155" s="233">
        <f>G132+G154</f>
        <v>450662.42649999994</v>
      </c>
      <c r="H155" s="203"/>
      <c r="I155" s="203"/>
    </row>
    <row r="156" spans="1:9" ht="13.5" thickTop="1" x14ac:dyDescent="0.2">
      <c r="I156" s="203"/>
    </row>
    <row r="158" spans="1:9" x14ac:dyDescent="0.2">
      <c r="G158" s="328"/>
    </row>
  </sheetData>
  <customSheetViews>
    <customSheetView guid="{E0C60316-4586-4AAF-92CB-FA82BB1EB755}">
      <rowBreaks count="2" manualBreakCount="2">
        <brk id="63" max="16383" man="1"/>
        <brk id="109" max="16383" man="1"/>
      </rowBreaks>
      <pageMargins left="0" right="0" top="0" bottom="0" header="0" footer="0"/>
      <printOptions horizontalCentered="1"/>
      <pageSetup scale="77" firstPageNumber="128" fitToHeight="0" orientation="portrait" useFirstPageNumber="1" r:id="rId1"/>
      <headerFooter alignWithMargins="0"/>
    </customSheetView>
    <customSheetView guid="{A8748736-0722-49EB-85B6-C9B52DDCFE0E}" showPageBreaks="1" hiddenRows="1">
      <selection activeCell="G52" sqref="A2:G52"/>
      <rowBreaks count="2" manualBreakCount="2">
        <brk id="63" max="16383" man="1"/>
        <brk id="109" max="16383" man="1"/>
      </rowBreaks>
      <pageMargins left="0.75" right="0.75" top="1" bottom="1" header="0.5" footer="0.5"/>
      <printOptions horizontalCentered="1"/>
      <pageSetup scale="77" firstPageNumber="128" fitToHeight="0" orientation="portrait" useFirstPageNumber="1" r:id="rId2"/>
      <headerFooter alignWithMargins="0"/>
    </customSheetView>
  </customSheetViews>
  <phoneticPr fontId="0" type="noConversion"/>
  <printOptions horizontalCentered="1"/>
  <pageMargins left="0.75" right="0.75" top="1" bottom="1" header="0.5" footer="0.5"/>
  <pageSetup scale="77" firstPageNumber="128" fitToHeight="0" orientation="portrait" useFirstPageNumber="1" r:id="rId3"/>
  <headerFooter alignWithMargins="0"/>
  <rowBreaks count="2" manualBreakCount="2">
    <brk id="64" max="16383" man="1"/>
    <brk id="124"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O47"/>
  <sheetViews>
    <sheetView workbookViewId="0">
      <selection activeCell="A39" sqref="A39"/>
    </sheetView>
  </sheetViews>
  <sheetFormatPr defaultColWidth="9.140625" defaultRowHeight="12.75" x14ac:dyDescent="0.2"/>
  <cols>
    <col min="1" max="3" width="2.42578125" style="30" customWidth="1"/>
    <col min="4" max="4" width="23.42578125" style="30" customWidth="1"/>
    <col min="5" max="5" width="10.7109375" style="30" customWidth="1"/>
    <col min="6" max="6" width="1.7109375" style="30" customWidth="1"/>
    <col min="7" max="7" width="11" style="30" customWidth="1"/>
    <col min="8" max="8" width="1.7109375" style="30" customWidth="1"/>
    <col min="9" max="9" width="11.5703125" style="30" bestFit="1" customWidth="1"/>
    <col min="10" max="10" width="1.7109375" style="30" customWidth="1"/>
    <col min="11" max="11" width="11.5703125" style="30" bestFit="1" customWidth="1"/>
    <col min="12" max="12" width="1.7109375" style="30" customWidth="1"/>
    <col min="13" max="13" width="11.5703125" style="30" bestFit="1" customWidth="1"/>
    <col min="14" max="14" width="10.42578125" style="30" bestFit="1" customWidth="1"/>
    <col min="15" max="16384" width="9.140625" style="30"/>
  </cols>
  <sheetData>
    <row r="1" spans="1:13" x14ac:dyDescent="0.2">
      <c r="A1" s="234" t="s">
        <v>0</v>
      </c>
      <c r="B1" s="235"/>
      <c r="C1" s="235"/>
      <c r="D1" s="235"/>
      <c r="E1" s="235"/>
      <c r="F1" s="235"/>
      <c r="G1" s="235"/>
      <c r="H1" s="235"/>
      <c r="I1" s="235"/>
      <c r="J1" s="235"/>
      <c r="K1" s="235"/>
      <c r="L1" s="235"/>
      <c r="M1" s="235"/>
    </row>
    <row r="2" spans="1:13" x14ac:dyDescent="0.2">
      <c r="A2" s="234" t="s">
        <v>713</v>
      </c>
      <c r="B2" s="235"/>
      <c r="C2" s="235"/>
      <c r="D2" s="235"/>
      <c r="E2" s="235"/>
      <c r="F2" s="235"/>
      <c r="G2" s="235"/>
      <c r="H2" s="235"/>
      <c r="I2" s="235"/>
      <c r="J2" s="235"/>
      <c r="K2" s="235"/>
      <c r="L2" s="235"/>
      <c r="M2" s="235"/>
    </row>
    <row r="3" spans="1:13" x14ac:dyDescent="0.2">
      <c r="A3" s="234" t="s">
        <v>714</v>
      </c>
      <c r="B3" s="235"/>
      <c r="C3" s="235"/>
      <c r="D3" s="235"/>
      <c r="E3" s="235"/>
      <c r="F3" s="235"/>
      <c r="G3" s="235"/>
      <c r="H3" s="235"/>
      <c r="I3" s="235"/>
      <c r="J3" s="235"/>
      <c r="K3" s="235"/>
      <c r="L3" s="235"/>
      <c r="M3" s="235"/>
    </row>
    <row r="4" spans="1:13" x14ac:dyDescent="0.2">
      <c r="A4" s="234"/>
      <c r="B4" s="235"/>
      <c r="C4" s="235"/>
      <c r="D4" s="1155" t="str">
        <f>'SR-BA7 (Opioid)Multi Yr'!A5</f>
        <v>From Inception and for the Fiscal Year Ended June 30, 2025</v>
      </c>
      <c r="E4" s="1155"/>
      <c r="F4" s="1155"/>
      <c r="G4" s="1155"/>
      <c r="H4" s="1155"/>
      <c r="I4" s="1155"/>
      <c r="J4" s="1155"/>
      <c r="K4" s="1155"/>
      <c r="L4" s="1155"/>
      <c r="M4" s="1155"/>
    </row>
    <row r="5" spans="1:13" x14ac:dyDescent="0.2">
      <c r="A5" s="234"/>
      <c r="B5" s="235"/>
      <c r="C5" s="235"/>
      <c r="D5" s="674"/>
      <c r="E5" s="674"/>
      <c r="F5" s="674"/>
      <c r="G5" s="674"/>
      <c r="H5" s="674"/>
      <c r="I5" s="674"/>
      <c r="J5" s="674"/>
      <c r="K5" s="674"/>
      <c r="L5" s="674"/>
      <c r="M5" s="674"/>
    </row>
    <row r="6" spans="1:13" x14ac:dyDescent="0.2">
      <c r="A6" s="234"/>
      <c r="B6" s="235"/>
      <c r="C6" s="235"/>
      <c r="D6" s="674"/>
      <c r="E6" s="674"/>
      <c r="F6" s="674"/>
      <c r="G6" s="674"/>
      <c r="H6" s="674"/>
      <c r="I6" s="674"/>
      <c r="J6" s="674"/>
      <c r="K6" s="674"/>
      <c r="L6" s="674"/>
      <c r="M6" s="674"/>
    </row>
    <row r="7" spans="1:13" ht="13.5" thickBot="1" x14ac:dyDescent="0.25">
      <c r="A7" s="236"/>
      <c r="B7" s="236"/>
      <c r="C7" s="236"/>
      <c r="D7" s="236"/>
      <c r="E7" s="236"/>
      <c r="F7" s="236"/>
      <c r="G7" s="236"/>
      <c r="H7" s="236"/>
      <c r="I7" s="236"/>
      <c r="J7" s="236"/>
      <c r="K7" s="236"/>
      <c r="L7" s="236"/>
      <c r="M7" s="236"/>
    </row>
    <row r="8" spans="1:13" x14ac:dyDescent="0.2">
      <c r="A8" s="237"/>
      <c r="B8" s="237"/>
      <c r="C8" s="237"/>
      <c r="D8" s="237"/>
      <c r="E8" s="238" t="s">
        <v>622</v>
      </c>
      <c r="F8" s="237"/>
      <c r="G8" s="239" t="s">
        <v>191</v>
      </c>
      <c r="H8" s="239"/>
      <c r="I8" s="239"/>
      <c r="J8" s="239"/>
      <c r="K8" s="239"/>
      <c r="L8" s="237"/>
      <c r="M8" s="113" t="s">
        <v>187</v>
      </c>
    </row>
    <row r="9" spans="1:13" x14ac:dyDescent="0.2">
      <c r="A9" s="237"/>
      <c r="B9" s="237"/>
      <c r="C9" s="237"/>
      <c r="D9" s="237"/>
      <c r="E9" s="238" t="s">
        <v>673</v>
      </c>
      <c r="F9" s="237"/>
      <c r="G9" s="238" t="s">
        <v>602</v>
      </c>
      <c r="H9" s="237"/>
      <c r="I9" s="238" t="s">
        <v>674</v>
      </c>
      <c r="J9" s="237"/>
      <c r="K9" s="238" t="s">
        <v>604</v>
      </c>
      <c r="L9" s="237"/>
      <c r="M9" s="809" t="s">
        <v>1053</v>
      </c>
    </row>
    <row r="10" spans="1:13" x14ac:dyDescent="0.2">
      <c r="A10" s="237"/>
      <c r="B10" s="240" t="s">
        <v>112</v>
      </c>
      <c r="C10" s="237"/>
      <c r="D10" s="237"/>
      <c r="E10" s="241" t="s">
        <v>624</v>
      </c>
      <c r="F10" s="237"/>
      <c r="G10" s="241" t="s">
        <v>605</v>
      </c>
      <c r="H10" s="237"/>
      <c r="I10" s="241" t="s">
        <v>606</v>
      </c>
      <c r="J10" s="237"/>
      <c r="K10" s="241" t="s">
        <v>607</v>
      </c>
      <c r="L10" s="237"/>
      <c r="M10" s="810" t="s">
        <v>1054</v>
      </c>
    </row>
    <row r="11" spans="1:13" x14ac:dyDescent="0.2">
      <c r="A11" s="931" t="s">
        <v>715</v>
      </c>
      <c r="B11" s="237"/>
      <c r="C11" s="237"/>
      <c r="D11" s="237"/>
      <c r="E11" s="237"/>
      <c r="F11" s="237"/>
      <c r="G11" s="237"/>
      <c r="H11" s="237"/>
      <c r="I11" s="237"/>
      <c r="J11" s="237"/>
      <c r="K11" s="237"/>
      <c r="L11" s="237"/>
      <c r="M11" s="237"/>
    </row>
    <row r="12" spans="1:13" x14ac:dyDescent="0.2">
      <c r="A12" s="237"/>
      <c r="B12" s="240" t="s">
        <v>415</v>
      </c>
      <c r="C12" s="237"/>
      <c r="D12" s="237"/>
      <c r="E12" s="237"/>
      <c r="F12" s="237"/>
      <c r="G12" s="237"/>
      <c r="H12" s="237"/>
      <c r="I12" s="237"/>
      <c r="J12" s="237"/>
      <c r="K12" s="237"/>
      <c r="L12" s="237"/>
      <c r="M12" s="242"/>
    </row>
    <row r="13" spans="1:13" x14ac:dyDescent="0.2">
      <c r="A13" s="237"/>
      <c r="B13" s="237"/>
      <c r="C13" s="240" t="s">
        <v>716</v>
      </c>
      <c r="D13" s="237"/>
      <c r="E13" s="221">
        <v>700000</v>
      </c>
      <c r="F13" s="243"/>
      <c r="G13" s="221">
        <v>631100</v>
      </c>
      <c r="H13" s="243"/>
      <c r="I13" s="221">
        <v>68900</v>
      </c>
      <c r="J13" s="243"/>
      <c r="K13" s="221">
        <f>SUM(G13:I13)</f>
        <v>700000</v>
      </c>
      <c r="L13" s="243"/>
      <c r="M13" s="220">
        <f>K13-E13</f>
        <v>0</v>
      </c>
    </row>
    <row r="14" spans="1:13" x14ac:dyDescent="0.2">
      <c r="A14" s="237"/>
      <c r="B14" s="240" t="s">
        <v>148</v>
      </c>
      <c r="C14" s="237"/>
      <c r="D14" s="237"/>
      <c r="E14" s="244">
        <v>40000</v>
      </c>
      <c r="F14" s="245"/>
      <c r="G14" s="244">
        <v>28014</v>
      </c>
      <c r="H14" s="245"/>
      <c r="I14" s="244">
        <v>12016</v>
      </c>
      <c r="J14" s="245"/>
      <c r="K14" s="244">
        <f>SUM(G14:I14)</f>
        <v>40030</v>
      </c>
      <c r="L14" s="245"/>
      <c r="M14" s="244">
        <f>K14-E14</f>
        <v>30</v>
      </c>
    </row>
    <row r="15" spans="1:13" x14ac:dyDescent="0.2">
      <c r="A15" s="237"/>
      <c r="B15" s="237"/>
      <c r="C15" s="237"/>
      <c r="D15" s="240" t="s">
        <v>6</v>
      </c>
      <c r="E15" s="244">
        <f>SUM(E13:E14)</f>
        <v>740000</v>
      </c>
      <c r="F15" s="245"/>
      <c r="G15" s="244">
        <f>SUM(G13:G14)</f>
        <v>659114</v>
      </c>
      <c r="H15" s="245"/>
      <c r="I15" s="244">
        <f>SUM(I13:I14)</f>
        <v>80916</v>
      </c>
      <c r="J15" s="245"/>
      <c r="K15" s="244">
        <f>SUM(K13:K14)</f>
        <v>740030</v>
      </c>
      <c r="L15" s="245"/>
      <c r="M15" s="244">
        <f>K15-E15</f>
        <v>30</v>
      </c>
    </row>
    <row r="16" spans="1:13" x14ac:dyDescent="0.2">
      <c r="A16" s="237"/>
      <c r="B16" s="237"/>
      <c r="C16" s="237"/>
      <c r="D16" s="237"/>
      <c r="E16" s="245"/>
      <c r="F16" s="245"/>
      <c r="G16" s="245"/>
      <c r="H16" s="245"/>
      <c r="I16" s="245"/>
      <c r="J16" s="245"/>
      <c r="K16" s="245"/>
      <c r="L16" s="245"/>
      <c r="M16" s="245"/>
    </row>
    <row r="17" spans="1:15" x14ac:dyDescent="0.2">
      <c r="A17" s="931" t="s">
        <v>717</v>
      </c>
      <c r="B17" s="237"/>
      <c r="C17" s="237"/>
      <c r="D17" s="237"/>
      <c r="E17" s="245"/>
      <c r="F17" s="245"/>
      <c r="G17" s="245"/>
      <c r="H17" s="245"/>
      <c r="I17" s="245"/>
      <c r="J17" s="245"/>
      <c r="K17" s="245"/>
      <c r="L17" s="245"/>
      <c r="M17" s="245"/>
      <c r="N17" s="310"/>
      <c r="O17" s="310"/>
    </row>
    <row r="18" spans="1:15" x14ac:dyDescent="0.2">
      <c r="A18" s="237"/>
      <c r="B18" s="240" t="s">
        <v>415</v>
      </c>
      <c r="C18" s="237"/>
      <c r="D18" s="237"/>
      <c r="E18" s="245"/>
      <c r="F18" s="245"/>
      <c r="G18" s="245"/>
      <c r="H18" s="245"/>
      <c r="I18" s="245"/>
      <c r="J18" s="245"/>
      <c r="K18" s="245"/>
      <c r="L18" s="245"/>
      <c r="M18" s="245"/>
      <c r="N18" s="310"/>
      <c r="O18" s="310"/>
    </row>
    <row r="19" spans="1:15" x14ac:dyDescent="0.2">
      <c r="A19" s="237"/>
      <c r="B19" s="237"/>
      <c r="C19" s="240" t="s">
        <v>716</v>
      </c>
      <c r="D19" s="237"/>
      <c r="E19" s="245">
        <v>500000</v>
      </c>
      <c r="F19" s="245"/>
      <c r="G19" s="246">
        <v>0</v>
      </c>
      <c r="H19" s="245"/>
      <c r="I19" s="245">
        <f>56448-4000</f>
        <v>52448</v>
      </c>
      <c r="J19" s="245"/>
      <c r="K19" s="245">
        <f>SUM(G19:I19)</f>
        <v>52448</v>
      </c>
      <c r="L19" s="245"/>
      <c r="M19" s="245">
        <f>K19-E19</f>
        <v>-447552</v>
      </c>
      <c r="N19" s="310"/>
      <c r="O19" s="310"/>
    </row>
    <row r="20" spans="1:15" x14ac:dyDescent="0.2">
      <c r="A20" s="237"/>
      <c r="B20" s="240" t="s">
        <v>148</v>
      </c>
      <c r="C20" s="237"/>
      <c r="D20" s="237"/>
      <c r="E20" s="244">
        <v>50000</v>
      </c>
      <c r="F20" s="245"/>
      <c r="G20" s="222">
        <v>0</v>
      </c>
      <c r="H20" s="245"/>
      <c r="I20" s="244">
        <v>20146</v>
      </c>
      <c r="J20" s="245"/>
      <c r="K20" s="244">
        <f>SUM(G20:J20)</f>
        <v>20146</v>
      </c>
      <c r="L20" s="245"/>
      <c r="M20" s="244">
        <f>K20-E20</f>
        <v>-29854</v>
      </c>
      <c r="N20" s="310"/>
      <c r="O20" s="310"/>
    </row>
    <row r="21" spans="1:15" x14ac:dyDescent="0.2">
      <c r="A21" s="237"/>
      <c r="B21" s="237"/>
      <c r="C21" s="237"/>
      <c r="D21" s="240" t="s">
        <v>402</v>
      </c>
      <c r="E21" s="244">
        <f>SUM(E19:E20)</f>
        <v>550000</v>
      </c>
      <c r="F21" s="245"/>
      <c r="G21" s="244">
        <f>SUM(G19:G20)</f>
        <v>0</v>
      </c>
      <c r="H21" s="245"/>
      <c r="I21" s="244">
        <f>SUM(I19:I20)</f>
        <v>72594</v>
      </c>
      <c r="J21" s="245"/>
      <c r="K21" s="244">
        <f>SUM(K19:K20)</f>
        <v>72594</v>
      </c>
      <c r="L21" s="245"/>
      <c r="M21" s="244">
        <f>K21-E21</f>
        <v>-477406</v>
      </c>
      <c r="N21" s="310"/>
      <c r="O21" s="310"/>
    </row>
    <row r="22" spans="1:15" x14ac:dyDescent="0.2">
      <c r="A22" s="237"/>
      <c r="B22" s="237"/>
      <c r="C22" s="237"/>
      <c r="D22" s="240" t="s">
        <v>150</v>
      </c>
      <c r="E22" s="244">
        <f>E15+E21</f>
        <v>1290000</v>
      </c>
      <c r="F22" s="245"/>
      <c r="G22" s="244">
        <f>G15+G21</f>
        <v>659114</v>
      </c>
      <c r="H22" s="245"/>
      <c r="I22" s="244">
        <f>I15+I21</f>
        <v>153510</v>
      </c>
      <c r="J22" s="245"/>
      <c r="K22" s="244">
        <f>K15+K21</f>
        <v>812624</v>
      </c>
      <c r="L22" s="245"/>
      <c r="M22" s="244">
        <f>K22-E22</f>
        <v>-477376</v>
      </c>
      <c r="N22" s="310"/>
      <c r="O22" s="310"/>
    </row>
    <row r="23" spans="1:15" x14ac:dyDescent="0.2">
      <c r="A23" s="237"/>
      <c r="B23" s="237"/>
      <c r="C23" s="237"/>
      <c r="D23" s="237"/>
      <c r="E23" s="245"/>
      <c r="F23" s="245"/>
      <c r="G23" s="245"/>
      <c r="H23" s="245"/>
      <c r="I23" s="245"/>
      <c r="J23" s="245"/>
      <c r="K23" s="245"/>
      <c r="L23" s="245"/>
      <c r="M23" s="245"/>
      <c r="N23" s="310"/>
      <c r="O23" s="310"/>
    </row>
    <row r="24" spans="1:15" x14ac:dyDescent="0.2">
      <c r="A24" s="931" t="s">
        <v>718</v>
      </c>
      <c r="B24" s="237"/>
      <c r="C24" s="237"/>
      <c r="D24" s="237"/>
      <c r="E24" s="245"/>
      <c r="F24" s="245"/>
      <c r="G24" s="245"/>
      <c r="H24" s="245"/>
      <c r="I24" s="245"/>
      <c r="J24" s="245"/>
      <c r="K24" s="245"/>
      <c r="L24" s="245"/>
      <c r="M24" s="245"/>
      <c r="N24" s="310"/>
      <c r="O24" s="310"/>
    </row>
    <row r="25" spans="1:15" x14ac:dyDescent="0.2">
      <c r="A25" s="237"/>
      <c r="B25" s="240" t="s">
        <v>719</v>
      </c>
      <c r="C25" s="237"/>
      <c r="D25" s="237"/>
      <c r="E25" s="245">
        <v>135500</v>
      </c>
      <c r="F25" s="245"/>
      <c r="G25" s="245">
        <v>127500</v>
      </c>
      <c r="H25" s="245"/>
      <c r="I25" s="245">
        <v>8000</v>
      </c>
      <c r="J25" s="245"/>
      <c r="K25" s="245">
        <f>SUM(G25:I25)</f>
        <v>135500</v>
      </c>
      <c r="L25" s="245"/>
      <c r="M25" s="246">
        <f>E25-K25</f>
        <v>0</v>
      </c>
      <c r="N25" s="310"/>
      <c r="O25" s="310"/>
    </row>
    <row r="26" spans="1:15" x14ac:dyDescent="0.2">
      <c r="A26" s="237"/>
      <c r="B26" s="240" t="s">
        <v>720</v>
      </c>
      <c r="C26" s="237"/>
      <c r="D26" s="237"/>
      <c r="E26" s="244">
        <v>1604500</v>
      </c>
      <c r="F26" s="245"/>
      <c r="G26" s="244">
        <v>1176936</v>
      </c>
      <c r="H26" s="245"/>
      <c r="I26" s="244">
        <v>424064</v>
      </c>
      <c r="J26" s="245"/>
      <c r="K26" s="244">
        <f>SUM(G26:J26)</f>
        <v>1601000</v>
      </c>
      <c r="L26" s="245"/>
      <c r="M26" s="244">
        <f>E26-K26</f>
        <v>3500</v>
      </c>
      <c r="N26" s="310"/>
      <c r="O26" s="310"/>
    </row>
    <row r="27" spans="1:15" x14ac:dyDescent="0.2">
      <c r="A27" s="237"/>
      <c r="B27" s="237"/>
      <c r="C27" s="237"/>
      <c r="D27" s="240" t="s">
        <v>402</v>
      </c>
      <c r="E27" s="244">
        <f>SUM(E25:E26)</f>
        <v>1740000</v>
      </c>
      <c r="F27" s="245"/>
      <c r="G27" s="244">
        <f>SUM(G25:G26)</f>
        <v>1304436</v>
      </c>
      <c r="H27" s="245"/>
      <c r="I27" s="244">
        <f>SUM(I25:I26)</f>
        <v>432064</v>
      </c>
      <c r="J27" s="245"/>
      <c r="K27" s="244">
        <f>SUM(K25:K26)</f>
        <v>1736500</v>
      </c>
      <c r="L27" s="245"/>
      <c r="M27" s="244">
        <f>E27-K27</f>
        <v>3500</v>
      </c>
      <c r="N27" s="310"/>
      <c r="O27" s="310"/>
    </row>
    <row r="28" spans="1:15" x14ac:dyDescent="0.2">
      <c r="A28" s="237"/>
      <c r="B28" s="237"/>
      <c r="C28" s="237"/>
      <c r="D28" s="237"/>
      <c r="E28" s="245"/>
      <c r="F28" s="245"/>
      <c r="G28" s="245"/>
      <c r="H28" s="245"/>
      <c r="I28" s="245"/>
      <c r="J28" s="245"/>
      <c r="K28" s="245"/>
      <c r="L28" s="245"/>
      <c r="M28" s="245"/>
      <c r="N28" s="310"/>
      <c r="O28" s="310"/>
    </row>
    <row r="29" spans="1:15" x14ac:dyDescent="0.2">
      <c r="A29" s="931" t="s">
        <v>721</v>
      </c>
      <c r="B29" s="237"/>
      <c r="C29" s="237"/>
      <c r="D29" s="237"/>
      <c r="E29" s="245"/>
      <c r="F29" s="245"/>
      <c r="G29" s="245"/>
      <c r="H29" s="245"/>
      <c r="I29" s="245"/>
      <c r="J29" s="245"/>
      <c r="K29" s="245"/>
      <c r="L29" s="245"/>
      <c r="M29" s="245"/>
      <c r="N29" s="310"/>
      <c r="O29" s="310"/>
    </row>
    <row r="30" spans="1:15" x14ac:dyDescent="0.2">
      <c r="A30" s="237"/>
      <c r="B30" s="240" t="s">
        <v>719</v>
      </c>
      <c r="C30" s="237"/>
      <c r="D30" s="237"/>
      <c r="E30" s="245">
        <v>195000</v>
      </c>
      <c r="F30" s="245"/>
      <c r="G30" s="246">
        <v>0</v>
      </c>
      <c r="H30" s="245"/>
      <c r="I30" s="245">
        <v>87814</v>
      </c>
      <c r="J30" s="245"/>
      <c r="K30" s="245">
        <f>SUM(G30:I30)</f>
        <v>87814</v>
      </c>
      <c r="L30" s="245"/>
      <c r="M30" s="245">
        <f>E30-K30</f>
        <v>107186</v>
      </c>
      <c r="N30" s="310"/>
      <c r="O30" s="310"/>
    </row>
    <row r="31" spans="1:15" x14ac:dyDescent="0.2">
      <c r="A31" s="237"/>
      <c r="B31" s="240" t="s">
        <v>722</v>
      </c>
      <c r="C31" s="237"/>
      <c r="D31" s="237"/>
      <c r="E31" s="245">
        <v>90000</v>
      </c>
      <c r="F31" s="245"/>
      <c r="G31" s="246">
        <v>0</v>
      </c>
      <c r="H31" s="245"/>
      <c r="I31" s="245">
        <v>90000</v>
      </c>
      <c r="J31" s="245"/>
      <c r="K31" s="245">
        <f>SUM(G31:J31)</f>
        <v>90000</v>
      </c>
      <c r="L31" s="245"/>
      <c r="M31" s="246">
        <f>E31-K31</f>
        <v>0</v>
      </c>
      <c r="N31" s="310"/>
      <c r="O31" s="310"/>
    </row>
    <row r="32" spans="1:15" x14ac:dyDescent="0.2">
      <c r="A32" s="237"/>
      <c r="B32" s="240" t="s">
        <v>720</v>
      </c>
      <c r="C32" s="237"/>
      <c r="D32" s="237"/>
      <c r="E32" s="244">
        <v>2365000</v>
      </c>
      <c r="F32" s="245"/>
      <c r="G32" s="222">
        <v>224649</v>
      </c>
      <c r="H32" s="245"/>
      <c r="I32" s="244">
        <f>537735-224649</f>
        <v>313086</v>
      </c>
      <c r="J32" s="245"/>
      <c r="K32" s="247">
        <f>SUM(G32:J32)</f>
        <v>537735</v>
      </c>
      <c r="L32" s="245"/>
      <c r="M32" s="244">
        <f>E32-K32</f>
        <v>1827265</v>
      </c>
      <c r="N32" s="310"/>
      <c r="O32" s="310"/>
    </row>
    <row r="33" spans="1:15" x14ac:dyDescent="0.2">
      <c r="A33" s="237"/>
      <c r="B33" s="237"/>
      <c r="C33" s="237"/>
      <c r="D33" s="240" t="s">
        <v>402</v>
      </c>
      <c r="E33" s="244">
        <f>SUM(E30:E32)</f>
        <v>2650000</v>
      </c>
      <c r="F33" s="245"/>
      <c r="G33" s="244">
        <f>SUM(G30:G32)</f>
        <v>224649</v>
      </c>
      <c r="H33" s="245"/>
      <c r="I33" s="244">
        <f>SUM(I30:I32)</f>
        <v>490900</v>
      </c>
      <c r="J33" s="245"/>
      <c r="K33" s="244">
        <f>SUM(K30:K32)</f>
        <v>715549</v>
      </c>
      <c r="L33" s="245"/>
      <c r="M33" s="244">
        <f>E33-K33</f>
        <v>1934451</v>
      </c>
      <c r="N33" s="310"/>
      <c r="O33" s="310"/>
    </row>
    <row r="34" spans="1:15" x14ac:dyDescent="0.2">
      <c r="A34" s="237"/>
      <c r="B34" s="237"/>
      <c r="C34" s="237"/>
      <c r="D34" s="240" t="s">
        <v>162</v>
      </c>
      <c r="E34" s="244">
        <f>E27+E33</f>
        <v>4390000</v>
      </c>
      <c r="F34" s="245"/>
      <c r="G34" s="244">
        <f>G27+G33</f>
        <v>1529085</v>
      </c>
      <c r="H34" s="245"/>
      <c r="I34" s="244">
        <f>I27+I33</f>
        <v>922964</v>
      </c>
      <c r="J34" s="245"/>
      <c r="K34" s="244">
        <f>K27+K33</f>
        <v>2452049</v>
      </c>
      <c r="L34" s="245"/>
      <c r="M34" s="244">
        <f>E34-K34</f>
        <v>1937951</v>
      </c>
      <c r="N34" s="310"/>
      <c r="O34" s="310"/>
    </row>
    <row r="35" spans="1:15" x14ac:dyDescent="0.2">
      <c r="A35" s="237"/>
      <c r="B35" s="237"/>
      <c r="C35" s="237"/>
      <c r="D35" s="237"/>
      <c r="E35" s="245"/>
      <c r="F35" s="245"/>
      <c r="G35" s="245"/>
      <c r="H35" s="245"/>
      <c r="I35" s="245"/>
      <c r="J35" s="245"/>
      <c r="K35" s="245"/>
      <c r="L35" s="245"/>
      <c r="M35" s="245"/>
      <c r="N35" s="310"/>
      <c r="O35" s="310"/>
    </row>
    <row r="36" spans="1:15" x14ac:dyDescent="0.2">
      <c r="A36" s="240" t="s">
        <v>619</v>
      </c>
      <c r="B36" s="237"/>
      <c r="C36" s="237"/>
      <c r="D36" s="237"/>
      <c r="E36" s="244">
        <f>E22-E34</f>
        <v>-3100000</v>
      </c>
      <c r="F36" s="245"/>
      <c r="G36" s="244">
        <f>G22-G34</f>
        <v>-869971</v>
      </c>
      <c r="H36" s="245"/>
      <c r="I36" s="244">
        <f>I22-I34</f>
        <v>-769454</v>
      </c>
      <c r="J36" s="245"/>
      <c r="K36" s="244">
        <f>K22-K34</f>
        <v>-1639425</v>
      </c>
      <c r="L36" s="245"/>
      <c r="M36" s="244">
        <f>M22+M34</f>
        <v>1460575</v>
      </c>
      <c r="N36" s="324"/>
      <c r="O36" s="310"/>
    </row>
    <row r="37" spans="1:15" x14ac:dyDescent="0.2">
      <c r="A37" s="237"/>
      <c r="B37" s="237"/>
      <c r="C37" s="237"/>
      <c r="D37" s="237"/>
      <c r="E37" s="245"/>
      <c r="F37" s="245"/>
      <c r="G37" s="245"/>
      <c r="H37" s="245"/>
      <c r="I37" s="245"/>
      <c r="J37" s="245"/>
      <c r="K37" s="245"/>
      <c r="L37" s="245"/>
      <c r="M37" s="245"/>
      <c r="N37" s="310"/>
      <c r="O37" s="310"/>
    </row>
    <row r="38" spans="1:15" x14ac:dyDescent="0.2">
      <c r="A38" s="931" t="s">
        <v>1181</v>
      </c>
      <c r="B38" s="237"/>
      <c r="C38" s="237"/>
      <c r="D38" s="237"/>
      <c r="E38" s="245"/>
      <c r="F38" s="245"/>
      <c r="G38" s="245"/>
      <c r="H38" s="245"/>
      <c r="I38" s="245"/>
      <c r="J38" s="245"/>
      <c r="K38" s="245"/>
      <c r="L38" s="245"/>
      <c r="M38" s="245"/>
      <c r="N38" s="310"/>
      <c r="O38" s="310"/>
    </row>
    <row r="39" spans="1:15" x14ac:dyDescent="0.2">
      <c r="A39" s="240"/>
      <c r="B39" s="237" t="s">
        <v>254</v>
      </c>
      <c r="C39" s="237"/>
      <c r="D39" s="237"/>
      <c r="E39" s="245">
        <v>0</v>
      </c>
      <c r="F39" s="245"/>
      <c r="G39" s="245">
        <v>0</v>
      </c>
      <c r="H39" s="245"/>
      <c r="I39" s="245">
        <v>121348</v>
      </c>
      <c r="J39" s="245"/>
      <c r="K39" s="245">
        <f>SUM(G39:J39)</f>
        <v>121348</v>
      </c>
      <c r="L39" s="245"/>
      <c r="M39" s="245">
        <f>K39-E39</f>
        <v>121348</v>
      </c>
      <c r="N39" s="310"/>
      <c r="O39" s="310"/>
    </row>
    <row r="40" spans="1:15" x14ac:dyDescent="0.2">
      <c r="A40" s="240"/>
      <c r="B40" s="240" t="s">
        <v>723</v>
      </c>
      <c r="C40" s="237"/>
      <c r="D40" s="237"/>
      <c r="E40" s="245">
        <f>3100000-375000</f>
        <v>2725000</v>
      </c>
      <c r="F40" s="245"/>
      <c r="G40" s="245">
        <v>1915000</v>
      </c>
      <c r="H40" s="245"/>
      <c r="I40" s="245">
        <v>0</v>
      </c>
      <c r="J40" s="245"/>
      <c r="K40" s="245">
        <f>SUM(G40:J40)</f>
        <v>1915000</v>
      </c>
      <c r="L40" s="245"/>
      <c r="M40" s="245">
        <f>K40-E40</f>
        <v>-810000</v>
      </c>
      <c r="N40" s="310"/>
      <c r="O40" s="310"/>
    </row>
    <row r="41" spans="1:15" x14ac:dyDescent="0.2">
      <c r="A41" s="237"/>
      <c r="B41" s="240" t="s">
        <v>724</v>
      </c>
      <c r="C41" s="237"/>
      <c r="D41" s="237"/>
      <c r="E41" s="244">
        <v>375000</v>
      </c>
      <c r="F41" s="245"/>
      <c r="G41" s="244">
        <v>0</v>
      </c>
      <c r="H41" s="245"/>
      <c r="I41" s="222">
        <v>375000</v>
      </c>
      <c r="J41" s="245"/>
      <c r="K41" s="244">
        <f>SUM(G41:J41)</f>
        <v>375000</v>
      </c>
      <c r="L41" s="245"/>
      <c r="M41" s="244">
        <f>K41-E41</f>
        <v>0</v>
      </c>
      <c r="N41" s="310"/>
      <c r="O41" s="310"/>
    </row>
    <row r="42" spans="1:15" x14ac:dyDescent="0.2">
      <c r="A42" s="237"/>
      <c r="B42" s="237"/>
      <c r="C42" s="237"/>
      <c r="D42" s="240" t="s">
        <v>539</v>
      </c>
      <c r="E42" s="245"/>
      <c r="F42" s="245"/>
      <c r="G42" s="245"/>
      <c r="H42" s="245"/>
      <c r="I42" s="245"/>
      <c r="J42" s="245"/>
      <c r="K42" s="245"/>
      <c r="L42" s="245"/>
      <c r="M42" s="245"/>
      <c r="N42" s="310"/>
      <c r="O42" s="310"/>
    </row>
    <row r="43" spans="1:15" x14ac:dyDescent="0.2">
      <c r="A43" s="237"/>
      <c r="B43" s="237"/>
      <c r="C43" s="237"/>
      <c r="D43" s="237" t="s">
        <v>725</v>
      </c>
      <c r="E43" s="247">
        <f>SUM(E39:E41)</f>
        <v>3100000</v>
      </c>
      <c r="F43" s="245"/>
      <c r="G43" s="247">
        <f>SUM(G39:G41)</f>
        <v>1915000</v>
      </c>
      <c r="H43" s="245"/>
      <c r="I43" s="247">
        <f>SUM(I39:I41)</f>
        <v>496348</v>
      </c>
      <c r="J43" s="245"/>
      <c r="K43" s="247">
        <f>SUM(K39:K41)</f>
        <v>2411348</v>
      </c>
      <c r="L43" s="245"/>
      <c r="M43" s="247">
        <f>SUM(M39:M41)</f>
        <v>-688652</v>
      </c>
      <c r="N43" s="310"/>
      <c r="O43" s="310"/>
    </row>
    <row r="44" spans="1:15" x14ac:dyDescent="0.2">
      <c r="A44" s="237"/>
      <c r="B44" s="237"/>
      <c r="C44" s="237"/>
      <c r="D44" s="237"/>
      <c r="E44" s="245"/>
      <c r="F44" s="245"/>
      <c r="G44" s="245"/>
      <c r="H44" s="245"/>
      <c r="I44" s="245"/>
      <c r="J44" s="245"/>
      <c r="K44" s="245"/>
      <c r="L44" s="245"/>
      <c r="M44" s="245"/>
      <c r="N44" s="310"/>
      <c r="O44" s="310"/>
    </row>
    <row r="45" spans="1:15" x14ac:dyDescent="0.2">
      <c r="A45" s="240" t="s">
        <v>676</v>
      </c>
      <c r="B45" s="237"/>
      <c r="C45" s="237"/>
      <c r="D45" s="237"/>
      <c r="E45" s="310"/>
      <c r="F45" s="310"/>
      <c r="G45" s="310"/>
      <c r="H45" s="310"/>
      <c r="I45" s="310"/>
      <c r="J45" s="310"/>
      <c r="K45" s="310"/>
      <c r="L45" s="310"/>
      <c r="M45" s="310"/>
      <c r="N45" s="310"/>
      <c r="O45" s="310"/>
    </row>
    <row r="46" spans="1:15" ht="13.5" thickBot="1" x14ac:dyDescent="0.25">
      <c r="A46" s="240" t="s">
        <v>726</v>
      </c>
      <c r="B46" s="237"/>
      <c r="C46" s="237"/>
      <c r="D46" s="237"/>
      <c r="E46" s="248">
        <f>E36+E43</f>
        <v>0</v>
      </c>
      <c r="F46" s="243"/>
      <c r="G46" s="248">
        <f>G36+G43</f>
        <v>1045029</v>
      </c>
      <c r="H46" s="243"/>
      <c r="I46" s="248">
        <f>I36+I43</f>
        <v>-273106</v>
      </c>
      <c r="J46" s="243"/>
      <c r="K46" s="248">
        <f>K36+K43</f>
        <v>771923</v>
      </c>
      <c r="L46" s="243"/>
      <c r="M46" s="248">
        <f>M36+M43</f>
        <v>771923</v>
      </c>
      <c r="N46" s="310"/>
      <c r="O46" s="310"/>
    </row>
    <row r="47" spans="1:15" ht="13.5" thickTop="1" x14ac:dyDescent="0.2">
      <c r="A47" s="310"/>
      <c r="B47" s="310"/>
      <c r="C47" s="310"/>
      <c r="D47" s="310"/>
      <c r="E47" s="310"/>
      <c r="F47" s="310"/>
      <c r="G47" s="310"/>
      <c r="H47" s="310"/>
      <c r="I47" s="310"/>
      <c r="J47" s="310"/>
      <c r="K47" s="310"/>
      <c r="L47" s="310"/>
      <c r="M47" s="310"/>
      <c r="N47" s="310"/>
      <c r="O47" s="310"/>
    </row>
  </sheetData>
  <customSheetViews>
    <customSheetView guid="{E0C60316-4586-4AAF-92CB-FA82BB1EB755}" topLeftCell="A4">
      <selection activeCell="B41" sqref="B41"/>
      <pageMargins left="0" right="0" top="0" bottom="0" header="0" footer="0"/>
      <printOptions horizontalCentered="1"/>
      <pageSetup scale="86" firstPageNumber="127" fitToHeight="0" orientation="portrait" useFirstPageNumber="1" r:id="rId1"/>
      <headerFooter alignWithMargins="0"/>
    </customSheetView>
    <customSheetView guid="{A8748736-0722-49EB-85B6-C9B52DDCFE0E}">
      <selection activeCell="M45" sqref="M45"/>
      <pageMargins left="0.75" right="0.75" top="1" bottom="1" header="0.5" footer="0.5"/>
      <printOptions horizontalCentered="1"/>
      <pageSetup scale="86" firstPageNumber="127" fitToHeight="0" orientation="portrait" useFirstPageNumber="1" r:id="rId2"/>
      <headerFooter alignWithMargins="0"/>
    </customSheetView>
  </customSheetViews>
  <mergeCells count="1">
    <mergeCell ref="D4:M4"/>
  </mergeCells>
  <phoneticPr fontId="0" type="noConversion"/>
  <printOptions horizontalCentered="1"/>
  <pageMargins left="0.75" right="0.75" top="1" bottom="1" header="0.5" footer="0.5"/>
  <pageSetup scale="86" firstPageNumber="127" fitToHeight="0" orientation="portrait" useFirstPageNumber="1" r:id="rId3"/>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K67"/>
  <sheetViews>
    <sheetView workbookViewId="0">
      <selection activeCell="D7" sqref="D7"/>
    </sheetView>
  </sheetViews>
  <sheetFormatPr defaultColWidth="9.140625" defaultRowHeight="12.75" x14ac:dyDescent="0.2"/>
  <cols>
    <col min="1" max="3" width="2.42578125" style="310" customWidth="1"/>
    <col min="4" max="4" width="30.7109375" style="310" customWidth="1"/>
    <col min="5" max="5" width="9.28515625" style="310" customWidth="1"/>
    <col min="6" max="6" width="1.7109375" style="310" customWidth="1"/>
    <col min="7" max="7" width="9.7109375" style="310" customWidth="1"/>
    <col min="8" max="8" width="1.7109375" style="310" customWidth="1"/>
    <col min="9" max="9" width="10.140625" style="310" customWidth="1"/>
    <col min="10" max="10" width="10.28515625" style="310" bestFit="1" customWidth="1"/>
    <col min="11" max="16384" width="9.140625" style="310"/>
  </cols>
  <sheetData>
    <row r="1" spans="1:9" x14ac:dyDescent="0.2">
      <c r="A1" s="215" t="s">
        <v>0</v>
      </c>
      <c r="B1" s="216"/>
      <c r="C1" s="216"/>
      <c r="D1" s="216"/>
      <c r="E1" s="216"/>
      <c r="F1" s="216"/>
      <c r="G1" s="216"/>
      <c r="H1" s="216"/>
      <c r="I1" s="216"/>
    </row>
    <row r="2" spans="1:9" x14ac:dyDescent="0.2">
      <c r="A2" s="215" t="s">
        <v>727</v>
      </c>
      <c r="B2" s="216"/>
      <c r="C2" s="216"/>
      <c r="D2" s="216"/>
      <c r="E2" s="216"/>
      <c r="F2" s="216"/>
      <c r="G2" s="216"/>
      <c r="H2" s="216"/>
      <c r="I2" s="216"/>
    </row>
    <row r="3" spans="1:9" x14ac:dyDescent="0.2">
      <c r="A3" s="215" t="s">
        <v>640</v>
      </c>
      <c r="B3" s="216"/>
      <c r="C3" s="216"/>
      <c r="D3" s="216"/>
      <c r="E3" s="216"/>
      <c r="F3" s="216"/>
      <c r="G3" s="216"/>
      <c r="H3" s="216"/>
      <c r="I3" s="216"/>
    </row>
    <row r="4" spans="1:9" x14ac:dyDescent="0.2">
      <c r="A4" s="215" t="s">
        <v>678</v>
      </c>
      <c r="B4" s="216"/>
      <c r="C4" s="216"/>
      <c r="D4" s="216"/>
      <c r="E4" s="216"/>
      <c r="F4" s="216"/>
      <c r="G4" s="216"/>
      <c r="H4" s="216"/>
      <c r="I4" s="216"/>
    </row>
    <row r="5" spans="1:9" x14ac:dyDescent="0.2">
      <c r="A5" s="215" t="str">
        <f>'GWStmtAct 68 Exh 2'!A3</f>
        <v>For the Year Ended June 30, 2025</v>
      </c>
      <c r="B5" s="216"/>
      <c r="C5" s="216"/>
      <c r="D5" s="216"/>
      <c r="E5" s="216"/>
      <c r="F5" s="216"/>
      <c r="G5" s="216"/>
      <c r="H5" s="216"/>
      <c r="I5" s="216"/>
    </row>
    <row r="6" spans="1:9" x14ac:dyDescent="0.2">
      <c r="A6" s="215"/>
      <c r="B6" s="216"/>
      <c r="C6" s="216"/>
      <c r="D6" s="216"/>
      <c r="E6" s="216"/>
      <c r="F6" s="216"/>
      <c r="G6" s="216"/>
      <c r="H6" s="216"/>
      <c r="I6" s="216"/>
    </row>
    <row r="7" spans="1:9" x14ac:dyDescent="0.2">
      <c r="A7" s="215"/>
      <c r="B7" s="216"/>
      <c r="C7" s="216"/>
      <c r="D7" s="216"/>
      <c r="E7" s="216"/>
      <c r="F7" s="216"/>
      <c r="G7" s="216"/>
      <c r="H7" s="216"/>
      <c r="I7" s="216"/>
    </row>
    <row r="8" spans="1:9" ht="13.5" thickBot="1" x14ac:dyDescent="0.25">
      <c r="A8" s="217"/>
      <c r="B8" s="217"/>
      <c r="C8" s="217"/>
      <c r="D8" s="217"/>
      <c r="E8" s="217"/>
      <c r="F8" s="217"/>
      <c r="G8" s="217"/>
      <c r="H8" s="217"/>
      <c r="I8" s="217"/>
    </row>
    <row r="9" spans="1:9" x14ac:dyDescent="0.2">
      <c r="A9" s="202"/>
      <c r="B9" s="202"/>
      <c r="C9" s="202"/>
      <c r="D9" s="202"/>
      <c r="E9" s="202"/>
      <c r="F9" s="202"/>
      <c r="G9" s="202"/>
      <c r="H9" s="202"/>
      <c r="I9" s="113" t="s">
        <v>187</v>
      </c>
    </row>
    <row r="10" spans="1:9" x14ac:dyDescent="0.2">
      <c r="A10" s="202"/>
      <c r="B10" s="202"/>
      <c r="C10" s="202"/>
      <c r="D10" s="202"/>
      <c r="E10" s="218" t="s">
        <v>189</v>
      </c>
      <c r="F10" s="202"/>
      <c r="G10" s="202"/>
      <c r="H10" s="202"/>
      <c r="I10" s="809" t="s">
        <v>1053</v>
      </c>
    </row>
    <row r="11" spans="1:9" x14ac:dyDescent="0.2">
      <c r="A11" s="202"/>
      <c r="B11" s="218" t="s">
        <v>112</v>
      </c>
      <c r="C11" s="202"/>
      <c r="D11" s="202"/>
      <c r="E11" s="219" t="s">
        <v>190</v>
      </c>
      <c r="F11" s="202"/>
      <c r="G11" s="219" t="s">
        <v>191</v>
      </c>
      <c r="H11" s="202"/>
      <c r="I11" s="810" t="s">
        <v>1054</v>
      </c>
    </row>
    <row r="12" spans="1:9" x14ac:dyDescent="0.2">
      <c r="A12" s="201" t="s">
        <v>192</v>
      </c>
      <c r="B12" s="202"/>
      <c r="C12" s="202"/>
      <c r="D12" s="202"/>
      <c r="E12" s="202"/>
      <c r="F12" s="202"/>
      <c r="G12" s="202"/>
      <c r="H12" s="202"/>
      <c r="I12" s="202"/>
    </row>
    <row r="13" spans="1:9" x14ac:dyDescent="0.2">
      <c r="A13" s="202"/>
      <c r="B13" s="204" t="s">
        <v>643</v>
      </c>
      <c r="C13" s="202"/>
      <c r="D13" s="202"/>
      <c r="E13" s="202"/>
      <c r="F13" s="202"/>
      <c r="G13" s="202"/>
      <c r="H13" s="202"/>
      <c r="I13" s="202"/>
    </row>
    <row r="14" spans="1:9" x14ac:dyDescent="0.2">
      <c r="A14" s="202"/>
      <c r="B14" s="204" t="s">
        <v>679</v>
      </c>
      <c r="C14" s="202"/>
      <c r="D14" s="202"/>
      <c r="E14" s="202"/>
      <c r="F14" s="202"/>
      <c r="G14" s="202"/>
      <c r="H14" s="202"/>
      <c r="I14" s="202"/>
    </row>
    <row r="15" spans="1:9" x14ac:dyDescent="0.2">
      <c r="A15" s="202"/>
      <c r="B15" s="202"/>
      <c r="C15" s="204" t="s">
        <v>680</v>
      </c>
      <c r="D15" s="202"/>
      <c r="E15" s="220"/>
      <c r="F15" s="221"/>
      <c r="G15" s="221">
        <v>1000</v>
      </c>
      <c r="H15" s="221"/>
      <c r="I15" s="220"/>
    </row>
    <row r="16" spans="1:9" x14ac:dyDescent="0.2">
      <c r="A16" s="202"/>
      <c r="B16" s="202"/>
      <c r="C16" s="204" t="s">
        <v>681</v>
      </c>
      <c r="D16" s="202"/>
      <c r="E16" s="222"/>
      <c r="F16" s="223"/>
      <c r="G16" s="224">
        <v>0</v>
      </c>
      <c r="H16" s="223"/>
      <c r="I16" s="222"/>
    </row>
    <row r="17" spans="1:9" x14ac:dyDescent="0.2">
      <c r="A17" s="202"/>
      <c r="B17" s="202"/>
      <c r="C17" s="202"/>
      <c r="D17" s="204" t="s">
        <v>6</v>
      </c>
      <c r="E17" s="225">
        <v>900</v>
      </c>
      <c r="F17" s="223"/>
      <c r="G17" s="224">
        <f>SUM(G15:G16)</f>
        <v>1000</v>
      </c>
      <c r="H17" s="223"/>
      <c r="I17" s="225">
        <f>G17-E17</f>
        <v>100</v>
      </c>
    </row>
    <row r="18" spans="1:9" x14ac:dyDescent="0.2">
      <c r="A18" s="202"/>
      <c r="B18" s="202"/>
      <c r="C18" s="202"/>
      <c r="D18" s="202"/>
      <c r="E18" s="223"/>
      <c r="F18" s="223"/>
      <c r="G18" s="223"/>
      <c r="H18" s="223"/>
      <c r="I18" s="223"/>
    </row>
    <row r="19" spans="1:9" x14ac:dyDescent="0.2">
      <c r="A19" s="202"/>
      <c r="B19" s="204" t="s">
        <v>682</v>
      </c>
      <c r="C19" s="202"/>
      <c r="D19" s="202"/>
      <c r="E19" s="223"/>
      <c r="F19" s="223"/>
      <c r="G19" s="223"/>
      <c r="H19" s="223"/>
      <c r="I19" s="223"/>
    </row>
    <row r="20" spans="1:9" x14ac:dyDescent="0.2">
      <c r="A20" s="202"/>
      <c r="B20" s="202"/>
      <c r="C20" s="204" t="s">
        <v>680</v>
      </c>
      <c r="D20" s="202"/>
      <c r="E20" s="226"/>
      <c r="F20" s="223"/>
      <c r="G20" s="223">
        <v>0</v>
      </c>
      <c r="H20" s="223"/>
      <c r="I20" s="226"/>
    </row>
    <row r="21" spans="1:9" x14ac:dyDescent="0.2">
      <c r="A21" s="202"/>
      <c r="B21" s="202"/>
      <c r="C21" s="204" t="s">
        <v>681</v>
      </c>
      <c r="D21" s="202"/>
      <c r="E21" s="227"/>
      <c r="F21" s="223"/>
      <c r="G21" s="224">
        <v>0</v>
      </c>
      <c r="H21" s="223"/>
      <c r="I21" s="227"/>
    </row>
    <row r="22" spans="1:9" x14ac:dyDescent="0.2">
      <c r="A22" s="202"/>
      <c r="B22" s="202"/>
      <c r="C22" s="202"/>
      <c r="D22" s="204" t="s">
        <v>6</v>
      </c>
      <c r="E22" s="224">
        <v>0</v>
      </c>
      <c r="F22" s="223"/>
      <c r="G22" s="224">
        <f>SUM(G20:G21)</f>
        <v>0</v>
      </c>
      <c r="H22" s="223"/>
      <c r="I22" s="224">
        <f>G22-E22</f>
        <v>0</v>
      </c>
    </row>
    <row r="23" spans="1:9" x14ac:dyDescent="0.2">
      <c r="A23" s="202"/>
      <c r="B23" s="202"/>
      <c r="C23" s="202"/>
      <c r="D23" s="202"/>
      <c r="E23" s="223"/>
      <c r="F23" s="223"/>
      <c r="G23" s="223"/>
      <c r="H23" s="223"/>
      <c r="I23" s="223"/>
    </row>
    <row r="24" spans="1:9" x14ac:dyDescent="0.2">
      <c r="A24" s="202"/>
      <c r="B24" s="204" t="s">
        <v>683</v>
      </c>
      <c r="C24" s="202"/>
      <c r="D24" s="202"/>
      <c r="E24" s="224">
        <v>5000</v>
      </c>
      <c r="F24" s="223"/>
      <c r="G24" s="224">
        <v>5000</v>
      </c>
      <c r="H24" s="223"/>
      <c r="I24" s="224">
        <f>G24-E24</f>
        <v>0</v>
      </c>
    </row>
    <row r="25" spans="1:9" x14ac:dyDescent="0.2">
      <c r="A25" s="202"/>
      <c r="B25" s="202"/>
      <c r="C25" s="202"/>
      <c r="D25" s="202"/>
      <c r="E25" s="223"/>
      <c r="F25" s="223"/>
      <c r="G25" s="223"/>
      <c r="H25" s="223"/>
      <c r="I25" s="223"/>
    </row>
    <row r="26" spans="1:9" x14ac:dyDescent="0.2">
      <c r="A26" s="202"/>
      <c r="B26" s="204" t="s">
        <v>684</v>
      </c>
      <c r="C26" s="202"/>
      <c r="D26" s="202"/>
      <c r="E26" s="224">
        <v>0</v>
      </c>
      <c r="F26" s="223"/>
      <c r="G26" s="224">
        <v>100</v>
      </c>
      <c r="H26" s="223"/>
      <c r="I26" s="224">
        <f>G26-E26</f>
        <v>100</v>
      </c>
    </row>
    <row r="27" spans="1:9" x14ac:dyDescent="0.2">
      <c r="A27" s="202"/>
      <c r="B27" s="202"/>
      <c r="C27" s="202"/>
      <c r="D27" s="204" t="s">
        <v>231</v>
      </c>
      <c r="E27" s="224">
        <f>E17+E22+E24+E26</f>
        <v>5900</v>
      </c>
      <c r="F27" s="223"/>
      <c r="G27" s="224">
        <f>G17+G22+G24+G26</f>
        <v>6100</v>
      </c>
      <c r="H27" s="223"/>
      <c r="I27" s="224">
        <f>G27-E27</f>
        <v>200</v>
      </c>
    </row>
    <row r="28" spans="1:9" x14ac:dyDescent="0.2">
      <c r="A28" s="202"/>
      <c r="B28" s="202"/>
      <c r="C28" s="202"/>
      <c r="D28" s="202"/>
      <c r="E28" s="223"/>
      <c r="F28" s="223"/>
      <c r="G28" s="223"/>
      <c r="H28" s="223"/>
      <c r="I28" s="223"/>
    </row>
    <row r="29" spans="1:9" x14ac:dyDescent="0.2">
      <c r="A29" s="202"/>
      <c r="B29" s="204" t="s">
        <v>648</v>
      </c>
      <c r="C29" s="202"/>
      <c r="D29" s="202"/>
      <c r="E29" s="223"/>
      <c r="F29" s="223"/>
      <c r="G29" s="223"/>
      <c r="H29" s="223"/>
      <c r="I29" s="223"/>
    </row>
    <row r="30" spans="1:9" x14ac:dyDescent="0.2">
      <c r="A30" s="202"/>
      <c r="B30" s="202"/>
      <c r="C30" s="204" t="s">
        <v>685</v>
      </c>
      <c r="D30" s="202"/>
      <c r="E30" s="227">
        <v>0</v>
      </c>
      <c r="F30" s="223"/>
      <c r="G30" s="224">
        <v>10</v>
      </c>
      <c r="H30" s="223"/>
      <c r="I30" s="224">
        <f>G30-E30</f>
        <v>10</v>
      </c>
    </row>
    <row r="31" spans="1:9" x14ac:dyDescent="0.2">
      <c r="A31" s="202"/>
      <c r="B31" s="202"/>
      <c r="C31" s="202"/>
      <c r="D31" s="204" t="s">
        <v>150</v>
      </c>
      <c r="E31" s="224">
        <f>E27+E30</f>
        <v>5900</v>
      </c>
      <c r="F31" s="223"/>
      <c r="G31" s="224">
        <f>G27+G30</f>
        <v>6110</v>
      </c>
      <c r="H31" s="223"/>
      <c r="I31" s="224">
        <f>G31-E31</f>
        <v>210</v>
      </c>
    </row>
    <row r="32" spans="1:9" x14ac:dyDescent="0.2">
      <c r="A32" s="202"/>
      <c r="B32" s="202"/>
      <c r="C32" s="202"/>
      <c r="D32" s="202"/>
      <c r="E32" s="223"/>
      <c r="F32" s="223"/>
      <c r="G32" s="223"/>
      <c r="H32" s="223"/>
      <c r="I32" s="223"/>
    </row>
    <row r="33" spans="1:10" x14ac:dyDescent="0.2">
      <c r="A33" s="201" t="s">
        <v>439</v>
      </c>
      <c r="B33" s="202"/>
      <c r="C33" s="202"/>
      <c r="D33" s="202"/>
      <c r="E33" s="223"/>
      <c r="F33" s="223"/>
      <c r="G33" s="223"/>
      <c r="H33" s="223"/>
      <c r="I33" s="223"/>
    </row>
    <row r="34" spans="1:10" x14ac:dyDescent="0.2">
      <c r="A34" s="202"/>
      <c r="B34" s="204" t="s">
        <v>445</v>
      </c>
      <c r="C34" s="202"/>
      <c r="D34" s="202"/>
      <c r="E34" s="223"/>
      <c r="F34" s="223"/>
      <c r="G34" s="223"/>
      <c r="H34" s="223"/>
      <c r="I34" s="223"/>
    </row>
    <row r="35" spans="1:10" x14ac:dyDescent="0.2">
      <c r="A35" s="202"/>
      <c r="B35" s="202"/>
      <c r="C35" s="204" t="s">
        <v>442</v>
      </c>
      <c r="D35" s="202"/>
      <c r="E35" s="226"/>
      <c r="F35" s="223"/>
      <c r="G35" s="223">
        <f>2110+1001000*0.05*0.01+(0.05*0.01*(64267))</f>
        <v>2642.6334999999999</v>
      </c>
      <c r="H35" s="223"/>
      <c r="I35" s="226"/>
    </row>
    <row r="36" spans="1:10" x14ac:dyDescent="0.2">
      <c r="A36" s="202"/>
      <c r="B36" s="202"/>
      <c r="C36" s="202"/>
      <c r="D36" s="204" t="s">
        <v>6</v>
      </c>
      <c r="E36" s="229">
        <v>4200</v>
      </c>
      <c r="F36" s="223"/>
      <c r="G36" s="229">
        <f>SUM(G35:G35)</f>
        <v>2642.6334999999999</v>
      </c>
      <c r="H36" s="223"/>
      <c r="I36" s="229">
        <f>E36-G36</f>
        <v>1557.3665000000001</v>
      </c>
    </row>
    <row r="37" spans="1:10" x14ac:dyDescent="0.2">
      <c r="A37" s="202"/>
      <c r="B37" s="202"/>
      <c r="C37" s="202"/>
      <c r="D37" s="202"/>
      <c r="E37" s="223"/>
      <c r="F37" s="223"/>
      <c r="G37" s="223"/>
      <c r="H37" s="223"/>
      <c r="I37" s="356"/>
    </row>
    <row r="38" spans="1:10" x14ac:dyDescent="0.2">
      <c r="A38" s="202"/>
      <c r="B38" s="204" t="s">
        <v>447</v>
      </c>
      <c r="C38" s="202"/>
      <c r="D38" s="202"/>
      <c r="E38" s="223"/>
      <c r="F38" s="223"/>
      <c r="G38" s="223"/>
      <c r="H38" s="223"/>
      <c r="I38" s="223"/>
    </row>
    <row r="39" spans="1:10" x14ac:dyDescent="0.2">
      <c r="A39" s="202"/>
      <c r="B39" s="202"/>
      <c r="C39" s="204" t="s">
        <v>442</v>
      </c>
      <c r="D39" s="202"/>
      <c r="E39" s="226"/>
      <c r="F39" s="223"/>
      <c r="G39" s="223">
        <f>500+112</f>
        <v>612</v>
      </c>
      <c r="H39" s="223"/>
      <c r="I39" s="226"/>
    </row>
    <row r="40" spans="1:10" x14ac:dyDescent="0.2">
      <c r="A40" s="202"/>
      <c r="B40" s="202"/>
      <c r="C40" s="202"/>
      <c r="D40" s="204" t="s">
        <v>6</v>
      </c>
      <c r="E40" s="229">
        <v>1700</v>
      </c>
      <c r="F40" s="223"/>
      <c r="G40" s="229">
        <f>SUM(G39:G39)</f>
        <v>612</v>
      </c>
      <c r="H40" s="223"/>
      <c r="I40" s="229">
        <f>E40-G40</f>
        <v>1088</v>
      </c>
    </row>
    <row r="41" spans="1:10" x14ac:dyDescent="0.2">
      <c r="A41" s="202"/>
      <c r="B41" s="202"/>
      <c r="C41" s="202"/>
      <c r="D41" s="202"/>
      <c r="E41" s="223"/>
      <c r="F41" s="223"/>
      <c r="G41" s="223"/>
      <c r="H41" s="223"/>
      <c r="I41" s="223"/>
    </row>
    <row r="42" spans="1:10" x14ac:dyDescent="0.2">
      <c r="A42" s="202"/>
      <c r="B42" s="202"/>
      <c r="C42" s="202"/>
      <c r="D42" s="204" t="s">
        <v>162</v>
      </c>
      <c r="E42" s="224">
        <f>E40+E36</f>
        <v>5900</v>
      </c>
      <c r="F42" s="223"/>
      <c r="G42" s="224">
        <f>G40+G36</f>
        <v>3254.6334999999999</v>
      </c>
      <c r="H42" s="223"/>
      <c r="I42" s="224">
        <f>E42-G42</f>
        <v>2645.3665000000001</v>
      </c>
    </row>
    <row r="43" spans="1:10" x14ac:dyDescent="0.2">
      <c r="A43" s="202"/>
      <c r="B43" s="202"/>
      <c r="C43" s="202"/>
      <c r="D43" s="202"/>
      <c r="E43" s="223"/>
      <c r="F43" s="223"/>
      <c r="G43" s="223"/>
      <c r="H43" s="223"/>
      <c r="I43" s="223"/>
    </row>
    <row r="44" spans="1:10" ht="13.5" thickBot="1" x14ac:dyDescent="0.25">
      <c r="A44" s="204" t="s">
        <v>531</v>
      </c>
      <c r="B44" s="202"/>
      <c r="C44" s="202"/>
      <c r="D44" s="202"/>
      <c r="E44" s="619">
        <f>+E31-E42</f>
        <v>0</v>
      </c>
      <c r="F44" s="223"/>
      <c r="G44" s="619">
        <f>+G31-G42</f>
        <v>2855.3665000000001</v>
      </c>
      <c r="H44" s="223"/>
      <c r="I44" s="619">
        <f>+I31+I42</f>
        <v>2855.3665000000001</v>
      </c>
      <c r="J44" s="324"/>
    </row>
    <row r="45" spans="1:10" ht="13.5" thickTop="1" x14ac:dyDescent="0.2">
      <c r="A45" s="202"/>
      <c r="B45" s="202"/>
      <c r="C45" s="202"/>
      <c r="D45" s="202"/>
      <c r="E45" s="223"/>
      <c r="F45" s="223"/>
      <c r="G45" s="223"/>
      <c r="H45" s="223"/>
      <c r="I45" s="223"/>
    </row>
    <row r="46" spans="1:10" x14ac:dyDescent="0.2">
      <c r="A46" s="202"/>
      <c r="B46" s="202"/>
      <c r="C46" s="202"/>
      <c r="D46" s="202"/>
      <c r="E46" s="223"/>
      <c r="F46" s="223"/>
      <c r="G46" s="223"/>
      <c r="H46" s="223"/>
      <c r="I46" s="356" t="s">
        <v>277</v>
      </c>
    </row>
    <row r="47" spans="1:10" x14ac:dyDescent="0.2">
      <c r="A47" s="202"/>
      <c r="B47" s="202"/>
      <c r="C47" s="202"/>
      <c r="D47" s="202"/>
      <c r="E47" s="223"/>
      <c r="F47" s="223"/>
      <c r="G47" s="223"/>
      <c r="H47" s="223"/>
      <c r="I47" s="356"/>
    </row>
    <row r="48" spans="1:10" x14ac:dyDescent="0.2">
      <c r="A48" s="202"/>
      <c r="B48" s="202"/>
      <c r="C48" s="202"/>
      <c r="D48" s="202"/>
      <c r="E48" s="223"/>
      <c r="F48" s="223"/>
      <c r="G48" s="223"/>
      <c r="H48" s="223"/>
      <c r="I48" s="356"/>
    </row>
    <row r="49" spans="1:9" ht="13.5" thickBot="1" x14ac:dyDescent="0.25">
      <c r="A49" s="217"/>
      <c r="B49" s="217"/>
      <c r="C49" s="217"/>
      <c r="D49" s="217"/>
      <c r="E49" s="217"/>
      <c r="F49" s="217"/>
      <c r="G49" s="217"/>
      <c r="H49" s="217"/>
      <c r="I49" s="217"/>
    </row>
    <row r="50" spans="1:9" x14ac:dyDescent="0.2">
      <c r="A50" s="202"/>
      <c r="B50" s="202"/>
      <c r="C50" s="202"/>
      <c r="D50" s="202"/>
      <c r="E50" s="202"/>
      <c r="F50" s="202"/>
      <c r="G50" s="202"/>
      <c r="H50" s="202"/>
      <c r="I50" s="113" t="s">
        <v>187</v>
      </c>
    </row>
    <row r="51" spans="1:9" x14ac:dyDescent="0.2">
      <c r="A51" s="202"/>
      <c r="B51" s="202"/>
      <c r="C51" s="202"/>
      <c r="D51" s="202"/>
      <c r="E51" s="218" t="s">
        <v>189</v>
      </c>
      <c r="F51" s="202"/>
      <c r="G51" s="202"/>
      <c r="H51" s="202"/>
      <c r="I51" s="809" t="s">
        <v>1053</v>
      </c>
    </row>
    <row r="52" spans="1:9" x14ac:dyDescent="0.2">
      <c r="A52" s="202"/>
      <c r="B52" s="218" t="s">
        <v>112</v>
      </c>
      <c r="C52" s="202"/>
      <c r="D52" s="202"/>
      <c r="E52" s="219" t="s">
        <v>190</v>
      </c>
      <c r="F52" s="202"/>
      <c r="G52" s="219" t="s">
        <v>191</v>
      </c>
      <c r="H52" s="202"/>
      <c r="I52" s="810" t="s">
        <v>1054</v>
      </c>
    </row>
    <row r="53" spans="1:9" x14ac:dyDescent="0.2">
      <c r="A53" s="201" t="s">
        <v>660</v>
      </c>
      <c r="B53" s="202"/>
      <c r="C53" s="202"/>
      <c r="D53" s="202"/>
      <c r="E53" s="223"/>
      <c r="F53" s="223"/>
      <c r="G53" s="223"/>
      <c r="H53" s="223"/>
      <c r="I53" s="223"/>
    </row>
    <row r="54" spans="1:9" x14ac:dyDescent="0.2">
      <c r="A54" s="201" t="s">
        <v>661</v>
      </c>
      <c r="B54" s="202"/>
      <c r="C54" s="202"/>
      <c r="D54" s="202"/>
      <c r="E54" s="223"/>
      <c r="F54" s="223"/>
      <c r="G54" s="223"/>
      <c r="H54" s="223"/>
      <c r="I54" s="223"/>
    </row>
    <row r="55" spans="1:9" x14ac:dyDescent="0.2">
      <c r="A55" s="202"/>
      <c r="B55" s="202"/>
      <c r="C55" s="202"/>
      <c r="D55" s="202"/>
      <c r="E55" s="223"/>
      <c r="F55" s="223"/>
      <c r="G55" s="223"/>
      <c r="H55" s="223"/>
      <c r="I55" s="223"/>
    </row>
    <row r="56" spans="1:9" x14ac:dyDescent="0.2">
      <c r="A56" s="202"/>
      <c r="B56" s="204" t="s">
        <v>676</v>
      </c>
      <c r="C56" s="202"/>
      <c r="D56" s="202"/>
      <c r="E56" s="223"/>
      <c r="F56" s="223"/>
      <c r="G56" s="223"/>
      <c r="H56" s="223"/>
      <c r="I56" s="223"/>
    </row>
    <row r="57" spans="1:9" x14ac:dyDescent="0.2">
      <c r="A57" s="202"/>
      <c r="B57" s="204" t="s">
        <v>728</v>
      </c>
      <c r="C57" s="202"/>
      <c r="D57" s="202"/>
      <c r="E57" s="223"/>
      <c r="F57" s="223"/>
      <c r="G57" s="221">
        <f>G44</f>
        <v>2855.3665000000001</v>
      </c>
      <c r="H57" s="223"/>
      <c r="I57" s="223"/>
    </row>
    <row r="58" spans="1:9" x14ac:dyDescent="0.2">
      <c r="A58" s="202"/>
      <c r="B58" s="202"/>
      <c r="C58" s="202"/>
      <c r="D58" s="202"/>
      <c r="E58" s="223"/>
      <c r="F58" s="223"/>
      <c r="G58" s="223"/>
      <c r="H58" s="223"/>
      <c r="I58" s="223"/>
    </row>
    <row r="59" spans="1:9" x14ac:dyDescent="0.2">
      <c r="A59" s="202"/>
      <c r="B59" s="201" t="s">
        <v>662</v>
      </c>
      <c r="C59" s="202"/>
      <c r="D59" s="202"/>
      <c r="E59" s="223"/>
      <c r="F59" s="223"/>
      <c r="G59" s="223"/>
      <c r="H59" s="223"/>
      <c r="I59" s="223"/>
    </row>
    <row r="60" spans="1:9" x14ac:dyDescent="0.2">
      <c r="A60" s="202"/>
      <c r="B60" s="202"/>
      <c r="C60" s="204" t="s">
        <v>729</v>
      </c>
      <c r="D60" s="202"/>
      <c r="E60" s="223"/>
      <c r="F60" s="223"/>
      <c r="G60" s="223">
        <f>-'EFCF Exh 11'!I52</f>
        <v>-1092.5305000000001</v>
      </c>
      <c r="H60" s="223"/>
      <c r="I60" s="223"/>
    </row>
    <row r="61" spans="1:9" x14ac:dyDescent="0.2">
      <c r="A61" s="202"/>
      <c r="B61" s="202"/>
      <c r="C61" s="204" t="s">
        <v>663</v>
      </c>
      <c r="D61" s="202"/>
      <c r="E61" s="223"/>
      <c r="F61" s="223"/>
      <c r="G61" s="223">
        <f>-'EFCF Exh 11'!I50-1</f>
        <v>1945.4014999999999</v>
      </c>
      <c r="H61" s="223"/>
      <c r="I61" s="223"/>
    </row>
    <row r="62" spans="1:9" x14ac:dyDescent="0.2">
      <c r="A62" s="202"/>
      <c r="B62" s="202"/>
      <c r="C62" s="204" t="s">
        <v>730</v>
      </c>
      <c r="D62" s="202"/>
      <c r="E62" s="223"/>
      <c r="F62" s="223"/>
      <c r="G62" s="223">
        <f>-'EFCF Exh 11'!I54</f>
        <v>-342.72199999999998</v>
      </c>
      <c r="H62" s="223"/>
      <c r="I62" s="223"/>
    </row>
    <row r="63" spans="1:9" x14ac:dyDescent="0.2">
      <c r="A63" s="202"/>
      <c r="B63" s="202"/>
      <c r="C63" s="204" t="s">
        <v>731</v>
      </c>
      <c r="D63" s="202"/>
      <c r="E63" s="223"/>
      <c r="F63" s="223"/>
      <c r="G63" s="223"/>
      <c r="H63" s="223"/>
      <c r="I63" s="223"/>
    </row>
    <row r="64" spans="1:9" x14ac:dyDescent="0.2">
      <c r="A64" s="202"/>
      <c r="B64" s="202"/>
      <c r="C64" s="202" t="s">
        <v>1005</v>
      </c>
      <c r="E64" s="223"/>
      <c r="F64" s="223"/>
      <c r="G64" s="223">
        <v>4000</v>
      </c>
      <c r="H64" s="223"/>
      <c r="I64" s="223"/>
    </row>
    <row r="65" spans="1:11" x14ac:dyDescent="0.2">
      <c r="A65" s="202"/>
      <c r="B65" s="202"/>
      <c r="C65" s="202"/>
      <c r="D65" s="204" t="s">
        <v>670</v>
      </c>
      <c r="E65" s="223"/>
      <c r="F65" s="223"/>
      <c r="G65" s="229">
        <f>SUM(G59:G64)</f>
        <v>4510.1489999999994</v>
      </c>
      <c r="H65" s="223"/>
      <c r="I65" s="223"/>
    </row>
    <row r="66" spans="1:11" ht="13.5" thickBot="1" x14ac:dyDescent="0.25">
      <c r="B66" s="204" t="s">
        <v>94</v>
      </c>
      <c r="C66" s="202"/>
      <c r="D66" s="202"/>
      <c r="E66" s="203"/>
      <c r="F66" s="203"/>
      <c r="G66" s="233">
        <f>G57+G65</f>
        <v>7365.5154999999995</v>
      </c>
      <c r="H66" s="203"/>
      <c r="I66" s="203"/>
      <c r="J66" s="338"/>
      <c r="K66" s="328"/>
    </row>
    <row r="67" spans="1:11" ht="13.5" thickTop="1" x14ac:dyDescent="0.2"/>
  </sheetData>
  <customSheetViews>
    <customSheetView guid="{E0C60316-4586-4AAF-92CB-FA82BB1EB755}">
      <rowBreaks count="1" manualBreakCount="1">
        <brk id="50" max="16383" man="1"/>
      </rowBreaks>
      <pageMargins left="0" right="0" top="0" bottom="0" header="0" footer="0"/>
      <printOptions horizontalCentered="1"/>
      <pageSetup scale="86" firstPageNumber="130" fitToHeight="0" orientation="portrait" useFirstPageNumber="1" r:id="rId1"/>
      <headerFooter alignWithMargins="0"/>
    </customSheetView>
    <customSheetView guid="{A8748736-0722-49EB-85B6-C9B52DDCFE0E}" showPageBreaks="1">
      <selection activeCell="K35" sqref="K35"/>
      <rowBreaks count="1" manualBreakCount="1">
        <brk id="50" max="16383" man="1"/>
      </rowBreaks>
      <pageMargins left="0.75" right="0.75" top="1" bottom="1" header="0.5" footer="0.5"/>
      <printOptions horizontalCentered="1"/>
      <pageSetup scale="86" firstPageNumber="130" fitToHeight="0" orientation="portrait" useFirstPageNumber="1" r:id="rId2"/>
      <headerFooter alignWithMargins="0"/>
    </customSheetView>
  </customSheetViews>
  <phoneticPr fontId="0" type="noConversion"/>
  <printOptions horizontalCentered="1"/>
  <pageMargins left="0.75" right="0.75" top="1" bottom="1" header="0.5" footer="0.5"/>
  <pageSetup scale="86" firstPageNumber="130" fitToHeight="0" orientation="portrait" useFirstPageNumber="1" r:id="rId3"/>
  <headerFooter alignWithMargins="0"/>
  <rowBreaks count="1" manualBreakCount="1">
    <brk id="46"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P30"/>
  <sheetViews>
    <sheetView workbookViewId="0">
      <selection activeCell="D6" sqref="D6"/>
    </sheetView>
  </sheetViews>
  <sheetFormatPr defaultColWidth="9.140625" defaultRowHeight="12.75" x14ac:dyDescent="0.2"/>
  <cols>
    <col min="1" max="3" width="2.42578125" style="30" customWidth="1"/>
    <col min="4" max="4" width="24.42578125" style="30" customWidth="1"/>
    <col min="5" max="5" width="10.7109375" style="30" customWidth="1"/>
    <col min="6" max="6" width="1.7109375" style="30" customWidth="1"/>
    <col min="7" max="7" width="11" style="30" customWidth="1"/>
    <col min="8" max="8" width="1.7109375" style="30" customWidth="1"/>
    <col min="9" max="9" width="10.7109375" style="30" customWidth="1"/>
    <col min="10" max="10" width="1.7109375" style="30" customWidth="1"/>
    <col min="11" max="11" width="10.28515625" style="30" customWidth="1"/>
    <col min="12" max="12" width="1.7109375" style="30" customWidth="1"/>
    <col min="13" max="13" width="11" style="30" customWidth="1"/>
    <col min="14" max="16384" width="9.140625" style="30"/>
  </cols>
  <sheetData>
    <row r="1" spans="1:16" x14ac:dyDescent="0.2">
      <c r="A1" s="234" t="s">
        <v>0</v>
      </c>
      <c r="B1" s="235"/>
      <c r="C1" s="235"/>
      <c r="D1" s="235"/>
      <c r="E1" s="235"/>
      <c r="F1" s="235"/>
      <c r="G1" s="235"/>
      <c r="H1" s="235"/>
      <c r="I1" s="235"/>
      <c r="J1" s="235"/>
      <c r="K1" s="235"/>
      <c r="L1" s="235"/>
      <c r="M1" s="235"/>
      <c r="N1" s="310"/>
      <c r="O1" s="310"/>
      <c r="P1" s="310"/>
    </row>
    <row r="2" spans="1:16" x14ac:dyDescent="0.2">
      <c r="A2" s="234" t="s">
        <v>732</v>
      </c>
      <c r="B2" s="235"/>
      <c r="C2" s="235"/>
      <c r="D2" s="235"/>
      <c r="E2" s="235"/>
      <c r="F2" s="235"/>
      <c r="G2" s="235"/>
      <c r="H2" s="235"/>
      <c r="I2" s="235"/>
      <c r="J2" s="235"/>
      <c r="K2" s="235"/>
      <c r="L2" s="235"/>
      <c r="M2" s="235"/>
      <c r="N2" s="310"/>
      <c r="O2" s="310"/>
      <c r="P2" s="310"/>
    </row>
    <row r="3" spans="1:16" x14ac:dyDescent="0.2">
      <c r="A3" s="234" t="s">
        <v>714</v>
      </c>
      <c r="B3" s="235"/>
      <c r="C3" s="235"/>
      <c r="D3" s="235"/>
      <c r="E3" s="235"/>
      <c r="F3" s="235"/>
      <c r="G3" s="235"/>
      <c r="H3" s="235"/>
      <c r="I3" s="235"/>
      <c r="J3" s="235"/>
      <c r="K3" s="235"/>
      <c r="L3" s="235"/>
      <c r="M3" s="235"/>
      <c r="N3" s="310"/>
      <c r="O3" s="310"/>
      <c r="P3" s="310"/>
    </row>
    <row r="4" spans="1:16" x14ac:dyDescent="0.2">
      <c r="A4" s="1155" t="str">
        <f>'SR-BA7 (Opioid)Multi Yr'!A5</f>
        <v>From Inception and for the Fiscal Year Ended June 30, 2025</v>
      </c>
      <c r="B4" s="1155"/>
      <c r="C4" s="1155"/>
      <c r="D4" s="1155"/>
      <c r="E4" s="1155"/>
      <c r="F4" s="1155"/>
      <c r="G4" s="1155"/>
      <c r="H4" s="1155"/>
      <c r="I4" s="1155"/>
      <c r="J4" s="1155"/>
      <c r="K4" s="1155"/>
      <c r="L4" s="1155"/>
      <c r="M4" s="1155"/>
      <c r="N4" s="310"/>
      <c r="O4" s="310"/>
      <c r="P4" s="310"/>
    </row>
    <row r="5" spans="1:16" x14ac:dyDescent="0.2">
      <c r="A5" s="674"/>
      <c r="B5" s="674"/>
      <c r="C5" s="674"/>
      <c r="D5" s="674"/>
      <c r="E5" s="674"/>
      <c r="F5" s="674"/>
      <c r="G5" s="674"/>
      <c r="H5" s="674"/>
      <c r="I5" s="674"/>
      <c r="J5" s="674"/>
      <c r="K5" s="674"/>
      <c r="L5" s="674"/>
      <c r="M5" s="674"/>
      <c r="N5" s="310"/>
      <c r="O5" s="310"/>
      <c r="P5" s="310"/>
    </row>
    <row r="6" spans="1:16" x14ac:dyDescent="0.2">
      <c r="A6" s="674"/>
      <c r="B6" s="674"/>
      <c r="C6" s="674"/>
      <c r="D6" s="674"/>
      <c r="E6" s="674"/>
      <c r="F6" s="674"/>
      <c r="G6" s="674"/>
      <c r="H6" s="674"/>
      <c r="I6" s="674"/>
      <c r="J6" s="674"/>
      <c r="K6" s="674"/>
      <c r="L6" s="674"/>
      <c r="M6" s="674"/>
      <c r="N6" s="310"/>
      <c r="O6" s="310"/>
      <c r="P6" s="310"/>
    </row>
    <row r="7" spans="1:16" ht="13.5" thickBot="1" x14ac:dyDescent="0.25">
      <c r="A7" s="236"/>
      <c r="B7" s="236"/>
      <c r="C7" s="236"/>
      <c r="D7" s="236"/>
      <c r="E7" s="236"/>
      <c r="F7" s="236"/>
      <c r="G7" s="236"/>
      <c r="H7" s="236"/>
      <c r="I7" s="236"/>
      <c r="J7" s="236"/>
      <c r="K7" s="236"/>
      <c r="L7" s="236"/>
      <c r="M7" s="236"/>
      <c r="N7" s="310"/>
      <c r="O7" s="310"/>
      <c r="P7" s="310"/>
    </row>
    <row r="8" spans="1:16" x14ac:dyDescent="0.2">
      <c r="A8" s="237"/>
      <c r="B8" s="237"/>
      <c r="C8" s="237"/>
      <c r="D8" s="237"/>
      <c r="E8" s="238" t="s">
        <v>622</v>
      </c>
      <c r="F8" s="237"/>
      <c r="G8" s="239" t="s">
        <v>191</v>
      </c>
      <c r="H8" s="239"/>
      <c r="I8" s="239"/>
      <c r="J8" s="239"/>
      <c r="K8" s="239"/>
      <c r="L8" s="237"/>
      <c r="M8" s="113" t="s">
        <v>187</v>
      </c>
      <c r="N8" s="310"/>
      <c r="O8" s="310"/>
      <c r="P8" s="310"/>
    </row>
    <row r="9" spans="1:16" x14ac:dyDescent="0.2">
      <c r="A9" s="237"/>
      <c r="B9" s="237"/>
      <c r="C9" s="237"/>
      <c r="D9" s="237"/>
      <c r="E9" s="238" t="s">
        <v>673</v>
      </c>
      <c r="F9" s="237"/>
      <c r="G9" s="238" t="s">
        <v>602</v>
      </c>
      <c r="H9" s="237"/>
      <c r="I9" s="238" t="s">
        <v>674</v>
      </c>
      <c r="J9" s="237"/>
      <c r="K9" s="238" t="s">
        <v>604</v>
      </c>
      <c r="L9" s="237"/>
      <c r="M9" s="809" t="s">
        <v>1053</v>
      </c>
      <c r="N9" s="310"/>
      <c r="O9" s="310"/>
      <c r="P9" s="310"/>
    </row>
    <row r="10" spans="1:16" x14ac:dyDescent="0.2">
      <c r="A10" s="237"/>
      <c r="B10" s="240" t="s">
        <v>112</v>
      </c>
      <c r="C10" s="237"/>
      <c r="D10" s="237"/>
      <c r="E10" s="241" t="s">
        <v>624</v>
      </c>
      <c r="F10" s="237"/>
      <c r="G10" s="241" t="s">
        <v>605</v>
      </c>
      <c r="H10" s="237"/>
      <c r="I10" s="241" t="s">
        <v>606</v>
      </c>
      <c r="J10" s="237"/>
      <c r="K10" s="241" t="s">
        <v>607</v>
      </c>
      <c r="L10" s="237"/>
      <c r="M10" s="810" t="s">
        <v>1054</v>
      </c>
      <c r="N10" s="310"/>
      <c r="O10" s="310"/>
      <c r="P10" s="310"/>
    </row>
    <row r="11" spans="1:16" x14ac:dyDescent="0.2">
      <c r="A11" s="237"/>
      <c r="B11" s="237"/>
      <c r="C11" s="237"/>
      <c r="D11" s="237"/>
      <c r="E11" s="237"/>
      <c r="F11" s="237"/>
      <c r="G11" s="237"/>
      <c r="H11" s="237"/>
      <c r="I11" s="237"/>
      <c r="J11" s="237"/>
      <c r="K11" s="237"/>
      <c r="L11" s="237"/>
      <c r="M11" s="237"/>
      <c r="N11" s="310"/>
      <c r="O11" s="310"/>
      <c r="P11" s="310"/>
    </row>
    <row r="12" spans="1:16" x14ac:dyDescent="0.2">
      <c r="A12" s="931" t="s">
        <v>718</v>
      </c>
      <c r="B12" s="237"/>
      <c r="C12" s="237"/>
      <c r="D12" s="237"/>
      <c r="E12" s="245"/>
      <c r="F12" s="245"/>
      <c r="G12" s="245"/>
      <c r="H12" s="245"/>
      <c r="I12" s="245"/>
      <c r="J12" s="245"/>
      <c r="K12" s="245"/>
      <c r="L12" s="245"/>
      <c r="M12" s="245"/>
      <c r="N12" s="310"/>
      <c r="O12" s="310"/>
      <c r="P12" s="310"/>
    </row>
    <row r="13" spans="1:16" x14ac:dyDescent="0.2">
      <c r="A13" s="237"/>
      <c r="B13" s="240" t="s">
        <v>719</v>
      </c>
      <c r="C13" s="237"/>
      <c r="D13" s="237"/>
      <c r="E13" s="249">
        <v>300000</v>
      </c>
      <c r="F13" s="249"/>
      <c r="G13" s="249">
        <v>0</v>
      </c>
      <c r="H13" s="249"/>
      <c r="I13" s="249">
        <v>145321</v>
      </c>
      <c r="J13" s="249"/>
      <c r="K13" s="249">
        <f>SUM(G13:I13)</f>
        <v>145321</v>
      </c>
      <c r="L13" s="249"/>
      <c r="M13" s="250">
        <f>E13-K13</f>
        <v>154679</v>
      </c>
      <c r="N13" s="310"/>
      <c r="O13" s="310"/>
      <c r="P13" s="310"/>
    </row>
    <row r="14" spans="1:16" x14ac:dyDescent="0.2">
      <c r="A14" s="237"/>
      <c r="B14" s="240" t="s">
        <v>720</v>
      </c>
      <c r="C14" s="237"/>
      <c r="D14" s="237"/>
      <c r="E14" s="244">
        <v>200000</v>
      </c>
      <c r="F14" s="245"/>
      <c r="G14" s="244">
        <v>0</v>
      </c>
      <c r="H14" s="245"/>
      <c r="I14" s="244">
        <v>78312</v>
      </c>
      <c r="J14" s="245"/>
      <c r="K14" s="244">
        <f>SUM(G14:J14)</f>
        <v>78312</v>
      </c>
      <c r="L14" s="245"/>
      <c r="M14" s="244">
        <f>E14-K14</f>
        <v>121688</v>
      </c>
      <c r="N14" s="310"/>
      <c r="O14" s="310"/>
      <c r="P14" s="310"/>
    </row>
    <row r="15" spans="1:16" x14ac:dyDescent="0.2">
      <c r="A15" s="237"/>
      <c r="B15" s="237"/>
      <c r="C15" s="237"/>
      <c r="D15" s="240" t="s">
        <v>402</v>
      </c>
      <c r="E15" s="244">
        <f>SUM(E13:E14)</f>
        <v>500000</v>
      </c>
      <c r="F15" s="245"/>
      <c r="G15" s="244">
        <f>SUM(G13:G14)</f>
        <v>0</v>
      </c>
      <c r="H15" s="245"/>
      <c r="I15" s="244">
        <f>SUM(I13:I14)</f>
        <v>223633</v>
      </c>
      <c r="J15" s="245"/>
      <c r="K15" s="244">
        <f>SUM(K13:K14)</f>
        <v>223633</v>
      </c>
      <c r="L15" s="245"/>
      <c r="M15" s="244">
        <f>E15-K15</f>
        <v>276367</v>
      </c>
      <c r="N15" s="310"/>
      <c r="O15" s="310"/>
      <c r="P15" s="310"/>
    </row>
    <row r="16" spans="1:16" x14ac:dyDescent="0.2">
      <c r="A16" s="237"/>
      <c r="B16" s="237"/>
      <c r="C16" s="237"/>
      <c r="D16" s="237"/>
      <c r="E16" s="245"/>
      <c r="F16" s="245"/>
      <c r="G16" s="245"/>
      <c r="H16" s="245"/>
      <c r="I16" s="245"/>
      <c r="J16" s="245"/>
      <c r="K16" s="245"/>
      <c r="L16" s="245"/>
      <c r="M16" s="245"/>
      <c r="N16" s="310"/>
      <c r="O16" s="310"/>
      <c r="P16" s="310"/>
    </row>
    <row r="17" spans="1:16" x14ac:dyDescent="0.2">
      <c r="A17" s="931" t="s">
        <v>721</v>
      </c>
      <c r="B17" s="237"/>
      <c r="C17" s="237"/>
      <c r="D17" s="237"/>
      <c r="E17" s="245"/>
      <c r="F17" s="245"/>
      <c r="G17" s="245"/>
      <c r="H17" s="245"/>
      <c r="I17" s="245"/>
      <c r="J17" s="245"/>
      <c r="K17" s="245"/>
      <c r="L17" s="245"/>
      <c r="M17" s="245"/>
      <c r="N17" s="310"/>
      <c r="O17" s="310"/>
      <c r="P17" s="310"/>
    </row>
    <row r="18" spans="1:16" x14ac:dyDescent="0.2">
      <c r="A18" s="237"/>
      <c r="B18" s="240" t="s">
        <v>719</v>
      </c>
      <c r="C18" s="237"/>
      <c r="D18" s="237"/>
      <c r="E18" s="245">
        <v>200000</v>
      </c>
      <c r="F18" s="245"/>
      <c r="G18" s="246">
        <v>0</v>
      </c>
      <c r="H18" s="245"/>
      <c r="I18" s="245">
        <f>-100000+(123633+12545-295896)*-1</f>
        <v>59718</v>
      </c>
      <c r="J18" s="245"/>
      <c r="K18" s="245">
        <f>SUM(G18:I18)</f>
        <v>59718</v>
      </c>
      <c r="L18" s="245"/>
      <c r="M18" s="245">
        <f>E18-K18</f>
        <v>140282</v>
      </c>
      <c r="N18" s="310"/>
      <c r="O18" s="310"/>
    </row>
    <row r="19" spans="1:16" x14ac:dyDescent="0.2">
      <c r="A19" s="237"/>
      <c r="B19" s="240" t="s">
        <v>722</v>
      </c>
      <c r="C19" s="237"/>
      <c r="D19" s="237"/>
      <c r="E19" s="245">
        <v>0</v>
      </c>
      <c r="F19" s="245"/>
      <c r="G19" s="246">
        <v>0</v>
      </c>
      <c r="H19" s="245"/>
      <c r="I19" s="245">
        <v>0</v>
      </c>
      <c r="J19" s="245"/>
      <c r="K19" s="245">
        <f>SUM(G19:J19)</f>
        <v>0</v>
      </c>
      <c r="L19" s="245"/>
      <c r="M19" s="246">
        <f>E19-K19</f>
        <v>0</v>
      </c>
      <c r="N19" s="310"/>
      <c r="O19" s="310"/>
    </row>
    <row r="20" spans="1:16" x14ac:dyDescent="0.2">
      <c r="A20" s="237"/>
      <c r="B20" s="240" t="s">
        <v>720</v>
      </c>
      <c r="C20" s="237"/>
      <c r="D20" s="237"/>
      <c r="E20" s="244">
        <v>200000</v>
      </c>
      <c r="F20" s="245"/>
      <c r="G20" s="222">
        <v>0</v>
      </c>
      <c r="H20" s="245"/>
      <c r="I20" s="244">
        <v>12545</v>
      </c>
      <c r="J20" s="245"/>
      <c r="K20" s="247">
        <f>SUM(G20:J20)</f>
        <v>12545</v>
      </c>
      <c r="L20" s="245"/>
      <c r="M20" s="244">
        <f>E20-K20</f>
        <v>187455</v>
      </c>
      <c r="N20" s="310"/>
      <c r="O20" s="310"/>
    </row>
    <row r="21" spans="1:16" x14ac:dyDescent="0.2">
      <c r="A21" s="237"/>
      <c r="B21" s="237"/>
      <c r="C21" s="237"/>
      <c r="D21" s="240" t="s">
        <v>402</v>
      </c>
      <c r="E21" s="244">
        <f>SUM(E18:E20)</f>
        <v>400000</v>
      </c>
      <c r="F21" s="245"/>
      <c r="G21" s="244">
        <f>SUM(G18:G20)</f>
        <v>0</v>
      </c>
      <c r="H21" s="245"/>
      <c r="I21" s="244">
        <f>SUM(I18:I20)</f>
        <v>72263</v>
      </c>
      <c r="J21" s="245"/>
      <c r="K21" s="244">
        <f>SUM(K18:K20)</f>
        <v>72263</v>
      </c>
      <c r="L21" s="245"/>
      <c r="M21" s="244">
        <f>E21-K21</f>
        <v>327737</v>
      </c>
      <c r="N21" s="310"/>
      <c r="O21" s="310"/>
    </row>
    <row r="22" spans="1:16" x14ac:dyDescent="0.2">
      <c r="A22" s="237"/>
      <c r="B22" s="237"/>
      <c r="C22" s="237"/>
      <c r="D22" s="240" t="s">
        <v>162</v>
      </c>
      <c r="E22" s="244">
        <f>E15+E21</f>
        <v>900000</v>
      </c>
      <c r="F22" s="245"/>
      <c r="G22" s="244">
        <f>G15+G21</f>
        <v>0</v>
      </c>
      <c r="H22" s="245"/>
      <c r="I22" s="244">
        <f>I15+I21</f>
        <v>295896</v>
      </c>
      <c r="J22" s="245"/>
      <c r="K22" s="244">
        <f>K15+K21</f>
        <v>295896</v>
      </c>
      <c r="L22" s="245"/>
      <c r="M22" s="244">
        <f>E22-K22</f>
        <v>604104</v>
      </c>
      <c r="N22" s="310"/>
      <c r="O22" s="310"/>
    </row>
    <row r="23" spans="1:16" x14ac:dyDescent="0.2">
      <c r="A23" s="237"/>
      <c r="B23" s="237"/>
      <c r="C23" s="237"/>
      <c r="D23" s="237"/>
      <c r="E23" s="245"/>
      <c r="F23" s="245"/>
      <c r="G23" s="245"/>
      <c r="H23" s="245"/>
      <c r="I23" s="245"/>
      <c r="J23" s="245"/>
      <c r="K23" s="245"/>
      <c r="L23" s="245"/>
      <c r="M23" s="245"/>
      <c r="N23" s="310"/>
      <c r="O23" s="310"/>
    </row>
    <row r="24" spans="1:16" x14ac:dyDescent="0.2">
      <c r="A24" s="931" t="s">
        <v>1181</v>
      </c>
      <c r="B24" s="237"/>
      <c r="C24" s="237"/>
      <c r="D24" s="237"/>
      <c r="E24" s="245"/>
      <c r="F24" s="245"/>
      <c r="G24" s="245"/>
      <c r="H24" s="245"/>
      <c r="I24" s="245"/>
      <c r="J24" s="245"/>
      <c r="K24" s="245"/>
      <c r="L24" s="245"/>
      <c r="M24" s="245"/>
      <c r="N24" s="310"/>
      <c r="O24" s="310"/>
    </row>
    <row r="25" spans="1:16" x14ac:dyDescent="0.2">
      <c r="A25" s="240"/>
      <c r="B25" s="237" t="s">
        <v>733</v>
      </c>
      <c r="C25" s="237"/>
      <c r="D25" s="237"/>
      <c r="E25" s="245">
        <v>0</v>
      </c>
      <c r="F25" s="245"/>
      <c r="G25" s="245">
        <v>0</v>
      </c>
      <c r="H25" s="245"/>
      <c r="I25" s="245">
        <v>4000</v>
      </c>
      <c r="J25" s="245"/>
      <c r="K25" s="245">
        <f>SUM(G25:J25)</f>
        <v>4000</v>
      </c>
      <c r="L25" s="245"/>
      <c r="M25" s="246">
        <f>E25+K25</f>
        <v>4000</v>
      </c>
      <c r="N25" s="310"/>
      <c r="O25" s="310"/>
    </row>
    <row r="26" spans="1:16" x14ac:dyDescent="0.2">
      <c r="A26" s="237"/>
      <c r="B26" s="240" t="s">
        <v>723</v>
      </c>
      <c r="C26" s="237"/>
      <c r="D26" s="237"/>
      <c r="E26" s="244">
        <v>900000</v>
      </c>
      <c r="F26" s="245"/>
      <c r="G26" s="244">
        <v>0</v>
      </c>
      <c r="H26" s="245"/>
      <c r="I26" s="222">
        <v>300000</v>
      </c>
      <c r="J26" s="245"/>
      <c r="K26" s="244">
        <f>SUM(G26:J26)</f>
        <v>300000</v>
      </c>
      <c r="L26" s="245"/>
      <c r="M26" s="244">
        <f>K26-E26</f>
        <v>-600000</v>
      </c>
      <c r="N26" s="310"/>
      <c r="O26" s="310"/>
    </row>
    <row r="27" spans="1:16" x14ac:dyDescent="0.2">
      <c r="A27" s="237"/>
      <c r="B27" s="237"/>
      <c r="C27" s="237"/>
      <c r="D27" s="237" t="s">
        <v>621</v>
      </c>
      <c r="E27" s="245">
        <f>SUM(E25:E26)</f>
        <v>900000</v>
      </c>
      <c r="F27" s="245"/>
      <c r="G27" s="245">
        <f>SUM(G25:G26)</f>
        <v>0</v>
      </c>
      <c r="H27" s="245"/>
      <c r="I27" s="245">
        <f>SUM(I25:I26)</f>
        <v>304000</v>
      </c>
      <c r="J27" s="245"/>
      <c r="K27" s="245">
        <f>SUM(K25:K26)</f>
        <v>304000</v>
      </c>
      <c r="L27" s="245"/>
      <c r="M27" s="245">
        <f>SUM(M25:M26)</f>
        <v>-596000</v>
      </c>
      <c r="N27" s="310"/>
      <c r="O27" s="310"/>
    </row>
    <row r="28" spans="1:16" x14ac:dyDescent="0.2">
      <c r="A28" s="237"/>
      <c r="B28" s="237"/>
      <c r="C28" s="237"/>
      <c r="D28" s="237"/>
      <c r="E28" s="245"/>
      <c r="F28" s="245"/>
      <c r="G28" s="245"/>
      <c r="H28" s="245"/>
      <c r="I28" s="245"/>
      <c r="J28" s="245"/>
      <c r="K28" s="245"/>
      <c r="L28" s="245"/>
      <c r="M28" s="245"/>
      <c r="N28" s="310"/>
      <c r="O28" s="310"/>
    </row>
    <row r="29" spans="1:16" ht="13.5" thickBot="1" x14ac:dyDescent="0.25">
      <c r="A29" s="240" t="s">
        <v>173</v>
      </c>
      <c r="B29" s="237"/>
      <c r="C29" s="237"/>
      <c r="D29" s="237"/>
      <c r="E29" s="248">
        <f>E27-E22</f>
        <v>0</v>
      </c>
      <c r="F29" s="243"/>
      <c r="G29" s="248">
        <f>G27-G22</f>
        <v>0</v>
      </c>
      <c r="H29" s="243"/>
      <c r="I29" s="248">
        <f>I27-I22</f>
        <v>8104</v>
      </c>
      <c r="J29" s="243"/>
      <c r="K29" s="248">
        <f>K27-K22</f>
        <v>8104</v>
      </c>
      <c r="L29" s="243"/>
      <c r="M29" s="248">
        <f>M27+M22</f>
        <v>8104</v>
      </c>
      <c r="N29" s="310"/>
      <c r="O29" s="310"/>
    </row>
    <row r="30" spans="1:16" ht="13.5" thickTop="1" x14ac:dyDescent="0.2">
      <c r="A30" s="310"/>
      <c r="B30" s="310"/>
      <c r="C30" s="310"/>
      <c r="D30" s="310"/>
      <c r="E30" s="310"/>
      <c r="F30" s="310"/>
      <c r="G30" s="310"/>
      <c r="H30" s="310"/>
      <c r="I30" s="310"/>
      <c r="J30" s="310"/>
      <c r="K30" s="310"/>
      <c r="L30" s="310"/>
      <c r="M30" s="310"/>
      <c r="N30" s="310"/>
      <c r="O30" s="310"/>
    </row>
  </sheetData>
  <customSheetViews>
    <customSheetView guid="{E0C60316-4586-4AAF-92CB-FA82BB1EB755}">
      <pageMargins left="0" right="0" top="0" bottom="0" header="0" footer="0"/>
      <printOptions horizontalCentered="1"/>
      <pageSetup scale="86" firstPageNumber="130" fitToHeight="0" orientation="portrait" useFirstPageNumber="1" r:id="rId1"/>
      <headerFooter alignWithMargins="0"/>
    </customSheetView>
    <customSheetView guid="{A8748736-0722-49EB-85B6-C9B52DDCFE0E}">
      <selection activeCell="G13" sqref="G13"/>
      <pageMargins left="0.75" right="0.75" top="1" bottom="1" header="0.5" footer="0.5"/>
      <printOptions horizontalCentered="1"/>
      <pageSetup scale="86" firstPageNumber="130" fitToHeight="0" orientation="portrait" useFirstPageNumber="1" r:id="rId2"/>
      <headerFooter alignWithMargins="0"/>
    </customSheetView>
  </customSheetViews>
  <mergeCells count="1">
    <mergeCell ref="A4:M4"/>
  </mergeCells>
  <phoneticPr fontId="0" type="noConversion"/>
  <printOptions horizontalCentered="1"/>
  <pageMargins left="0.75" right="0.75" top="1" bottom="1" header="0.5" footer="0.5"/>
  <pageSetup scale="86" firstPageNumber="130" fitToHeight="0" orientation="portrait" useFirstPageNumber="1" r:id="rId3"/>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27"/>
  <sheetViews>
    <sheetView workbookViewId="0"/>
  </sheetViews>
  <sheetFormatPr defaultColWidth="9.140625" defaultRowHeight="12.75" x14ac:dyDescent="0.2"/>
  <cols>
    <col min="1" max="3" width="2.7109375" customWidth="1"/>
    <col min="4" max="4" width="41.28515625" customWidth="1"/>
    <col min="5" max="5" width="12.7109375" customWidth="1"/>
    <col min="6" max="6" width="2" customWidth="1"/>
    <col min="7" max="7" width="13" customWidth="1"/>
    <col min="8" max="8" width="2.140625" customWidth="1"/>
    <col min="9" max="9" width="11.28515625" customWidth="1"/>
  </cols>
  <sheetData>
    <row r="1" spans="1:9" x14ac:dyDescent="0.2">
      <c r="I1" s="434"/>
    </row>
    <row r="2" spans="1:9" x14ac:dyDescent="0.2">
      <c r="A2" s="29" t="s">
        <v>0</v>
      </c>
      <c r="B2" s="29"/>
      <c r="C2" s="29"/>
      <c r="D2" s="29"/>
      <c r="E2" s="31"/>
      <c r="F2" s="31"/>
      <c r="G2" s="31"/>
      <c r="H2" s="31"/>
      <c r="I2" s="31"/>
    </row>
    <row r="3" spans="1:9" x14ac:dyDescent="0.2">
      <c r="A3" s="29" t="s">
        <v>734</v>
      </c>
      <c r="B3" s="29"/>
      <c r="C3" s="29"/>
      <c r="D3" s="29"/>
      <c r="E3" s="31"/>
      <c r="F3" s="31"/>
      <c r="G3" s="31"/>
      <c r="H3" s="31"/>
      <c r="I3" s="31"/>
    </row>
    <row r="4" spans="1:9" x14ac:dyDescent="0.2">
      <c r="A4" s="29" t="s">
        <v>735</v>
      </c>
      <c r="B4" s="29"/>
      <c r="C4" s="29"/>
      <c r="D4" s="29"/>
      <c r="E4" s="31"/>
      <c r="F4" s="31"/>
      <c r="G4" s="31"/>
      <c r="H4" s="31"/>
      <c r="I4" s="31"/>
    </row>
    <row r="5" spans="1:9" x14ac:dyDescent="0.2">
      <c r="A5" s="29" t="str">
        <f>'GWStmtAct 68 Exh 2'!A3</f>
        <v>For the Year Ended June 30, 2025</v>
      </c>
      <c r="B5" s="29"/>
      <c r="C5" s="29"/>
      <c r="D5" s="29"/>
      <c r="E5" s="31"/>
      <c r="F5" s="31"/>
      <c r="G5" s="31"/>
      <c r="H5" s="31"/>
      <c r="I5" s="31"/>
    </row>
    <row r="6" spans="1:9" x14ac:dyDescent="0.2">
      <c r="A6" s="29"/>
      <c r="B6" s="29"/>
      <c r="C6" s="29"/>
      <c r="D6" s="29"/>
      <c r="E6" s="31"/>
      <c r="F6" s="31"/>
      <c r="G6" s="31"/>
      <c r="H6" s="31"/>
      <c r="I6" s="31"/>
    </row>
    <row r="7" spans="1:9" ht="13.5" thickBot="1" x14ac:dyDescent="0.25">
      <c r="A7" s="66"/>
      <c r="B7" s="66"/>
      <c r="C7" s="66"/>
      <c r="D7" s="66"/>
      <c r="E7" s="66"/>
      <c r="F7" s="66"/>
      <c r="G7" s="66"/>
      <c r="H7" s="66"/>
      <c r="I7" s="66"/>
    </row>
    <row r="8" spans="1:9" ht="13.15" customHeight="1" x14ac:dyDescent="0.2">
      <c r="E8" s="1158" t="s">
        <v>120</v>
      </c>
      <c r="G8" s="1073" t="s">
        <v>736</v>
      </c>
      <c r="I8" s="1073" t="s">
        <v>6</v>
      </c>
    </row>
    <row r="9" spans="1:9" x14ac:dyDescent="0.2">
      <c r="E9" s="1073"/>
      <c r="F9" s="34"/>
      <c r="G9" s="1156"/>
      <c r="H9" s="34"/>
      <c r="I9" s="1156"/>
    </row>
    <row r="10" spans="1:9" x14ac:dyDescent="0.2">
      <c r="E10" s="1073"/>
      <c r="F10" s="34"/>
      <c r="G10" s="1156"/>
      <c r="H10" s="34"/>
      <c r="I10" s="1156"/>
    </row>
    <row r="11" spans="1:9" x14ac:dyDescent="0.2">
      <c r="E11" s="1159"/>
      <c r="F11" s="34"/>
      <c r="G11" s="1157"/>
      <c r="H11" s="34"/>
      <c r="I11" s="1157"/>
    </row>
    <row r="12" spans="1:9" x14ac:dyDescent="0.2">
      <c r="D12" s="32" t="s">
        <v>737</v>
      </c>
    </row>
    <row r="14" spans="1:9" ht="13.5" thickBot="1" x14ac:dyDescent="0.25">
      <c r="A14" t="s">
        <v>11</v>
      </c>
      <c r="E14" s="12">
        <v>1029567</v>
      </c>
      <c r="F14" s="13"/>
      <c r="G14" s="12">
        <f>430201</f>
        <v>430201</v>
      </c>
      <c r="H14" s="13"/>
      <c r="I14" s="12">
        <f>E14+G14</f>
        <v>1459768</v>
      </c>
    </row>
    <row r="15" spans="1:9" ht="13.5" thickTop="1" x14ac:dyDescent="0.2"/>
    <row r="17" spans="1:9" x14ac:dyDescent="0.2">
      <c r="D17" s="32"/>
    </row>
    <row r="19" spans="1:9" x14ac:dyDescent="0.2">
      <c r="A19" t="s">
        <v>108</v>
      </c>
    </row>
    <row r="20" spans="1:9" x14ac:dyDescent="0.2">
      <c r="B20" t="s">
        <v>109</v>
      </c>
      <c r="E20" s="53">
        <v>1300</v>
      </c>
      <c r="F20" s="13"/>
      <c r="G20" s="53">
        <v>0</v>
      </c>
      <c r="H20" s="13"/>
      <c r="I20" s="53">
        <f>E20+G20</f>
        <v>1300</v>
      </c>
    </row>
    <row r="21" spans="1:9" x14ac:dyDescent="0.2">
      <c r="E21" s="14"/>
      <c r="F21" s="14"/>
      <c r="G21" s="14"/>
      <c r="H21" s="14"/>
      <c r="I21" s="14"/>
    </row>
    <row r="22" spans="1:9" x14ac:dyDescent="0.2">
      <c r="C22" t="s">
        <v>35</v>
      </c>
      <c r="E22" s="15">
        <v>1300</v>
      </c>
      <c r="F22" s="14"/>
      <c r="G22" s="15">
        <v>0</v>
      </c>
      <c r="H22" s="14"/>
      <c r="I22" s="15">
        <f>E22+G22</f>
        <v>1300</v>
      </c>
    </row>
    <row r="23" spans="1:9" x14ac:dyDescent="0.2">
      <c r="E23" s="14"/>
      <c r="F23" s="14"/>
      <c r="G23" s="14"/>
      <c r="H23" s="14"/>
      <c r="I23" s="14"/>
    </row>
    <row r="24" spans="1:9" x14ac:dyDescent="0.2">
      <c r="A24" s="310" t="s">
        <v>738</v>
      </c>
      <c r="E24" s="14"/>
      <c r="F24" s="14"/>
      <c r="G24" s="14"/>
      <c r="H24" s="14"/>
      <c r="I24" s="14"/>
    </row>
    <row r="25" spans="1:9" ht="13.5" thickBot="1" x14ac:dyDescent="0.25">
      <c r="B25" t="s">
        <v>739</v>
      </c>
      <c r="E25" s="12">
        <f>E14-E22</f>
        <v>1028267</v>
      </c>
      <c r="F25" s="14"/>
      <c r="G25" s="12">
        <f>G14-G22</f>
        <v>430201</v>
      </c>
      <c r="H25" s="13"/>
      <c r="I25" s="12">
        <f>I14-I22</f>
        <v>1458468</v>
      </c>
    </row>
    <row r="26" spans="1:9" ht="13.5" thickTop="1" x14ac:dyDescent="0.2">
      <c r="E26" s="13"/>
      <c r="F26" s="14"/>
    </row>
    <row r="27" spans="1:9" x14ac:dyDescent="0.2">
      <c r="F27" s="14"/>
    </row>
  </sheetData>
  <customSheetViews>
    <customSheetView guid="{E0C60316-4586-4AAF-92CB-FA82BB1EB755}" state="hidden">
      <selection activeCell="G37" sqref="G37"/>
      <pageMargins left="0" right="0" top="0" bottom="0" header="0" footer="0"/>
      <printOptions horizontalCentered="1"/>
      <pageSetup scale="86" firstPageNumber="133" fitToHeight="0" orientation="portrait" useFirstPageNumber="1" r:id="rId1"/>
      <headerFooter alignWithMargins="0"/>
    </customSheetView>
    <customSheetView guid="{A8748736-0722-49EB-85B6-C9B52DDCFE0E}" showPageBreaks="1" printArea="1" state="hidden">
      <pageMargins left="0.75" right="0.75" top="1" bottom="1" header="0.5" footer="0.5"/>
      <printOptions horizontalCentered="1"/>
      <pageSetup scale="86" firstPageNumber="133" fitToHeight="0" orientation="portrait" useFirstPageNumber="1" r:id="rId2"/>
      <headerFooter alignWithMargins="0"/>
    </customSheetView>
  </customSheetViews>
  <mergeCells count="3">
    <mergeCell ref="I8:I11"/>
    <mergeCell ref="G8:G11"/>
    <mergeCell ref="E8:E11"/>
  </mergeCells>
  <phoneticPr fontId="0" type="noConversion"/>
  <printOptions horizontalCentered="1"/>
  <pageMargins left="0.75" right="0.75" top="1" bottom="1" header="0.5" footer="0.5"/>
  <pageSetup scale="86" firstPageNumber="133" fitToHeight="0" orientation="portrait" useFirstPageNumber="1" r:id="rId3"/>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J71"/>
  <sheetViews>
    <sheetView workbookViewId="0"/>
  </sheetViews>
  <sheetFormatPr defaultColWidth="9.140625" defaultRowHeight="12.75" x14ac:dyDescent="0.2"/>
  <cols>
    <col min="1" max="1" width="2.7109375" customWidth="1"/>
    <col min="2" max="2" width="1.7109375" customWidth="1"/>
    <col min="4" max="4" width="23.5703125" customWidth="1"/>
    <col min="5" max="5" width="1.7109375" customWidth="1"/>
    <col min="6" max="6" width="11.28515625" customWidth="1"/>
    <col min="7" max="7" width="2.140625" customWidth="1"/>
    <col min="8" max="8" width="12.7109375" customWidth="1"/>
    <col min="9" max="9" width="1.85546875" customWidth="1"/>
    <col min="10" max="10" width="11.85546875" customWidth="1"/>
  </cols>
  <sheetData>
    <row r="1" spans="1:10" x14ac:dyDescent="0.2">
      <c r="J1" s="434"/>
    </row>
    <row r="2" spans="1:10" x14ac:dyDescent="0.2">
      <c r="A2" s="29" t="s">
        <v>0</v>
      </c>
      <c r="B2" s="29"/>
      <c r="C2" s="29"/>
      <c r="D2" s="29"/>
      <c r="E2" s="29"/>
      <c r="F2" s="29"/>
      <c r="G2" s="29"/>
      <c r="H2" s="29"/>
      <c r="I2" s="29"/>
      <c r="J2" s="29"/>
    </row>
    <row r="3" spans="1:10" x14ac:dyDescent="0.2">
      <c r="A3" s="29" t="s">
        <v>740</v>
      </c>
      <c r="B3" s="344"/>
      <c r="C3" s="344"/>
      <c r="D3" s="344"/>
      <c r="E3" s="344"/>
      <c r="F3" s="344"/>
      <c r="G3" s="344"/>
      <c r="H3" s="344"/>
      <c r="I3" s="344"/>
      <c r="J3" s="344"/>
    </row>
    <row r="4" spans="1:10" x14ac:dyDescent="0.2">
      <c r="A4" s="29" t="s">
        <v>735</v>
      </c>
      <c r="B4" s="344"/>
      <c r="C4" s="344"/>
      <c r="D4" s="344"/>
      <c r="E4" s="344"/>
      <c r="F4" s="344"/>
      <c r="G4" s="344"/>
      <c r="H4" s="344"/>
      <c r="I4" s="344"/>
      <c r="J4" s="344"/>
    </row>
    <row r="5" spans="1:10" x14ac:dyDescent="0.2">
      <c r="A5" s="29" t="str">
        <f>'GWStmtAct 68 Exh 2'!A3</f>
        <v>For the Year Ended June 30, 2025</v>
      </c>
      <c r="B5" s="344"/>
      <c r="C5" s="344"/>
      <c r="D5" s="344"/>
      <c r="E5" s="344"/>
      <c r="F5" s="344"/>
      <c r="G5" s="344"/>
      <c r="H5" s="344"/>
      <c r="I5" s="344"/>
      <c r="J5" s="344"/>
    </row>
    <row r="6" spans="1:10" ht="13.5" thickBot="1" x14ac:dyDescent="0.25">
      <c r="A6" s="525"/>
      <c r="B6" s="525"/>
      <c r="C6" s="525"/>
      <c r="D6" s="525"/>
      <c r="E6" s="525"/>
      <c r="F6" s="525"/>
      <c r="G6" s="525"/>
      <c r="H6" s="525"/>
      <c r="I6" s="525"/>
      <c r="J6" s="525"/>
    </row>
    <row r="7" spans="1:10" x14ac:dyDescent="0.2">
      <c r="A7" s="310"/>
      <c r="B7" s="310"/>
      <c r="C7" s="310"/>
      <c r="D7" s="310"/>
      <c r="E7" s="310"/>
      <c r="F7" s="310"/>
      <c r="G7" s="310"/>
      <c r="H7" s="310"/>
      <c r="I7" s="310"/>
      <c r="J7" s="310"/>
    </row>
    <row r="8" spans="1:10" ht="51" x14ac:dyDescent="0.2">
      <c r="A8" s="310"/>
      <c r="B8" s="310"/>
      <c r="C8" s="310"/>
      <c r="D8" s="310"/>
      <c r="E8" s="310"/>
      <c r="F8" s="473" t="s">
        <v>120</v>
      </c>
      <c r="G8" s="310"/>
      <c r="H8" s="473" t="s">
        <v>736</v>
      </c>
      <c r="I8" s="310"/>
      <c r="J8" s="473" t="s">
        <v>6</v>
      </c>
    </row>
    <row r="9" spans="1:10" x14ac:dyDescent="0.2">
      <c r="A9" s="310"/>
      <c r="B9" s="310"/>
      <c r="C9" s="310"/>
      <c r="D9" s="310"/>
      <c r="E9" s="310"/>
      <c r="F9" s="465"/>
      <c r="G9" s="310"/>
      <c r="H9" s="465"/>
      <c r="I9" s="310"/>
      <c r="J9" s="465"/>
    </row>
    <row r="10" spans="1:10" x14ac:dyDescent="0.2">
      <c r="A10" s="352" t="s">
        <v>741</v>
      </c>
      <c r="B10" s="310"/>
      <c r="C10" s="310"/>
      <c r="D10" s="310"/>
      <c r="E10" s="310"/>
      <c r="F10" s="310"/>
      <c r="G10" s="310"/>
      <c r="H10" s="310"/>
      <c r="I10" s="310"/>
      <c r="J10" s="310"/>
    </row>
    <row r="11" spans="1:10" x14ac:dyDescent="0.2">
      <c r="A11" s="310"/>
      <c r="B11" s="352" t="s">
        <v>300</v>
      </c>
      <c r="C11" s="310"/>
      <c r="D11" s="310"/>
      <c r="E11" s="310"/>
      <c r="F11" s="526">
        <v>101424</v>
      </c>
      <c r="G11" s="310"/>
      <c r="H11" s="526">
        <v>976068</v>
      </c>
      <c r="I11" s="352"/>
      <c r="J11" s="526">
        <f>H11+F11</f>
        <v>1077492</v>
      </c>
    </row>
    <row r="12" spans="1:10" x14ac:dyDescent="0.2">
      <c r="A12" s="310"/>
      <c r="B12" s="352"/>
      <c r="C12" s="310"/>
      <c r="D12" s="310"/>
      <c r="E12" s="310"/>
      <c r="F12" s="299"/>
      <c r="G12" s="310"/>
      <c r="H12" s="299"/>
      <c r="I12" s="352"/>
      <c r="J12" s="299"/>
    </row>
    <row r="13" spans="1:10" x14ac:dyDescent="0.2">
      <c r="A13" s="310"/>
      <c r="B13" s="352" t="s">
        <v>301</v>
      </c>
      <c r="C13" s="310"/>
      <c r="D13" s="310"/>
      <c r="E13" s="310"/>
      <c r="F13" s="310"/>
      <c r="G13" s="310"/>
      <c r="H13" s="310"/>
      <c r="I13" s="310"/>
      <c r="J13" s="310"/>
    </row>
    <row r="14" spans="1:10" x14ac:dyDescent="0.2">
      <c r="A14" s="310"/>
      <c r="B14" s="352"/>
      <c r="C14" s="310" t="s">
        <v>742</v>
      </c>
      <c r="D14" s="310"/>
      <c r="E14" s="310"/>
      <c r="F14" s="300"/>
      <c r="G14" s="310"/>
      <c r="H14" s="300"/>
      <c r="I14" s="310"/>
      <c r="J14" s="300"/>
    </row>
    <row r="15" spans="1:10" x14ac:dyDescent="0.2">
      <c r="A15" s="310"/>
      <c r="B15" s="352"/>
      <c r="C15" s="310" t="s">
        <v>743</v>
      </c>
      <c r="D15" s="310"/>
      <c r="E15" s="310"/>
      <c r="F15" s="300">
        <v>12147</v>
      </c>
      <c r="G15" s="310"/>
      <c r="H15" s="300">
        <v>81989</v>
      </c>
      <c r="I15" s="310"/>
      <c r="J15" s="300">
        <f>SUM(F15:H15)</f>
        <v>94136</v>
      </c>
    </row>
    <row r="16" spans="1:10" x14ac:dyDescent="0.2">
      <c r="A16" s="310"/>
      <c r="B16" s="352"/>
      <c r="C16" s="310" t="s">
        <v>159</v>
      </c>
      <c r="D16" s="310"/>
      <c r="E16" s="310"/>
      <c r="F16" s="325">
        <v>38984</v>
      </c>
      <c r="G16" s="310"/>
      <c r="H16" s="325">
        <v>0</v>
      </c>
      <c r="I16" s="310"/>
      <c r="J16" s="300">
        <f>SUM(F16:H16)</f>
        <v>38984</v>
      </c>
    </row>
    <row r="17" spans="1:10" x14ac:dyDescent="0.2">
      <c r="A17" s="310"/>
      <c r="B17" s="352"/>
      <c r="C17" s="310"/>
      <c r="D17" s="310"/>
      <c r="E17" s="310"/>
      <c r="F17" s="300">
        <v>51131</v>
      </c>
      <c r="G17" s="310"/>
      <c r="H17" s="300">
        <f>SUM(H15:H16)</f>
        <v>81989</v>
      </c>
      <c r="I17" s="310"/>
      <c r="J17" s="321">
        <f>SUM(F17:H17)</f>
        <v>133120</v>
      </c>
    </row>
    <row r="18" spans="1:10" x14ac:dyDescent="0.2">
      <c r="A18" s="310"/>
      <c r="B18" s="352"/>
      <c r="C18" s="310" t="s">
        <v>304</v>
      </c>
      <c r="D18" s="310"/>
      <c r="E18" s="310"/>
      <c r="F18" s="325">
        <v>438</v>
      </c>
      <c r="G18" s="310"/>
      <c r="H18" s="325">
        <v>0</v>
      </c>
      <c r="I18" s="310"/>
      <c r="J18" s="300">
        <f>SUM(F18:H18)</f>
        <v>438</v>
      </c>
    </row>
    <row r="19" spans="1:10" x14ac:dyDescent="0.2">
      <c r="A19" s="310"/>
      <c r="B19" s="352"/>
      <c r="C19" s="310" t="s">
        <v>744</v>
      </c>
      <c r="D19" s="310"/>
      <c r="E19" s="310"/>
      <c r="F19" s="350">
        <f>F17-F18</f>
        <v>50693</v>
      </c>
      <c r="G19" s="310"/>
      <c r="H19" s="350">
        <f>H17-H18</f>
        <v>81989</v>
      </c>
      <c r="I19" s="310"/>
      <c r="J19" s="527">
        <f>J17-J18</f>
        <v>132682</v>
      </c>
    </row>
    <row r="20" spans="1:10" x14ac:dyDescent="0.2">
      <c r="A20" s="310"/>
      <c r="B20" s="310"/>
      <c r="C20" s="352" t="s">
        <v>745</v>
      </c>
      <c r="D20" s="310"/>
      <c r="E20" s="310"/>
      <c r="F20" s="350">
        <f>F11+F19</f>
        <v>152117</v>
      </c>
      <c r="G20" s="310"/>
      <c r="H20" s="350">
        <f>H11+H19</f>
        <v>1058057</v>
      </c>
      <c r="I20" s="310"/>
      <c r="J20" s="350">
        <f>F20+H20</f>
        <v>1210174</v>
      </c>
    </row>
    <row r="21" spans="1:10" x14ac:dyDescent="0.2">
      <c r="A21" s="310"/>
      <c r="B21" s="310"/>
      <c r="C21" s="310"/>
      <c r="D21" s="310"/>
      <c r="E21" s="310"/>
      <c r="F21" s="299"/>
      <c r="G21" s="310"/>
      <c r="H21" s="299"/>
      <c r="I21" s="310"/>
      <c r="J21" s="299"/>
    </row>
    <row r="22" spans="1:10" x14ac:dyDescent="0.2">
      <c r="A22" s="352" t="s">
        <v>746</v>
      </c>
      <c r="B22" s="310"/>
      <c r="C22" s="310"/>
      <c r="D22" s="310"/>
      <c r="E22" s="310"/>
      <c r="F22" s="299"/>
      <c r="G22" s="310"/>
      <c r="H22" s="299"/>
      <c r="I22" s="310"/>
      <c r="J22" s="299"/>
    </row>
    <row r="23" spans="1:10" x14ac:dyDescent="0.2">
      <c r="A23" s="352"/>
      <c r="B23" s="352" t="s">
        <v>747</v>
      </c>
      <c r="C23" s="310"/>
      <c r="D23" s="310"/>
      <c r="E23" s="310"/>
      <c r="F23" s="300">
        <v>16585</v>
      </c>
      <c r="G23" s="310"/>
      <c r="H23" s="300">
        <v>805603</v>
      </c>
      <c r="I23" s="310"/>
      <c r="J23" s="300">
        <f>H23+F23</f>
        <v>822188</v>
      </c>
    </row>
    <row r="24" spans="1:10" x14ac:dyDescent="0.2">
      <c r="A24" s="310"/>
      <c r="B24" s="352" t="s">
        <v>311</v>
      </c>
      <c r="C24" s="310"/>
      <c r="D24" s="310"/>
      <c r="E24" s="310"/>
      <c r="F24" s="325">
        <v>941</v>
      </c>
      <c r="G24" s="310"/>
      <c r="H24" s="325">
        <v>0</v>
      </c>
      <c r="I24" s="310"/>
      <c r="J24" s="300">
        <f>H24+F24</f>
        <v>941</v>
      </c>
    </row>
    <row r="25" spans="1:10" x14ac:dyDescent="0.2">
      <c r="A25" s="310"/>
      <c r="B25" s="310"/>
      <c r="C25" s="352" t="s">
        <v>314</v>
      </c>
      <c r="D25" s="310"/>
      <c r="E25" s="310"/>
      <c r="F25" s="350">
        <f>SUM(F23:F24)</f>
        <v>17526</v>
      </c>
      <c r="G25" s="310"/>
      <c r="H25" s="350">
        <f>SUM(H23:H24)</f>
        <v>805603</v>
      </c>
      <c r="I25" s="310"/>
      <c r="J25" s="320">
        <f>SUM(J23:J24)</f>
        <v>823129</v>
      </c>
    </row>
    <row r="26" spans="1:10" x14ac:dyDescent="0.2">
      <c r="A26" s="310"/>
      <c r="B26" s="310"/>
      <c r="C26" s="310"/>
      <c r="D26" s="310"/>
      <c r="E26" s="310"/>
      <c r="F26" s="299"/>
      <c r="G26" s="310"/>
      <c r="H26" s="299"/>
      <c r="I26" s="310"/>
      <c r="J26" s="299"/>
    </row>
    <row r="27" spans="1:10" x14ac:dyDescent="0.2">
      <c r="A27" s="310"/>
      <c r="B27" s="310"/>
      <c r="C27" s="352" t="s">
        <v>94</v>
      </c>
      <c r="D27" s="310"/>
      <c r="E27" s="310"/>
      <c r="F27" s="299">
        <f>F20-F25</f>
        <v>134591</v>
      </c>
      <c r="G27" s="310"/>
      <c r="H27" s="299">
        <f>H20-H25</f>
        <v>252454</v>
      </c>
      <c r="I27" s="310"/>
      <c r="J27" s="299">
        <f>J20-J25</f>
        <v>387045</v>
      </c>
    </row>
    <row r="28" spans="1:10" x14ac:dyDescent="0.2">
      <c r="A28" s="310"/>
      <c r="B28" s="310"/>
      <c r="C28" s="310"/>
      <c r="D28" s="310"/>
      <c r="E28" s="310"/>
      <c r="F28" s="299"/>
      <c r="G28" s="310"/>
      <c r="H28" s="299"/>
      <c r="I28" s="310"/>
      <c r="J28" s="299"/>
    </row>
    <row r="29" spans="1:10" x14ac:dyDescent="0.2">
      <c r="A29" s="310"/>
      <c r="B29" s="310"/>
      <c r="C29" s="310"/>
      <c r="D29" s="310"/>
      <c r="E29" s="310"/>
      <c r="F29" s="299"/>
      <c r="G29" s="310"/>
      <c r="H29" s="299"/>
      <c r="I29" s="310"/>
      <c r="J29" s="299"/>
    </row>
    <row r="30" spans="1:10" x14ac:dyDescent="0.2">
      <c r="A30" s="310" t="s">
        <v>99</v>
      </c>
      <c r="B30" s="310"/>
      <c r="C30" s="352"/>
      <c r="D30" s="310"/>
      <c r="E30" s="310"/>
      <c r="F30" s="350">
        <v>893676</v>
      </c>
      <c r="G30" s="310"/>
      <c r="H30" s="350">
        <v>177747</v>
      </c>
      <c r="I30" s="310"/>
      <c r="J30" s="350">
        <f>F30+H30</f>
        <v>1071423</v>
      </c>
    </row>
    <row r="31" spans="1:10" ht="13.5" thickBot="1" x14ac:dyDescent="0.25">
      <c r="A31" s="310" t="s">
        <v>96</v>
      </c>
      <c r="B31" s="310"/>
      <c r="C31" s="352"/>
      <c r="D31" s="310"/>
      <c r="E31" s="310"/>
      <c r="F31" s="528">
        <f>F30+F27</f>
        <v>1028267</v>
      </c>
      <c r="G31" s="310"/>
      <c r="H31" s="528">
        <f>H30+H27</f>
        <v>430201</v>
      </c>
      <c r="I31" s="352"/>
      <c r="J31" s="528">
        <f>J30+J27</f>
        <v>1458468</v>
      </c>
    </row>
    <row r="32" spans="1:10" ht="13.5" thickTop="1" x14ac:dyDescent="0.2"/>
    <row r="50" spans="8:8" x14ac:dyDescent="0.2">
      <c r="H50" s="310"/>
    </row>
    <row r="51" spans="8:8" x14ac:dyDescent="0.2">
      <c r="H51" s="310"/>
    </row>
    <row r="52" spans="8:8" x14ac:dyDescent="0.2">
      <c r="H52" s="310"/>
    </row>
    <row r="53" spans="8:8" x14ac:dyDescent="0.2">
      <c r="H53" s="310"/>
    </row>
    <row r="54" spans="8:8" x14ac:dyDescent="0.2">
      <c r="H54" s="310"/>
    </row>
    <row r="55" spans="8:8" x14ac:dyDescent="0.2">
      <c r="H55" s="310"/>
    </row>
    <row r="71" spans="4:4" x14ac:dyDescent="0.2">
      <c r="D71" s="434"/>
    </row>
  </sheetData>
  <customSheetViews>
    <customSheetView guid="{E0C60316-4586-4AAF-92CB-FA82BB1EB755}" state="hidden">
      <selection activeCell="G37" sqref="G37"/>
      <pageMargins left="0" right="0" top="0" bottom="0" header="0" footer="0"/>
      <printOptions horizontalCentered="1"/>
      <pageSetup scale="86" firstPageNumber="134" fitToHeight="0" orientation="portrait" useFirstPageNumber="1" r:id="rId1"/>
      <headerFooter alignWithMargins="0"/>
    </customSheetView>
    <customSheetView guid="{A8748736-0722-49EB-85B6-C9B52DDCFE0E}" showPageBreaks="1" printArea="1" state="hidden">
      <pageMargins left="0.75" right="0.75" top="1" bottom="1" header="0.5" footer="0.5"/>
      <printOptions horizontalCentered="1"/>
      <pageSetup scale="86" firstPageNumber="134" fitToHeight="0" orientation="portrait" useFirstPageNumber="1" r:id="rId2"/>
      <headerFooter alignWithMargins="0"/>
    </customSheetView>
  </customSheetViews>
  <phoneticPr fontId="0" type="noConversion"/>
  <printOptions horizontalCentered="1"/>
  <pageMargins left="0.75" right="0.75" top="1" bottom="1" header="0.5" footer="0.5"/>
  <pageSetup scale="86" firstPageNumber="134" fitToHeight="0" orientation="portrait" useFirstPageNumber="1" r:id="rId3"/>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7" tint="0.39997558519241921"/>
    <pageSetUpPr fitToPage="1"/>
  </sheetPr>
  <dimension ref="A1:K29"/>
  <sheetViews>
    <sheetView topLeftCell="A12" workbookViewId="0">
      <selection activeCell="A26" sqref="A26:F26"/>
    </sheetView>
  </sheetViews>
  <sheetFormatPr defaultColWidth="9.140625" defaultRowHeight="12.75" x14ac:dyDescent="0.2"/>
  <cols>
    <col min="1" max="1" width="42.42578125" style="30" customWidth="1"/>
    <col min="2" max="2" width="15.7109375" style="30" customWidth="1"/>
    <col min="3" max="3" width="1.7109375" style="30" customWidth="1"/>
    <col min="4" max="4" width="15.7109375" style="30" customWidth="1"/>
    <col min="5" max="5" width="1.7109375" style="30" customWidth="1"/>
    <col min="6" max="6" width="15.7109375" style="30" customWidth="1"/>
    <col min="7" max="7" width="11.28515625" style="71" bestFit="1" customWidth="1"/>
    <col min="8" max="16384" width="9.140625" style="30"/>
  </cols>
  <sheetData>
    <row r="1" spans="1:7" x14ac:dyDescent="0.2">
      <c r="A1" s="1016" t="s">
        <v>0</v>
      </c>
      <c r="B1" s="1016"/>
      <c r="C1" s="1016"/>
      <c r="D1" s="1016"/>
      <c r="E1" s="1016"/>
      <c r="F1" s="1016"/>
      <c r="G1" s="370"/>
    </row>
    <row r="2" spans="1:7" x14ac:dyDescent="0.2">
      <c r="A2" s="1016" t="s">
        <v>734</v>
      </c>
      <c r="B2" s="1016"/>
      <c r="C2" s="1016"/>
      <c r="D2" s="1016"/>
      <c r="E2" s="1016"/>
      <c r="F2" s="1016"/>
      <c r="G2" s="370"/>
    </row>
    <row r="3" spans="1:7" x14ac:dyDescent="0.2">
      <c r="A3" s="1016" t="s">
        <v>289</v>
      </c>
      <c r="B3" s="1016"/>
      <c r="C3" s="1016"/>
      <c r="D3" s="1016"/>
      <c r="E3" s="1016"/>
      <c r="F3" s="1016"/>
      <c r="G3" s="370"/>
    </row>
    <row r="4" spans="1:7" x14ac:dyDescent="0.2">
      <c r="A4" s="1106" t="str">
        <f>'GWNetPos 68 Exh 1'!A3:J3</f>
        <v>June 30, 2025</v>
      </c>
      <c r="B4" s="1106"/>
      <c r="C4" s="1106"/>
      <c r="D4" s="1106"/>
      <c r="E4" s="1106"/>
      <c r="F4" s="1106"/>
      <c r="G4" s="370"/>
    </row>
    <row r="5" spans="1:7" x14ac:dyDescent="0.2">
      <c r="A5" s="668"/>
      <c r="B5" s="668"/>
      <c r="C5" s="668"/>
      <c r="D5" s="668"/>
      <c r="E5" s="668"/>
      <c r="F5" s="668"/>
      <c r="G5" s="370"/>
    </row>
    <row r="6" spans="1:7" x14ac:dyDescent="0.2">
      <c r="A6" s="26"/>
      <c r="B6" s="26"/>
      <c r="C6" s="26"/>
      <c r="D6" s="26"/>
      <c r="E6" s="26"/>
      <c r="F6" s="26"/>
      <c r="G6" s="370"/>
    </row>
    <row r="7" spans="1:7" ht="13.5" thickBot="1" x14ac:dyDescent="0.25">
      <c r="A7" s="680"/>
      <c r="B7" s="690"/>
      <c r="C7" s="690"/>
      <c r="D7" s="689"/>
      <c r="E7" s="689"/>
      <c r="F7" s="690"/>
      <c r="G7" s="370"/>
    </row>
    <row r="8" spans="1:7" ht="24" x14ac:dyDescent="0.2">
      <c r="A8" s="26"/>
      <c r="B8" s="91" t="s">
        <v>748</v>
      </c>
      <c r="C8" s="416"/>
      <c r="D8" s="91" t="s">
        <v>749</v>
      </c>
      <c r="E8" s="416"/>
      <c r="F8" s="91" t="s">
        <v>750</v>
      </c>
      <c r="G8" s="92"/>
    </row>
    <row r="9" spans="1:7" x14ac:dyDescent="0.2">
      <c r="A9" s="93" t="s">
        <v>10</v>
      </c>
      <c r="B9" s="26"/>
      <c r="C9" s="26"/>
      <c r="D9" s="26"/>
      <c r="E9" s="26"/>
      <c r="F9" s="26"/>
      <c r="G9" s="370"/>
    </row>
    <row r="10" spans="1:7" x14ac:dyDescent="0.2">
      <c r="A10" s="100" t="s">
        <v>11</v>
      </c>
      <c r="B10" s="94">
        <v>19156</v>
      </c>
      <c r="C10" s="417"/>
      <c r="D10" s="94">
        <v>49363</v>
      </c>
      <c r="E10" s="417"/>
      <c r="F10" s="94">
        <f>SUM(B10:D10)</f>
        <v>68519</v>
      </c>
      <c r="G10" s="370"/>
    </row>
    <row r="11" spans="1:7" x14ac:dyDescent="0.2">
      <c r="A11" s="100" t="s">
        <v>290</v>
      </c>
      <c r="B11" s="95">
        <v>4254001</v>
      </c>
      <c r="C11" s="96"/>
      <c r="D11" s="95">
        <v>0</v>
      </c>
      <c r="E11" s="96"/>
      <c r="F11" s="95">
        <f>SUM(B11:D11)</f>
        <v>4254001</v>
      </c>
      <c r="G11" s="370" t="s">
        <v>112</v>
      </c>
    </row>
    <row r="12" spans="1:7" x14ac:dyDescent="0.2">
      <c r="A12" s="101" t="s">
        <v>23</v>
      </c>
      <c r="B12" s="415">
        <f>SUM(B10:B11)</f>
        <v>4273157</v>
      </c>
      <c r="C12" s="114"/>
      <c r="D12" s="415">
        <f>SUM(D10:D11)</f>
        <v>49363</v>
      </c>
      <c r="E12" s="114"/>
      <c r="F12" s="415">
        <f>SUM(F10:F11)</f>
        <v>4322520</v>
      </c>
      <c r="G12" s="370"/>
    </row>
    <row r="13" spans="1:7" ht="12.75" customHeight="1" x14ac:dyDescent="0.2">
      <c r="A13" s="26"/>
      <c r="B13" s="26"/>
      <c r="C13" s="26"/>
      <c r="D13" s="26"/>
      <c r="E13" s="26"/>
      <c r="F13" s="26"/>
      <c r="G13" s="370"/>
    </row>
    <row r="14" spans="1:7" x14ac:dyDescent="0.2">
      <c r="A14" s="93" t="s">
        <v>25</v>
      </c>
      <c r="B14" s="26"/>
      <c r="C14" s="26"/>
      <c r="D14" s="26"/>
      <c r="E14" s="26"/>
      <c r="F14" s="26"/>
      <c r="G14" s="370"/>
    </row>
    <row r="15" spans="1:7" ht="12.75" customHeight="1" x14ac:dyDescent="0.2">
      <c r="A15" s="100" t="s">
        <v>564</v>
      </c>
      <c r="B15" s="95">
        <v>0</v>
      </c>
      <c r="C15" s="96"/>
      <c r="D15" s="95">
        <v>6298</v>
      </c>
      <c r="E15" s="96"/>
      <c r="F15" s="95">
        <f>SUM(B15:D15)</f>
        <v>6298</v>
      </c>
      <c r="G15" s="370"/>
    </row>
    <row r="16" spans="1:7" x14ac:dyDescent="0.2">
      <c r="A16" s="100" t="s">
        <v>28</v>
      </c>
      <c r="B16" s="95">
        <v>19156</v>
      </c>
      <c r="C16" s="96"/>
      <c r="D16" s="95">
        <v>0</v>
      </c>
      <c r="E16" s="96"/>
      <c r="F16" s="95">
        <f>SUM(B16:D16)</f>
        <v>19156</v>
      </c>
      <c r="G16" s="370"/>
    </row>
    <row r="17" spans="1:11" x14ac:dyDescent="0.2">
      <c r="A17" s="101" t="s">
        <v>35</v>
      </c>
      <c r="B17" s="102">
        <f>SUM(B15:B16)</f>
        <v>19156</v>
      </c>
      <c r="C17" s="96"/>
      <c r="D17" s="102">
        <f>SUM(D15:D16)</f>
        <v>6298</v>
      </c>
      <c r="E17" s="96"/>
      <c r="F17" s="102">
        <f>SUM(F15:F16)</f>
        <v>25454</v>
      </c>
      <c r="G17" s="370"/>
      <c r="H17" s="310"/>
      <c r="I17" s="310"/>
      <c r="J17" s="310"/>
      <c r="K17" s="310"/>
    </row>
    <row r="18" spans="1:11" ht="12.75" customHeight="1" x14ac:dyDescent="0.2">
      <c r="A18" s="101"/>
      <c r="B18" s="96"/>
      <c r="C18" s="96"/>
      <c r="D18" s="96"/>
      <c r="E18" s="96"/>
      <c r="F18" s="96"/>
      <c r="G18" s="370"/>
      <c r="H18" s="310"/>
      <c r="I18" s="310"/>
      <c r="J18" s="310"/>
      <c r="K18" s="310"/>
    </row>
    <row r="19" spans="1:11" x14ac:dyDescent="0.2">
      <c r="A19" s="93" t="s">
        <v>37</v>
      </c>
      <c r="B19" s="96"/>
      <c r="C19" s="96"/>
      <c r="D19" s="96"/>
      <c r="E19" s="96"/>
      <c r="F19" s="96"/>
      <c r="G19" s="370"/>
      <c r="H19" s="310"/>
      <c r="I19" s="310"/>
      <c r="J19" s="310"/>
      <c r="K19" s="310"/>
    </row>
    <row r="20" spans="1:11" x14ac:dyDescent="0.2">
      <c r="A20" s="100" t="s">
        <v>39</v>
      </c>
      <c r="B20" s="96"/>
      <c r="C20" s="96"/>
      <c r="D20" s="96"/>
      <c r="E20" s="96"/>
      <c r="F20" s="96"/>
      <c r="G20" s="370"/>
      <c r="H20" s="310"/>
      <c r="I20" s="310"/>
      <c r="J20" s="310"/>
      <c r="K20" s="310"/>
    </row>
    <row r="21" spans="1:11" x14ac:dyDescent="0.2">
      <c r="A21" s="100" t="s">
        <v>1001</v>
      </c>
      <c r="B21" s="97">
        <f>B12-B17</f>
        <v>4254001</v>
      </c>
      <c r="C21" s="96"/>
      <c r="D21" s="97">
        <f>D12-D17</f>
        <v>43065</v>
      </c>
      <c r="E21" s="96"/>
      <c r="F21" s="97">
        <f>SUM(B21:D21)</f>
        <v>4297066</v>
      </c>
      <c r="G21" s="370"/>
      <c r="H21" s="310"/>
      <c r="I21" s="310"/>
      <c r="J21" s="310"/>
      <c r="K21" s="310"/>
    </row>
    <row r="22" spans="1:11" ht="13.5" thickBot="1" x14ac:dyDescent="0.25">
      <c r="A22" s="101" t="s">
        <v>48</v>
      </c>
      <c r="B22" s="104">
        <f>SUM(B21)</f>
        <v>4254001</v>
      </c>
      <c r="C22" s="417"/>
      <c r="D22" s="104">
        <f>SUM(D21)</f>
        <v>43065</v>
      </c>
      <c r="E22" s="417"/>
      <c r="F22" s="104">
        <f>SUM(F21)</f>
        <v>4297066</v>
      </c>
      <c r="G22" s="370"/>
      <c r="H22" s="310"/>
      <c r="I22" s="310"/>
      <c r="J22" s="310"/>
      <c r="K22" s="310"/>
    </row>
    <row r="23" spans="1:11" ht="13.5" thickTop="1" x14ac:dyDescent="0.2"/>
    <row r="24" spans="1:11" ht="13.15" customHeight="1" x14ac:dyDescent="0.2">
      <c r="A24" s="310"/>
      <c r="B24" s="310"/>
      <c r="C24" s="310"/>
      <c r="D24" s="310"/>
      <c r="E24" s="310"/>
      <c r="F24" s="310"/>
      <c r="G24" s="370"/>
      <c r="H24" s="310"/>
      <c r="I24" s="310"/>
      <c r="J24" s="310"/>
      <c r="K24" s="310"/>
    </row>
    <row r="25" spans="1:11" ht="13.15" customHeight="1" x14ac:dyDescent="0.2">
      <c r="A25" s="310"/>
      <c r="B25" s="310"/>
      <c r="C25" s="310"/>
      <c r="D25" s="310"/>
      <c r="E25" s="310"/>
      <c r="F25" s="310"/>
      <c r="G25" s="370"/>
      <c r="H25" s="310"/>
      <c r="I25" s="310"/>
      <c r="J25" s="310"/>
      <c r="K25" s="310"/>
    </row>
    <row r="26" spans="1:11" ht="135" customHeight="1" x14ac:dyDescent="0.2">
      <c r="A26" s="1160" t="s">
        <v>1200</v>
      </c>
      <c r="B26" s="1161"/>
      <c r="C26" s="1161"/>
      <c r="D26" s="1161"/>
      <c r="E26" s="1161"/>
      <c r="F26" s="1162"/>
      <c r="G26" s="370"/>
      <c r="H26" s="310"/>
      <c r="I26" s="310"/>
      <c r="J26" s="310"/>
      <c r="K26" s="310"/>
    </row>
    <row r="27" spans="1:11" ht="14.25" customHeight="1" x14ac:dyDescent="0.2">
      <c r="A27" s="430"/>
      <c r="B27" s="431"/>
      <c r="C27" s="431"/>
      <c r="D27" s="431"/>
      <c r="E27" s="431"/>
      <c r="F27" s="431"/>
      <c r="G27" s="431"/>
      <c r="H27" s="431"/>
      <c r="I27" s="431"/>
      <c r="J27" s="431"/>
      <c r="K27" s="431"/>
    </row>
    <row r="28" spans="1:11" ht="118.5" customHeight="1" x14ac:dyDescent="0.2">
      <c r="A28" s="310"/>
      <c r="B28" s="310"/>
      <c r="C28" s="310"/>
      <c r="D28" s="310"/>
      <c r="E28" s="310"/>
      <c r="F28" s="310"/>
      <c r="G28" s="431"/>
      <c r="H28" s="431"/>
      <c r="I28" s="431"/>
      <c r="J28" s="431"/>
      <c r="K28" s="431"/>
    </row>
    <row r="29" spans="1:11" ht="49.5" customHeight="1" x14ac:dyDescent="0.2">
      <c r="A29" s="310"/>
      <c r="B29" s="310"/>
      <c r="C29" s="310"/>
      <c r="D29" s="310"/>
      <c r="E29" s="310"/>
      <c r="F29" s="384"/>
      <c r="G29" s="370"/>
      <c r="H29" s="310"/>
      <c r="I29" s="310"/>
      <c r="J29" s="310"/>
      <c r="K29" s="310"/>
    </row>
  </sheetData>
  <customSheetViews>
    <customSheetView guid="{A8748736-0722-49EB-85B6-C9B52DDCFE0E}" showPageBreaks="1" printArea="1">
      <selection activeCell="H14" sqref="H14"/>
      <pageMargins left="0.7" right="0.7" top="0.75" bottom="0.75" header="0.3" footer="0.3"/>
      <pageSetup orientation="portrait" verticalDpi="1200" r:id="rId1"/>
    </customSheetView>
  </customSheetViews>
  <mergeCells count="5">
    <mergeCell ref="A26:F26"/>
    <mergeCell ref="A1:F1"/>
    <mergeCell ref="A2:F2"/>
    <mergeCell ref="A3:F3"/>
    <mergeCell ref="A4:F4"/>
  </mergeCells>
  <pageMargins left="0.7" right="0.7" top="0.75" bottom="0.75" header="0.3" footer="0.3"/>
  <pageSetup scale="98" orientation="portrait" verticalDpi="1200"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7" tint="0.39997558519241921"/>
  </sheetPr>
  <dimension ref="A1:G27"/>
  <sheetViews>
    <sheetView workbookViewId="0">
      <selection activeCell="A6" sqref="A6"/>
    </sheetView>
  </sheetViews>
  <sheetFormatPr defaultColWidth="9.140625" defaultRowHeight="12.75" x14ac:dyDescent="0.2"/>
  <cols>
    <col min="1" max="1" width="40.140625" style="52" customWidth="1"/>
    <col min="2" max="2" width="14.140625" style="30" customWidth="1"/>
    <col min="3" max="3" width="1.7109375" style="30" customWidth="1"/>
    <col min="4" max="4" width="14.42578125" style="30" customWidth="1"/>
    <col min="5" max="5" width="1.7109375" style="30" customWidth="1"/>
    <col min="6" max="6" width="14.5703125" style="30" customWidth="1"/>
    <col min="7" max="7" width="10.28515625" style="71" bestFit="1" customWidth="1"/>
    <col min="8" max="16384" width="9.140625" style="30"/>
  </cols>
  <sheetData>
    <row r="1" spans="1:7" x14ac:dyDescent="0.2">
      <c r="A1" s="1016" t="s">
        <v>0</v>
      </c>
      <c r="B1" s="1016"/>
      <c r="C1" s="1016"/>
      <c r="D1" s="1016"/>
      <c r="E1" s="1016"/>
      <c r="F1" s="1016"/>
      <c r="G1" s="370"/>
    </row>
    <row r="2" spans="1:7" x14ac:dyDescent="0.2">
      <c r="A2" s="1016" t="s">
        <v>740</v>
      </c>
      <c r="B2" s="1016"/>
      <c r="C2" s="1016"/>
      <c r="D2" s="1016"/>
      <c r="E2" s="1016"/>
      <c r="F2" s="1016"/>
      <c r="G2" s="370"/>
    </row>
    <row r="3" spans="1:7" x14ac:dyDescent="0.2">
      <c r="A3" s="1016" t="s">
        <v>289</v>
      </c>
      <c r="B3" s="1016"/>
      <c r="C3" s="1016"/>
      <c r="D3" s="1016"/>
      <c r="E3" s="1016"/>
      <c r="F3" s="1016"/>
      <c r="G3" s="370"/>
    </row>
    <row r="4" spans="1:7" x14ac:dyDescent="0.2">
      <c r="A4" s="1016" t="str">
        <f>'GWStmtAct 68 Exh 2'!A3</f>
        <v>For the Year Ended June 30, 2025</v>
      </c>
      <c r="B4" s="1016"/>
      <c r="C4" s="1016"/>
      <c r="D4" s="1016"/>
      <c r="E4" s="1016"/>
      <c r="F4" s="1016"/>
      <c r="G4" s="370"/>
    </row>
    <row r="5" spans="1:7" x14ac:dyDescent="0.2">
      <c r="A5" s="666"/>
      <c r="B5" s="666"/>
      <c r="C5" s="666"/>
      <c r="D5" s="666"/>
      <c r="E5" s="666"/>
      <c r="F5" s="666"/>
      <c r="G5" s="370"/>
    </row>
    <row r="6" spans="1:7" x14ac:dyDescent="0.2">
      <c r="A6" s="107"/>
      <c r="B6" s="26"/>
      <c r="C6" s="26"/>
      <c r="D6" s="26"/>
      <c r="E6" s="26"/>
      <c r="F6" s="26"/>
      <c r="G6" s="370"/>
    </row>
    <row r="7" spans="1:7" ht="13.5" thickBot="1" x14ac:dyDescent="0.25">
      <c r="A7" s="688" t="s">
        <v>112</v>
      </c>
      <c r="B7" s="689"/>
      <c r="C7" s="689"/>
      <c r="D7" s="690"/>
      <c r="E7" s="690"/>
      <c r="F7" s="690"/>
      <c r="G7" s="370"/>
    </row>
    <row r="8" spans="1:7" ht="24" x14ac:dyDescent="0.2">
      <c r="A8" s="107"/>
      <c r="B8" s="91" t="s">
        <v>748</v>
      </c>
      <c r="C8" s="416"/>
      <c r="D8" s="91" t="s">
        <v>749</v>
      </c>
      <c r="E8" s="416"/>
      <c r="F8" s="91" t="s">
        <v>750</v>
      </c>
      <c r="G8" s="62"/>
    </row>
    <row r="9" spans="1:7" x14ac:dyDescent="0.2">
      <c r="A9" s="106" t="s">
        <v>299</v>
      </c>
      <c r="B9" s="26"/>
      <c r="C9" s="26"/>
      <c r="D9" s="26"/>
      <c r="E9" s="26"/>
      <c r="F9" s="26"/>
      <c r="G9" s="370"/>
    </row>
    <row r="10" spans="1:7" ht="15.6" customHeight="1" x14ac:dyDescent="0.2">
      <c r="A10" s="99" t="s">
        <v>751</v>
      </c>
      <c r="B10" s="94">
        <f>27854678-60578</f>
        <v>27794100</v>
      </c>
      <c r="C10" s="417"/>
      <c r="D10" s="94">
        <v>0</v>
      </c>
      <c r="E10" s="417"/>
      <c r="F10" s="94">
        <f>SUM(B10:D10)</f>
        <v>27794100</v>
      </c>
      <c r="G10" s="370"/>
    </row>
    <row r="11" spans="1:7" x14ac:dyDescent="0.2">
      <c r="A11" s="99" t="s">
        <v>307</v>
      </c>
      <c r="B11" s="96">
        <v>0</v>
      </c>
      <c r="C11" s="96"/>
      <c r="D11" s="96">
        <v>624369</v>
      </c>
      <c r="E11" s="96"/>
      <c r="F11" s="96">
        <f>SUM(B11:D11)</f>
        <v>624369</v>
      </c>
      <c r="G11" s="370"/>
    </row>
    <row r="12" spans="1:7" x14ac:dyDescent="0.2">
      <c r="A12" s="108" t="s">
        <v>1002</v>
      </c>
      <c r="B12" s="102">
        <f>SUM(B10:B11)</f>
        <v>27794100</v>
      </c>
      <c r="C12" s="96"/>
      <c r="D12" s="102">
        <f>SUM(D10:D11)</f>
        <v>624369</v>
      </c>
      <c r="E12" s="96"/>
      <c r="F12" s="102">
        <f>SUM(F10:G11)</f>
        <v>28418469</v>
      </c>
      <c r="G12" s="370"/>
    </row>
    <row r="13" spans="1:7" x14ac:dyDescent="0.2">
      <c r="A13" s="107"/>
      <c r="B13" s="95"/>
      <c r="C13" s="96"/>
      <c r="D13" s="95"/>
      <c r="E13" s="96"/>
      <c r="F13" s="95"/>
      <c r="G13" s="370"/>
    </row>
    <row r="14" spans="1:7" x14ac:dyDescent="0.2">
      <c r="A14" s="106" t="s">
        <v>309</v>
      </c>
      <c r="B14" s="95"/>
      <c r="C14" s="96"/>
      <c r="D14" s="95"/>
      <c r="E14" s="96"/>
      <c r="F14" s="95"/>
      <c r="G14" s="310"/>
    </row>
    <row r="15" spans="1:7" ht="15.6" customHeight="1" x14ac:dyDescent="0.2">
      <c r="A15" s="99" t="s">
        <v>312</v>
      </c>
      <c r="B15" s="95">
        <f>27854678-69245</f>
        <v>27785433</v>
      </c>
      <c r="C15" s="96"/>
      <c r="D15" s="95">
        <v>0</v>
      </c>
      <c r="E15" s="96"/>
      <c r="F15" s="95">
        <f>SUM(B15:D15)</f>
        <v>27785433</v>
      </c>
      <c r="G15" s="310"/>
    </row>
    <row r="16" spans="1:7" x14ac:dyDescent="0.2">
      <c r="A16" s="99" t="s">
        <v>313</v>
      </c>
      <c r="B16" s="95">
        <v>0</v>
      </c>
      <c r="C16" s="96"/>
      <c r="D16" s="95">
        <v>617557</v>
      </c>
      <c r="E16" s="96"/>
      <c r="F16" s="95">
        <f>SUM(B16:D16)</f>
        <v>617557</v>
      </c>
      <c r="G16" s="310"/>
    </row>
    <row r="17" spans="1:7" x14ac:dyDescent="0.2">
      <c r="A17" s="108" t="s">
        <v>1003</v>
      </c>
      <c r="B17" s="102">
        <f>SUM(B15:B16)</f>
        <v>27785433</v>
      </c>
      <c r="C17" s="96"/>
      <c r="D17" s="102">
        <f>SUM(D15:D16)</f>
        <v>617557</v>
      </c>
      <c r="E17" s="96"/>
      <c r="F17" s="102">
        <f>SUM(B17:D17)</f>
        <v>28402990</v>
      </c>
      <c r="G17" s="310"/>
    </row>
    <row r="18" spans="1:7" ht="12.75" customHeight="1" x14ac:dyDescent="0.2">
      <c r="A18" s="99"/>
      <c r="B18" s="96"/>
      <c r="C18" s="96"/>
      <c r="D18" s="96"/>
      <c r="E18" s="96"/>
      <c r="F18" s="96"/>
      <c r="G18" s="310"/>
    </row>
    <row r="19" spans="1:7" ht="12.75" customHeight="1" x14ac:dyDescent="0.2">
      <c r="A19" s="99" t="s">
        <v>999</v>
      </c>
      <c r="B19" s="96">
        <f>B12-B17</f>
        <v>8667</v>
      </c>
      <c r="C19" s="96"/>
      <c r="D19" s="96">
        <f>D12-D17</f>
        <v>6812</v>
      </c>
      <c r="E19" s="96"/>
      <c r="F19" s="96">
        <f>F12-F17</f>
        <v>15479</v>
      </c>
      <c r="G19" s="310"/>
    </row>
    <row r="20" spans="1:7" ht="12.75" customHeight="1" x14ac:dyDescent="0.2">
      <c r="A20" s="99"/>
      <c r="B20" s="96"/>
      <c r="C20" s="96"/>
      <c r="D20" s="96"/>
      <c r="E20" s="96"/>
      <c r="F20" s="96"/>
      <c r="G20" s="310"/>
    </row>
    <row r="21" spans="1:7" x14ac:dyDescent="0.2">
      <c r="A21" s="106" t="s">
        <v>37</v>
      </c>
      <c r="B21" s="95"/>
      <c r="C21" s="96"/>
      <c r="D21" s="95"/>
      <c r="E21" s="96"/>
      <c r="F21" s="95"/>
      <c r="G21" s="310"/>
    </row>
    <row r="22" spans="1:7" x14ac:dyDescent="0.2">
      <c r="A22" s="99" t="s">
        <v>997</v>
      </c>
      <c r="B22" s="97">
        <v>4245334</v>
      </c>
      <c r="C22" s="96"/>
      <c r="D22" s="97">
        <v>36253</v>
      </c>
      <c r="E22" s="96"/>
      <c r="F22" s="97">
        <f>SUM(B22:D22)</f>
        <v>4281587</v>
      </c>
      <c r="G22" s="310"/>
    </row>
    <row r="23" spans="1:7" ht="13.5" thickBot="1" x14ac:dyDescent="0.25">
      <c r="A23" s="99" t="s">
        <v>998</v>
      </c>
      <c r="B23" s="98">
        <f>SUM(B19:B22)</f>
        <v>4254001</v>
      </c>
      <c r="C23" s="417"/>
      <c r="D23" s="98">
        <f>SUM(D19:D22)</f>
        <v>43065</v>
      </c>
      <c r="E23" s="417"/>
      <c r="F23" s="98">
        <f>SUM(F19:F22)</f>
        <v>4297066</v>
      </c>
      <c r="G23" s="310"/>
    </row>
    <row r="24" spans="1:7" ht="13.5" thickTop="1" x14ac:dyDescent="0.2">
      <c r="A24" s="107"/>
      <c r="B24" s="417"/>
      <c r="C24" s="417"/>
      <c r="D24" s="417"/>
      <c r="E24" s="417"/>
      <c r="F24" s="417"/>
      <c r="G24" s="310"/>
    </row>
    <row r="25" spans="1:7" x14ac:dyDescent="0.2">
      <c r="A25" s="107"/>
      <c r="B25" s="26"/>
      <c r="C25" s="26"/>
      <c r="D25" s="26"/>
      <c r="E25" s="26"/>
      <c r="F25" s="26"/>
      <c r="G25" s="310"/>
    </row>
    <row r="26" spans="1:7" ht="13.5" thickBot="1" x14ac:dyDescent="0.25">
      <c r="A26" s="439"/>
      <c r="B26" s="310"/>
      <c r="C26" s="310"/>
      <c r="D26" s="310"/>
      <c r="E26" s="310"/>
      <c r="F26" s="310"/>
      <c r="G26" s="370"/>
    </row>
    <row r="27" spans="1:7" ht="117" customHeight="1" thickBot="1" x14ac:dyDescent="0.25">
      <c r="A27" s="1116" t="s">
        <v>1000</v>
      </c>
      <c r="B27" s="1117"/>
      <c r="C27" s="1117"/>
      <c r="D27" s="1117"/>
      <c r="E27" s="1117"/>
      <c r="F27" s="1118"/>
      <c r="G27" s="370"/>
    </row>
  </sheetData>
  <customSheetViews>
    <customSheetView guid="{A8748736-0722-49EB-85B6-C9B52DDCFE0E}">
      <selection activeCell="G52" sqref="G52"/>
      <pageMargins left="0.7" right="0.7" top="0.75" bottom="0.75" header="0.3" footer="0.3"/>
      <pageSetup orientation="portrait" verticalDpi="0" r:id="rId1"/>
    </customSheetView>
  </customSheetViews>
  <mergeCells count="5">
    <mergeCell ref="A27:F27"/>
    <mergeCell ref="A1:F1"/>
    <mergeCell ref="A2:F2"/>
    <mergeCell ref="A3:F3"/>
    <mergeCell ref="A4:F4"/>
  </mergeCell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L69"/>
  <sheetViews>
    <sheetView workbookViewId="0">
      <selection activeCell="D14" sqref="D14"/>
    </sheetView>
  </sheetViews>
  <sheetFormatPr defaultColWidth="9.140625" defaultRowHeight="12.75" x14ac:dyDescent="0.2"/>
  <cols>
    <col min="1" max="1" width="30.7109375" style="310" customWidth="1"/>
    <col min="2" max="2" width="13.42578125" style="310" customWidth="1"/>
    <col min="3" max="3" width="1.7109375" style="310" customWidth="1"/>
    <col min="4" max="4" width="13.42578125" style="310" customWidth="1"/>
    <col min="5" max="5" width="1.7109375" style="310" customWidth="1"/>
    <col min="6" max="6" width="13.42578125" style="310" customWidth="1"/>
    <col min="7" max="7" width="1.7109375" style="310" customWidth="1"/>
    <col min="8" max="8" width="13.85546875" style="310" customWidth="1"/>
    <col min="9" max="9" width="1.7109375" style="310" customWidth="1"/>
    <col min="10" max="10" width="14.140625" style="310" customWidth="1"/>
    <col min="11" max="11" width="16.5703125" style="310" bestFit="1" customWidth="1"/>
    <col min="12" max="16384" width="9.140625" style="310"/>
  </cols>
  <sheetData>
    <row r="1" spans="1:12" x14ac:dyDescent="0.2">
      <c r="A1" s="990" t="s">
        <v>0</v>
      </c>
      <c r="B1" s="990"/>
      <c r="C1" s="990"/>
      <c r="D1" s="990"/>
      <c r="E1" s="990"/>
      <c r="F1" s="990"/>
      <c r="G1" s="990"/>
      <c r="H1" s="990"/>
      <c r="I1" s="990"/>
      <c r="J1" s="990"/>
    </row>
    <row r="2" spans="1:12" x14ac:dyDescent="0.2">
      <c r="A2" s="990" t="s">
        <v>139</v>
      </c>
      <c r="B2" s="990"/>
      <c r="C2" s="990"/>
      <c r="D2" s="990"/>
      <c r="E2" s="990"/>
      <c r="F2" s="990"/>
      <c r="G2" s="990"/>
      <c r="H2" s="990"/>
      <c r="I2" s="990"/>
      <c r="J2" s="990"/>
    </row>
    <row r="3" spans="1:12" x14ac:dyDescent="0.2">
      <c r="A3" s="990" t="s">
        <v>102</v>
      </c>
      <c r="B3" s="990"/>
      <c r="C3" s="990"/>
      <c r="D3" s="990"/>
      <c r="E3" s="990"/>
      <c r="F3" s="990"/>
      <c r="G3" s="990"/>
      <c r="H3" s="990"/>
      <c r="I3" s="990"/>
      <c r="J3" s="990"/>
    </row>
    <row r="4" spans="1:12" x14ac:dyDescent="0.2">
      <c r="A4" s="990" t="str">
        <f>'GWStmtAct 68 Exh 2'!A3</f>
        <v>For the Year Ended June 30, 2025</v>
      </c>
      <c r="B4" s="990"/>
      <c r="C4" s="990"/>
      <c r="D4" s="990"/>
      <c r="E4" s="990"/>
      <c r="F4" s="990"/>
      <c r="G4" s="990"/>
      <c r="H4" s="990"/>
      <c r="I4" s="990"/>
      <c r="J4" s="990"/>
    </row>
    <row r="5" spans="1:12" x14ac:dyDescent="0.2">
      <c r="A5" s="34"/>
      <c r="B5" s="34"/>
      <c r="C5" s="34"/>
      <c r="D5" s="34"/>
      <c r="E5" s="34"/>
      <c r="F5" s="34"/>
      <c r="G5" s="34"/>
      <c r="H5" s="34"/>
      <c r="I5" s="34"/>
      <c r="J5" s="434" t="s">
        <v>138</v>
      </c>
    </row>
    <row r="6" spans="1:12" ht="12.75" customHeight="1" thickBot="1" x14ac:dyDescent="0.25">
      <c r="A6" s="679"/>
      <c r="B6" s="679"/>
      <c r="C6" s="679"/>
      <c r="D6" s="679"/>
      <c r="E6" s="679"/>
      <c r="F6" s="679"/>
      <c r="G6" s="679"/>
      <c r="H6" s="679"/>
      <c r="I6" s="679"/>
      <c r="J6" s="679"/>
    </row>
    <row r="7" spans="1:12" x14ac:dyDescent="0.2">
      <c r="B7" s="989" t="s">
        <v>103</v>
      </c>
      <c r="C7" s="989"/>
      <c r="D7" s="989"/>
      <c r="E7" s="989"/>
      <c r="F7" s="1008"/>
      <c r="G7" s="845"/>
      <c r="H7" s="283" t="s">
        <v>104</v>
      </c>
      <c r="I7" s="34"/>
    </row>
    <row r="8" spans="1:12" ht="38.25" x14ac:dyDescent="0.2">
      <c r="A8" s="745"/>
      <c r="B8" s="835" t="s">
        <v>140</v>
      </c>
      <c r="C8" s="846"/>
      <c r="D8" s="835" t="str">
        <f>+'Balance Sheet Exh 3'!D8</f>
        <v>American Rescue Plan Fund</v>
      </c>
      <c r="E8" s="846"/>
      <c r="F8" s="835" t="s">
        <v>556</v>
      </c>
      <c r="G8" s="846"/>
      <c r="H8" s="835" t="s">
        <v>106</v>
      </c>
      <c r="I8" s="846"/>
      <c r="J8" s="835" t="s">
        <v>6</v>
      </c>
    </row>
    <row r="9" spans="1:12" x14ac:dyDescent="0.2">
      <c r="A9" s="759" t="s">
        <v>141</v>
      </c>
      <c r="B9" s="745"/>
      <c r="C9" s="745"/>
      <c r="D9" s="745"/>
      <c r="E9" s="745"/>
      <c r="F9" s="745"/>
      <c r="G9" s="745"/>
      <c r="H9" s="745"/>
      <c r="I9" s="745"/>
      <c r="J9" s="745"/>
    </row>
    <row r="10" spans="1:12" x14ac:dyDescent="0.2">
      <c r="A10" s="745" t="s">
        <v>142</v>
      </c>
      <c r="B10" s="836">
        <f>+'GF-BudAct Exh 6'!I10</f>
        <v>55132894</v>
      </c>
      <c r="C10" s="836"/>
      <c r="D10" s="836">
        <v>0</v>
      </c>
      <c r="E10" s="836"/>
      <c r="F10" s="836">
        <v>0</v>
      </c>
      <c r="G10" s="836"/>
      <c r="H10" s="836">
        <f>+'Com Rev, Exp-Nonmajor'!T10</f>
        <v>20861</v>
      </c>
      <c r="I10" s="836"/>
      <c r="J10" s="836">
        <f>SUM(B10:H10)</f>
        <v>55153755</v>
      </c>
      <c r="K10" s="332"/>
    </row>
    <row r="11" spans="1:12" x14ac:dyDescent="0.2">
      <c r="A11" s="745" t="s">
        <v>143</v>
      </c>
      <c r="B11" s="768">
        <f>+'GF-BudAct Exh 6'!I11</f>
        <v>12849824</v>
      </c>
      <c r="C11" s="768"/>
      <c r="D11" s="768">
        <v>0</v>
      </c>
      <c r="E11" s="768"/>
      <c r="F11" s="768">
        <v>0</v>
      </c>
      <c r="G11" s="768"/>
      <c r="H11" s="768">
        <f>+'Com Rev, Exp-Nonmajor'!T11</f>
        <v>376400</v>
      </c>
      <c r="I11" s="768"/>
      <c r="J11" s="768">
        <f>SUM(B11:H11)</f>
        <v>13226224</v>
      </c>
    </row>
    <row r="12" spans="1:12" x14ac:dyDescent="0.2">
      <c r="A12" s="745" t="s">
        <v>85</v>
      </c>
      <c r="B12" s="768">
        <f>+'GF-BudAct Exh 6'!I12</f>
        <v>230360</v>
      </c>
      <c r="C12" s="768"/>
      <c r="D12" s="768">
        <v>0</v>
      </c>
      <c r="E12" s="768"/>
      <c r="F12" s="768">
        <v>0</v>
      </c>
      <c r="G12" s="768"/>
      <c r="H12" s="768">
        <v>0</v>
      </c>
      <c r="I12" s="768"/>
      <c r="J12" s="768">
        <f t="shared" ref="J12:J18" si="0">SUM(B12:H12)</f>
        <v>230360</v>
      </c>
      <c r="K12" s="332"/>
    </row>
    <row r="13" spans="1:12" x14ac:dyDescent="0.2">
      <c r="A13" s="745" t="s">
        <v>144</v>
      </c>
      <c r="B13" s="768">
        <f>+'GF-BudAct Exh 6'!I13</f>
        <v>145522</v>
      </c>
      <c r="C13" s="768"/>
      <c r="D13" s="768">
        <v>0</v>
      </c>
      <c r="E13" s="768"/>
      <c r="F13" s="768">
        <v>0</v>
      </c>
      <c r="G13" s="768"/>
      <c r="H13" s="768">
        <v>0</v>
      </c>
      <c r="I13" s="768"/>
      <c r="J13" s="768">
        <f t="shared" si="0"/>
        <v>145522</v>
      </c>
    </row>
    <row r="14" spans="1:12" x14ac:dyDescent="0.2">
      <c r="A14" s="745" t="s">
        <v>145</v>
      </c>
      <c r="B14" s="768">
        <f>+'GF-BudAct Exh 6'!I14</f>
        <v>14057550</v>
      </c>
      <c r="C14" s="768"/>
      <c r="D14" s="768">
        <v>2260000</v>
      </c>
      <c r="E14" s="745"/>
      <c r="F14" s="768">
        <v>0</v>
      </c>
      <c r="G14" s="745"/>
      <c r="H14" s="459">
        <f>+'Com Rev, Exp-Nonmajor'!T12</f>
        <v>1321141</v>
      </c>
      <c r="I14" s="768"/>
      <c r="J14" s="768">
        <f t="shared" si="0"/>
        <v>17638691</v>
      </c>
      <c r="K14" s="332"/>
      <c r="L14" s="302"/>
    </row>
    <row r="15" spans="1:12" x14ac:dyDescent="0.2">
      <c r="A15" s="745" t="s">
        <v>146</v>
      </c>
      <c r="B15" s="768">
        <f>+'GF-BudAct Exh 6'!I15</f>
        <v>445049</v>
      </c>
      <c r="C15" s="768"/>
      <c r="D15" s="768">
        <v>0</v>
      </c>
      <c r="E15" s="768"/>
      <c r="F15" s="768">
        <v>0</v>
      </c>
      <c r="G15" s="768"/>
      <c r="H15" s="459">
        <f>+'Com Rev, Exp-Nonmajor'!T13</f>
        <v>494500</v>
      </c>
      <c r="I15" s="768"/>
      <c r="J15" s="768">
        <f t="shared" si="0"/>
        <v>939549</v>
      </c>
    </row>
    <row r="16" spans="1:12" x14ac:dyDescent="0.2">
      <c r="A16" s="745" t="s">
        <v>147</v>
      </c>
      <c r="B16" s="768">
        <f>+'GF-BudAct Exh 6'!I16</f>
        <v>1165426</v>
      </c>
      <c r="C16" s="768"/>
      <c r="D16" s="768">
        <v>0</v>
      </c>
      <c r="E16" s="768"/>
      <c r="F16" s="768">
        <v>0</v>
      </c>
      <c r="G16" s="768"/>
      <c r="H16" s="459">
        <v>0</v>
      </c>
      <c r="I16" s="768"/>
      <c r="J16" s="768">
        <f t="shared" si="0"/>
        <v>1165426</v>
      </c>
      <c r="L16" s="302"/>
    </row>
    <row r="17" spans="1:12" x14ac:dyDescent="0.2">
      <c r="A17" s="745" t="s">
        <v>955</v>
      </c>
      <c r="B17" s="768">
        <v>0</v>
      </c>
      <c r="C17" s="768"/>
      <c r="D17" s="768">
        <v>0</v>
      </c>
      <c r="E17" s="768"/>
      <c r="F17" s="768">
        <f>+'Opioid-BudAct Exh 8'!G10</f>
        <v>540000</v>
      </c>
      <c r="G17" s="768"/>
      <c r="H17" s="768">
        <v>0</v>
      </c>
      <c r="I17" s="768"/>
      <c r="J17" s="768">
        <f t="shared" si="0"/>
        <v>540000</v>
      </c>
    </row>
    <row r="18" spans="1:12" x14ac:dyDescent="0.2">
      <c r="A18" s="745" t="s">
        <v>148</v>
      </c>
      <c r="B18" s="768">
        <f>+'GF-BudAct Exh 6'!I17+'GF-BudAct Exh 6'!I63</f>
        <v>1614828</v>
      </c>
      <c r="C18" s="768"/>
      <c r="D18" s="768">
        <v>0</v>
      </c>
      <c r="E18" s="768"/>
      <c r="F18" s="768">
        <v>0</v>
      </c>
      <c r="G18" s="768"/>
      <c r="H18" s="459">
        <f>+'Com Rev, Exp-Nonmajor'!T15</f>
        <v>54237</v>
      </c>
      <c r="I18" s="768"/>
      <c r="J18" s="768">
        <f t="shared" si="0"/>
        <v>1669065</v>
      </c>
      <c r="L18" s="302"/>
    </row>
    <row r="19" spans="1:12" x14ac:dyDescent="0.2">
      <c r="A19" s="745" t="s">
        <v>149</v>
      </c>
      <c r="B19" s="765">
        <f>+'GF-BudAct Exh 6'!I18</f>
        <v>632541</v>
      </c>
      <c r="C19" s="709"/>
      <c r="D19" s="765">
        <v>0</v>
      </c>
      <c r="E19" s="709"/>
      <c r="F19" s="765">
        <v>0</v>
      </c>
      <c r="G19" s="709"/>
      <c r="H19" s="765">
        <f>+'Com Rev, Exp-Nonmajor'!T16</f>
        <v>70000</v>
      </c>
      <c r="I19" s="709"/>
      <c r="J19" s="765">
        <f>SUM(B19:H19)</f>
        <v>702541</v>
      </c>
    </row>
    <row r="20" spans="1:12" x14ac:dyDescent="0.2">
      <c r="A20" s="837" t="s">
        <v>150</v>
      </c>
      <c r="B20" s="766">
        <f>SUM(B10:B19)</f>
        <v>86273994</v>
      </c>
      <c r="C20" s="709"/>
      <c r="D20" s="766">
        <f>SUM(D10:D19)</f>
        <v>2260000</v>
      </c>
      <c r="E20" s="709"/>
      <c r="F20" s="766">
        <f>SUM(F10:F19)</f>
        <v>540000</v>
      </c>
      <c r="G20" s="709"/>
      <c r="H20" s="610">
        <f>SUM(H10:H19)</f>
        <v>2337139</v>
      </c>
      <c r="I20" s="709"/>
      <c r="J20" s="766">
        <f>SUM(J10:J19)</f>
        <v>91411133</v>
      </c>
      <c r="L20" s="302"/>
    </row>
    <row r="21" spans="1:12" x14ac:dyDescent="0.2">
      <c r="A21" s="745"/>
      <c r="B21" s="768"/>
      <c r="C21" s="768"/>
      <c r="D21" s="768"/>
      <c r="E21" s="768"/>
      <c r="F21" s="768"/>
      <c r="G21" s="768"/>
      <c r="H21" s="768"/>
      <c r="I21" s="768"/>
      <c r="J21" s="768"/>
      <c r="L21" s="302"/>
    </row>
    <row r="22" spans="1:12" x14ac:dyDescent="0.2">
      <c r="A22" s="759" t="s">
        <v>151</v>
      </c>
      <c r="B22" s="768"/>
      <c r="C22" s="768"/>
      <c r="D22" s="768"/>
      <c r="E22" s="768"/>
      <c r="F22" s="768"/>
      <c r="G22" s="768"/>
      <c r="H22" s="768"/>
      <c r="I22" s="768"/>
      <c r="J22" s="768"/>
    </row>
    <row r="23" spans="1:12" x14ac:dyDescent="0.2">
      <c r="A23" s="745" t="s">
        <v>152</v>
      </c>
      <c r="B23" s="768"/>
      <c r="C23" s="768"/>
      <c r="D23" s="768"/>
      <c r="E23" s="768"/>
      <c r="F23" s="768"/>
      <c r="G23" s="768"/>
      <c r="H23" s="768"/>
      <c r="I23" s="768"/>
      <c r="J23" s="768"/>
    </row>
    <row r="24" spans="1:12" x14ac:dyDescent="0.2">
      <c r="A24" s="838" t="s">
        <v>65</v>
      </c>
      <c r="B24" s="768">
        <f>+'GF-BudAct Exh 6'!I23-'GF-BudAct Exh 6'!I65</f>
        <v>9095552</v>
      </c>
      <c r="C24" s="768"/>
      <c r="D24" s="768">
        <f>+'SR-BA8 (ARP)'!J19</f>
        <v>2260000</v>
      </c>
      <c r="E24" s="768"/>
      <c r="F24" s="768">
        <v>0</v>
      </c>
      <c r="G24" s="768"/>
      <c r="H24" s="459">
        <f>+'Com Rev, Exp-Nonmajor'!T21</f>
        <v>12600</v>
      </c>
      <c r="I24" s="768"/>
      <c r="J24" s="459">
        <f>SUM(B24:H24)</f>
        <v>11368152</v>
      </c>
      <c r="K24" s="326"/>
      <c r="L24" s="302"/>
    </row>
    <row r="25" spans="1:12" x14ac:dyDescent="0.2">
      <c r="A25" s="838" t="s">
        <v>40</v>
      </c>
      <c r="B25" s="768">
        <f>+'GF-BudAct Exh 6'!I24</f>
        <v>7179720</v>
      </c>
      <c r="C25" s="768"/>
      <c r="D25" s="768">
        <v>0</v>
      </c>
      <c r="E25" s="768"/>
      <c r="F25" s="768">
        <v>0</v>
      </c>
      <c r="G25" s="768"/>
      <c r="H25" s="768">
        <f>+'Com Rev, Exp-Nonmajor'!T22</f>
        <v>96663</v>
      </c>
      <c r="I25" s="768"/>
      <c r="J25" s="768">
        <f t="shared" ref="J25:J33" si="1">SUM(B25:H25)</f>
        <v>7276383</v>
      </c>
    </row>
    <row r="26" spans="1:12" x14ac:dyDescent="0.2">
      <c r="A26" s="838" t="s">
        <v>66</v>
      </c>
      <c r="B26" s="768">
        <f>+'GF-BudAct Exh 6'!I25</f>
        <v>1138578</v>
      </c>
      <c r="C26" s="768"/>
      <c r="D26" s="768">
        <v>0</v>
      </c>
      <c r="E26" s="768"/>
      <c r="F26" s="768">
        <v>0</v>
      </c>
      <c r="G26" s="768"/>
      <c r="H26" s="768">
        <v>0</v>
      </c>
      <c r="I26" s="768"/>
      <c r="J26" s="768">
        <f t="shared" si="1"/>
        <v>1138578</v>
      </c>
    </row>
    <row r="27" spans="1:12" ht="25.5" x14ac:dyDescent="0.2">
      <c r="A27" s="838" t="s">
        <v>1082</v>
      </c>
      <c r="B27" s="768">
        <f>+'GF-BudAct Exh 6'!I26</f>
        <v>1316929</v>
      </c>
      <c r="C27" s="768"/>
      <c r="D27" s="768">
        <v>0</v>
      </c>
      <c r="E27" s="768"/>
      <c r="F27" s="768">
        <v>0</v>
      </c>
      <c r="G27" s="768"/>
      <c r="H27" s="768">
        <v>0</v>
      </c>
      <c r="I27" s="768"/>
      <c r="J27" s="768">
        <f t="shared" si="1"/>
        <v>1316929</v>
      </c>
    </row>
    <row r="28" spans="1:12" x14ac:dyDescent="0.2">
      <c r="A28" s="838" t="s">
        <v>68</v>
      </c>
      <c r="B28" s="768">
        <f>+'GF-BudAct Exh 6'!I27</f>
        <v>22419822</v>
      </c>
      <c r="C28" s="768"/>
      <c r="D28" s="768">
        <v>0</v>
      </c>
      <c r="E28" s="768"/>
      <c r="F28" s="768">
        <f>+'Opioid-BudAct Exh 8'!I15</f>
        <v>500000</v>
      </c>
      <c r="G28" s="768"/>
      <c r="H28" s="768">
        <f>+'Com Rev, Exp-Nonmajor'!T23</f>
        <v>532637</v>
      </c>
      <c r="I28" s="768"/>
      <c r="J28" s="768">
        <f t="shared" si="1"/>
        <v>23452459</v>
      </c>
    </row>
    <row r="29" spans="1:12" x14ac:dyDescent="0.2">
      <c r="A29" s="838" t="s">
        <v>154</v>
      </c>
      <c r="B29" s="768">
        <f>+'GF-BudAct Exh 6'!I28</f>
        <v>2308240</v>
      </c>
      <c r="C29" s="768"/>
      <c r="D29" s="768">
        <v>0</v>
      </c>
      <c r="E29" s="768"/>
      <c r="F29" s="768">
        <v>0</v>
      </c>
      <c r="G29" s="768"/>
      <c r="H29" s="768">
        <v>0</v>
      </c>
      <c r="I29" s="768"/>
      <c r="J29" s="768">
        <f t="shared" si="1"/>
        <v>2308240</v>
      </c>
    </row>
    <row r="30" spans="1:12" x14ac:dyDescent="0.2">
      <c r="A30" s="838" t="s">
        <v>41</v>
      </c>
      <c r="B30" s="768">
        <v>0</v>
      </c>
      <c r="C30" s="768"/>
      <c r="D30" s="768">
        <v>0</v>
      </c>
      <c r="E30" s="768"/>
      <c r="F30" s="768">
        <v>0</v>
      </c>
      <c r="G30" s="768"/>
      <c r="H30" s="459">
        <f>+'Com Rev, Exp-Nonmajor'!T24</f>
        <v>482577</v>
      </c>
      <c r="I30" s="768"/>
      <c r="J30" s="459">
        <f t="shared" si="1"/>
        <v>482577</v>
      </c>
      <c r="L30" s="302"/>
    </row>
    <row r="31" spans="1:12" x14ac:dyDescent="0.2">
      <c r="A31" s="838" t="s">
        <v>155</v>
      </c>
      <c r="B31" s="768"/>
      <c r="C31" s="768"/>
      <c r="D31" s="768"/>
      <c r="E31" s="768"/>
      <c r="F31" s="768"/>
      <c r="G31" s="768"/>
      <c r="H31" s="768"/>
      <c r="I31" s="768"/>
      <c r="J31" s="768"/>
    </row>
    <row r="32" spans="1:12" x14ac:dyDescent="0.2">
      <c r="A32" s="839" t="s">
        <v>41</v>
      </c>
      <c r="B32" s="768">
        <f>+'GF-BudAct Exh 6'!I30</f>
        <v>41418016</v>
      </c>
      <c r="C32" s="768"/>
      <c r="D32" s="768">
        <v>0</v>
      </c>
      <c r="E32" s="768"/>
      <c r="F32" s="768">
        <v>0</v>
      </c>
      <c r="G32" s="768"/>
      <c r="H32" s="768">
        <v>0</v>
      </c>
      <c r="I32" s="768"/>
      <c r="J32" s="768">
        <f t="shared" si="1"/>
        <v>41418016</v>
      </c>
    </row>
    <row r="33" spans="1:11" ht="12.6" customHeight="1" x14ac:dyDescent="0.2">
      <c r="A33" s="755" t="s">
        <v>156</v>
      </c>
      <c r="B33" s="768">
        <v>0</v>
      </c>
      <c r="C33" s="768"/>
      <c r="D33" s="768">
        <v>0</v>
      </c>
      <c r="E33" s="768"/>
      <c r="F33" s="768">
        <v>0</v>
      </c>
      <c r="G33" s="768"/>
      <c r="H33" s="768">
        <f>+'Com Rev, Exp-Nonmajor'!T25</f>
        <v>1826519</v>
      </c>
      <c r="I33" s="768"/>
      <c r="J33" s="768">
        <f t="shared" si="1"/>
        <v>1826519</v>
      </c>
    </row>
    <row r="34" spans="1:11" x14ac:dyDescent="0.2">
      <c r="A34" s="745" t="s">
        <v>157</v>
      </c>
      <c r="B34" s="768"/>
      <c r="C34" s="768"/>
      <c r="D34" s="768"/>
      <c r="E34" s="768"/>
      <c r="F34" s="768"/>
      <c r="G34" s="768"/>
      <c r="H34" s="768"/>
      <c r="I34" s="768"/>
      <c r="J34" s="768"/>
    </row>
    <row r="35" spans="1:11" x14ac:dyDescent="0.2">
      <c r="A35" s="837" t="s">
        <v>158</v>
      </c>
      <c r="B35" s="768">
        <f>+'GF-BudAct Exh 6'!I32</f>
        <v>650924</v>
      </c>
      <c r="C35" s="768"/>
      <c r="D35" s="768">
        <v>0</v>
      </c>
      <c r="E35" s="768"/>
      <c r="F35" s="768">
        <v>0</v>
      </c>
      <c r="G35" s="768"/>
      <c r="H35" s="768">
        <v>0</v>
      </c>
      <c r="I35" s="768"/>
      <c r="J35" s="768">
        <f>SUM(B35:H35)</f>
        <v>650924</v>
      </c>
    </row>
    <row r="36" spans="1:11" x14ac:dyDescent="0.2">
      <c r="A36" s="837" t="s">
        <v>159</v>
      </c>
      <c r="B36" s="768">
        <f>+'GF-BudAct Exh 6'!I33</f>
        <v>709558</v>
      </c>
      <c r="C36" s="768"/>
      <c r="D36" s="768">
        <v>0</v>
      </c>
      <c r="E36" s="768"/>
      <c r="F36" s="768">
        <v>0</v>
      </c>
      <c r="G36" s="768"/>
      <c r="H36" s="768">
        <v>0</v>
      </c>
      <c r="I36" s="768"/>
      <c r="J36" s="768">
        <f>SUM(B36:H36)</f>
        <v>709558</v>
      </c>
    </row>
    <row r="37" spans="1:11" x14ac:dyDescent="0.2">
      <c r="A37" s="837" t="s">
        <v>160</v>
      </c>
      <c r="B37" s="768">
        <f>+'GF-BudAct Exh 6'!I34</f>
        <v>65000</v>
      </c>
      <c r="C37" s="768"/>
      <c r="D37" s="768">
        <v>0</v>
      </c>
      <c r="E37" s="768"/>
      <c r="F37" s="768">
        <v>0</v>
      </c>
      <c r="G37" s="768"/>
      <c r="H37" s="768">
        <v>0</v>
      </c>
      <c r="I37" s="768"/>
      <c r="J37" s="768">
        <f>SUM(B37:H37)</f>
        <v>65000</v>
      </c>
      <c r="K37" s="302"/>
    </row>
    <row r="38" spans="1:11" x14ac:dyDescent="0.2">
      <c r="A38" s="837" t="s">
        <v>161</v>
      </c>
      <c r="B38" s="768">
        <f>+'GF-BudAct Exh 6'!I35</f>
        <v>15000</v>
      </c>
      <c r="C38" s="768"/>
      <c r="D38" s="768">
        <v>0</v>
      </c>
      <c r="E38" s="768"/>
      <c r="F38" s="768">
        <v>0</v>
      </c>
      <c r="G38" s="768"/>
      <c r="H38" s="768">
        <v>0</v>
      </c>
      <c r="I38" s="768"/>
      <c r="J38" s="768">
        <f>SUM(B38:H38)</f>
        <v>15000</v>
      </c>
      <c r="K38" s="358"/>
    </row>
    <row r="39" spans="1:11" x14ac:dyDescent="0.2">
      <c r="A39" s="840" t="s">
        <v>162</v>
      </c>
      <c r="B39" s="766">
        <f>SUM(B24:B38)</f>
        <v>86317339</v>
      </c>
      <c r="C39" s="709"/>
      <c r="D39" s="766">
        <f>SUM(D24:D38)</f>
        <v>2260000</v>
      </c>
      <c r="E39" s="709"/>
      <c r="F39" s="766">
        <f>SUM(F24:F38)</f>
        <v>500000</v>
      </c>
      <c r="G39" s="709"/>
      <c r="H39" s="766">
        <f>SUM(H24:H38)</f>
        <v>2950996</v>
      </c>
      <c r="I39" s="709"/>
      <c r="J39" s="766">
        <f>SUM(J24:J38)</f>
        <v>92028335</v>
      </c>
    </row>
    <row r="40" spans="1:11" ht="25.5" x14ac:dyDescent="0.2">
      <c r="A40" s="841" t="s">
        <v>163</v>
      </c>
      <c r="B40" s="766">
        <f>+B20-B39</f>
        <v>-43345</v>
      </c>
      <c r="C40" s="709"/>
      <c r="D40" s="766">
        <f>+D20-D39</f>
        <v>0</v>
      </c>
      <c r="E40" s="709"/>
      <c r="F40" s="766">
        <f>+F20-F39</f>
        <v>40000</v>
      </c>
      <c r="G40" s="709"/>
      <c r="H40" s="766">
        <f>+H20-H39</f>
        <v>-613857</v>
      </c>
      <c r="I40" s="709"/>
      <c r="J40" s="766">
        <f>+J20-J39</f>
        <v>-617202</v>
      </c>
    </row>
    <row r="41" spans="1:11" ht="9.75" customHeight="1" x14ac:dyDescent="0.2">
      <c r="A41" s="745"/>
      <c r="B41" s="768"/>
      <c r="C41" s="768"/>
      <c r="D41" s="768"/>
      <c r="E41" s="768"/>
      <c r="F41" s="768"/>
      <c r="G41" s="768"/>
      <c r="H41" s="768"/>
      <c r="I41" s="768"/>
      <c r="J41" s="768"/>
    </row>
    <row r="42" spans="1:11" x14ac:dyDescent="0.2">
      <c r="A42" s="759" t="s">
        <v>164</v>
      </c>
      <c r="B42" s="768"/>
      <c r="C42" s="768"/>
      <c r="D42" s="768"/>
      <c r="E42" s="768"/>
      <c r="F42" s="768"/>
      <c r="G42" s="768"/>
      <c r="H42" s="768"/>
      <c r="I42" s="768"/>
      <c r="J42" s="768"/>
    </row>
    <row r="43" spans="1:11" x14ac:dyDescent="0.2">
      <c r="A43" s="756" t="s">
        <v>165</v>
      </c>
      <c r="B43" s="768">
        <f>+'GF-BudAct Exh 6'!I41</f>
        <v>2119059</v>
      </c>
      <c r="C43" s="768"/>
      <c r="D43" s="768">
        <v>0</v>
      </c>
      <c r="E43" s="768"/>
      <c r="F43" s="768">
        <v>0</v>
      </c>
      <c r="G43" s="768"/>
      <c r="H43" s="768">
        <f>+'Com Rev, Exp-Nonmajor'!T30</f>
        <v>280000</v>
      </c>
      <c r="I43" s="768"/>
      <c r="J43" s="768">
        <f t="shared" ref="J43:J50" si="2">SUM(B43:H43)</f>
        <v>2399059</v>
      </c>
    </row>
    <row r="44" spans="1:11" x14ac:dyDescent="0.2">
      <c r="A44" s="756" t="s">
        <v>166</v>
      </c>
      <c r="B44" s="768">
        <f>+'GF-BudAct Exh 6'!I42+'GF-BudAct Exh 6'!I64</f>
        <v>-370000</v>
      </c>
      <c r="C44" s="768"/>
      <c r="D44" s="768">
        <f>-'SR-BA8 (ARP)'!J24</f>
        <v>-1500000</v>
      </c>
      <c r="E44" s="768"/>
      <c r="F44" s="768">
        <v>0</v>
      </c>
      <c r="G44" s="768"/>
      <c r="H44" s="768">
        <f>+'Com Rev, Exp-Nonmajor'!T31</f>
        <v>-629059</v>
      </c>
      <c r="I44" s="768"/>
      <c r="J44" s="768">
        <f t="shared" si="2"/>
        <v>-2499059</v>
      </c>
      <c r="K44" s="302"/>
    </row>
    <row r="45" spans="1:11" x14ac:dyDescent="0.2">
      <c r="A45" s="756" t="s">
        <v>167</v>
      </c>
      <c r="B45" s="768">
        <f>+'GF-BudAct Exh 6'!I43</f>
        <v>279755</v>
      </c>
      <c r="C45" s="768"/>
      <c r="D45" s="768">
        <v>0</v>
      </c>
      <c r="E45" s="768"/>
      <c r="F45" s="768">
        <v>0</v>
      </c>
      <c r="G45" s="768"/>
      <c r="H45" s="768"/>
      <c r="I45" s="768"/>
      <c r="J45" s="768">
        <f t="shared" si="2"/>
        <v>279755</v>
      </c>
    </row>
    <row r="46" spans="1:11" x14ac:dyDescent="0.2">
      <c r="A46" s="756" t="s">
        <v>944</v>
      </c>
      <c r="B46" s="768">
        <f>+'GF-BudAct Exh 6'!I44</f>
        <v>48781</v>
      </c>
      <c r="C46" s="768"/>
      <c r="D46" s="768">
        <v>0</v>
      </c>
      <c r="E46" s="768"/>
      <c r="F46" s="768">
        <v>0</v>
      </c>
      <c r="G46" s="768"/>
      <c r="H46" s="768"/>
      <c r="I46" s="768"/>
      <c r="J46" s="768">
        <f t="shared" si="2"/>
        <v>48781</v>
      </c>
    </row>
    <row r="47" spans="1:11" x14ac:dyDescent="0.2">
      <c r="A47" s="756" t="s">
        <v>168</v>
      </c>
      <c r="B47" s="768">
        <f>+'GF-BudAct Exh 6'!I45</f>
        <v>3365000</v>
      </c>
      <c r="C47" s="768"/>
      <c r="D47" s="768">
        <v>0</v>
      </c>
      <c r="E47" s="768"/>
      <c r="F47" s="768">
        <v>0</v>
      </c>
      <c r="G47" s="768"/>
      <c r="H47" s="768">
        <v>0</v>
      </c>
      <c r="I47" s="768"/>
      <c r="J47" s="768">
        <f t="shared" si="2"/>
        <v>3365000</v>
      </c>
      <c r="K47" s="302">
        <f>+J45+J46+J47+J48</f>
        <v>4893536</v>
      </c>
    </row>
    <row r="48" spans="1:11" ht="25.5" x14ac:dyDescent="0.2">
      <c r="A48" s="756" t="s">
        <v>169</v>
      </c>
      <c r="B48" s="768">
        <v>0</v>
      </c>
      <c r="C48" s="768"/>
      <c r="D48" s="768">
        <v>0</v>
      </c>
      <c r="E48" s="768"/>
      <c r="F48" s="768">
        <v>0</v>
      </c>
      <c r="G48" s="768"/>
      <c r="H48" s="768">
        <f>+'Com Rev, Exp-Nonmajor'!T32</f>
        <v>1200000</v>
      </c>
      <c r="I48" s="768"/>
      <c r="J48" s="768">
        <f t="shared" si="2"/>
        <v>1200000</v>
      </c>
    </row>
    <row r="49" spans="1:12" ht="25.5" x14ac:dyDescent="0.2">
      <c r="A49" s="756" t="s">
        <v>170</v>
      </c>
      <c r="B49" s="768">
        <f>+'GF-BudAct Exh 6'!I46</f>
        <v>-3300000</v>
      </c>
      <c r="C49" s="768"/>
      <c r="D49" s="768">
        <v>0</v>
      </c>
      <c r="E49" s="768"/>
      <c r="F49" s="768">
        <v>0</v>
      </c>
      <c r="G49" s="768"/>
      <c r="H49" s="768">
        <v>0</v>
      </c>
      <c r="I49" s="768"/>
      <c r="J49" s="768">
        <f t="shared" si="2"/>
        <v>-3300000</v>
      </c>
      <c r="K49" s="302">
        <f>-J35+J49</f>
        <v>-3950924</v>
      </c>
    </row>
    <row r="50" spans="1:12" x14ac:dyDescent="0.2">
      <c r="A50" s="756" t="s">
        <v>171</v>
      </c>
      <c r="B50" s="765">
        <f>+'GF-BudAct Exh 6'!I47</f>
        <v>28482</v>
      </c>
      <c r="C50" s="709"/>
      <c r="D50" s="765">
        <v>0</v>
      </c>
      <c r="E50" s="709"/>
      <c r="F50" s="765">
        <v>0</v>
      </c>
      <c r="G50" s="709"/>
      <c r="H50" s="765">
        <v>0</v>
      </c>
      <c r="I50" s="709"/>
      <c r="J50" s="765">
        <f t="shared" si="2"/>
        <v>28482</v>
      </c>
    </row>
    <row r="51" spans="1:12" ht="25.5" x14ac:dyDescent="0.2">
      <c r="A51" s="838" t="s">
        <v>172</v>
      </c>
      <c r="B51" s="766">
        <f>SUM(B43:B50)</f>
        <v>2171077</v>
      </c>
      <c r="C51" s="709"/>
      <c r="D51" s="766">
        <f>SUM(D43:D50)</f>
        <v>-1500000</v>
      </c>
      <c r="E51" s="709"/>
      <c r="F51" s="766">
        <f>SUM(F43:F50)</f>
        <v>0</v>
      </c>
      <c r="G51" s="765"/>
      <c r="H51" s="766">
        <f>SUM(H43:H50)</f>
        <v>850941</v>
      </c>
      <c r="I51" s="709"/>
      <c r="J51" s="766">
        <f>SUM(J43:J50)</f>
        <v>1522018</v>
      </c>
    </row>
    <row r="52" spans="1:12" x14ac:dyDescent="0.2">
      <c r="A52" s="745"/>
      <c r="B52" s="764"/>
      <c r="C52" s="764"/>
      <c r="D52" s="764"/>
      <c r="E52" s="764"/>
      <c r="F52" s="764"/>
      <c r="G52" s="764"/>
      <c r="H52" s="764"/>
      <c r="I52" s="764"/>
      <c r="J52" s="764"/>
    </row>
    <row r="53" spans="1:12" x14ac:dyDescent="0.2">
      <c r="A53" s="838" t="s">
        <v>173</v>
      </c>
      <c r="B53" s="765">
        <f>+B40+B51</f>
        <v>2127732</v>
      </c>
      <c r="C53" s="709"/>
      <c r="D53" s="765">
        <f>+D40+D51</f>
        <v>-1500000</v>
      </c>
      <c r="E53" s="709"/>
      <c r="F53" s="765">
        <f>+F40+F51</f>
        <v>40000</v>
      </c>
      <c r="G53" s="765"/>
      <c r="H53" s="765">
        <f>+H40+H51</f>
        <v>237084</v>
      </c>
      <c r="I53" s="709"/>
      <c r="J53" s="765">
        <f>+J40+J51</f>
        <v>904816</v>
      </c>
      <c r="K53" s="334"/>
    </row>
    <row r="54" spans="1:12" ht="24" x14ac:dyDescent="0.2">
      <c r="A54" s="842" t="s">
        <v>174</v>
      </c>
      <c r="B54" s="709">
        <f>13076598+440000</f>
        <v>13516598</v>
      </c>
      <c r="C54" s="709"/>
      <c r="D54" s="709">
        <v>0</v>
      </c>
      <c r="E54" s="709"/>
      <c r="F54" s="709">
        <v>0</v>
      </c>
      <c r="G54" s="709"/>
      <c r="H54" s="709">
        <v>392971</v>
      </c>
      <c r="I54" s="709"/>
      <c r="J54" s="709">
        <f>SUM(B54:H54)</f>
        <v>13909569</v>
      </c>
      <c r="K54" s="357"/>
    </row>
    <row r="55" spans="1:12" ht="24" x14ac:dyDescent="0.2">
      <c r="A55" s="843" t="s">
        <v>175</v>
      </c>
      <c r="B55" s="765">
        <v>0</v>
      </c>
      <c r="C55" s="765"/>
      <c r="D55" s="765">
        <v>0</v>
      </c>
      <c r="E55" s="765"/>
      <c r="F55" s="765">
        <v>290000</v>
      </c>
      <c r="G55" s="765"/>
      <c r="H55" s="765">
        <v>0</v>
      </c>
      <c r="I55" s="765"/>
      <c r="J55" s="765">
        <f>SUM(B55:H55)</f>
        <v>290000</v>
      </c>
      <c r="K55" s="357"/>
    </row>
    <row r="56" spans="1:12" x14ac:dyDescent="0.2">
      <c r="A56" s="745" t="s">
        <v>975</v>
      </c>
      <c r="B56" s="709">
        <f>SUM(B54:B55)</f>
        <v>13516598</v>
      </c>
      <c r="C56" s="709"/>
      <c r="D56" s="709">
        <f>+'SR-BA8 (ARP)'!J29</f>
        <v>1500000</v>
      </c>
      <c r="E56" s="709"/>
      <c r="F56" s="709">
        <f>+'Opioid-BudAct Exh 8'!I27</f>
        <v>290000</v>
      </c>
      <c r="G56" s="709"/>
      <c r="H56" s="709">
        <f>+'Com Rev, Exp-Nonmajor'!T39</f>
        <v>392971</v>
      </c>
      <c r="I56" s="709"/>
      <c r="J56" s="709">
        <f>+B56+D56+F56+H56</f>
        <v>15699569</v>
      </c>
      <c r="K56" s="935"/>
      <c r="L56" s="302"/>
    </row>
    <row r="57" spans="1:12" x14ac:dyDescent="0.2">
      <c r="A57" s="745" t="s">
        <v>177</v>
      </c>
      <c r="B57" s="709">
        <f>+'GF-BudAct Exh 6'!I60</f>
        <v>122974</v>
      </c>
      <c r="C57" s="709"/>
      <c r="D57" s="709">
        <v>0</v>
      </c>
      <c r="E57" s="709"/>
      <c r="F57" s="709">
        <v>0</v>
      </c>
      <c r="G57" s="709"/>
      <c r="H57" s="709">
        <v>0</v>
      </c>
      <c r="I57" s="709"/>
      <c r="J57" s="709">
        <f>SUM(B57:H57)</f>
        <v>122974</v>
      </c>
      <c r="K57" s="334"/>
    </row>
    <row r="58" spans="1:12" ht="13.5" thickBot="1" x14ac:dyDescent="0.25">
      <c r="A58" s="745" t="s">
        <v>178</v>
      </c>
      <c r="B58" s="844">
        <f>B53+B57+B56</f>
        <v>15767304</v>
      </c>
      <c r="C58" s="764"/>
      <c r="D58" s="844">
        <f>D53+D57+D56</f>
        <v>0</v>
      </c>
      <c r="E58" s="764"/>
      <c r="F58" s="844">
        <f>F53+F57+F56</f>
        <v>330000</v>
      </c>
      <c r="G58" s="764"/>
      <c r="H58" s="844">
        <f>H53+H57+H56</f>
        <v>630055</v>
      </c>
      <c r="I58" s="764"/>
      <c r="J58" s="844">
        <f>J53+J57+J56</f>
        <v>16727359</v>
      </c>
      <c r="K58" s="334"/>
    </row>
    <row r="59" spans="1:12" ht="13.5" thickTop="1" x14ac:dyDescent="0.2">
      <c r="A59" s="745"/>
      <c r="B59" s="764"/>
      <c r="C59" s="764"/>
      <c r="D59" s="764"/>
      <c r="E59" s="764"/>
      <c r="F59" s="764"/>
      <c r="G59" s="764"/>
      <c r="H59" s="764"/>
      <c r="I59" s="764"/>
      <c r="J59" s="764"/>
      <c r="K59" s="334"/>
    </row>
    <row r="60" spans="1:12" x14ac:dyDescent="0.2">
      <c r="B60" s="318"/>
      <c r="C60" s="318"/>
      <c r="D60" s="318"/>
      <c r="E60" s="318"/>
      <c r="F60" s="318"/>
      <c r="G60" s="318"/>
      <c r="H60" s="318"/>
      <c r="I60" s="318"/>
      <c r="J60" s="343"/>
    </row>
    <row r="61" spans="1:12" x14ac:dyDescent="0.2">
      <c r="A61" s="310" t="str">
        <f>'GWNetPos 68 Exh 1'!A59</f>
        <v>The notes to the financial statements are an integral part of this statement.</v>
      </c>
    </row>
    <row r="62" spans="1:12" hidden="1" x14ac:dyDescent="0.2">
      <c r="B62" s="332">
        <f>B58-'Balance Sheet Exh 3'!B51</f>
        <v>0</v>
      </c>
      <c r="C62" s="332"/>
      <c r="D62" s="332"/>
      <c r="E62" s="332"/>
      <c r="F62" s="332"/>
      <c r="G62" s="332"/>
      <c r="H62" s="332">
        <f>H58-'Balance Sheet Exh 3'!H51</f>
        <v>0</v>
      </c>
      <c r="I62" s="332"/>
      <c r="J62" s="332">
        <f>J58-'Balance Sheet Exh 3'!J51</f>
        <v>0</v>
      </c>
    </row>
    <row r="69" spans="2:7" x14ac:dyDescent="0.2">
      <c r="B69" s="332"/>
      <c r="C69" s="332"/>
      <c r="D69" s="332"/>
      <c r="E69" s="332"/>
      <c r="F69" s="332"/>
      <c r="G69" s="332"/>
    </row>
  </sheetData>
  <customSheetViews>
    <customSheetView guid="{E0C60316-4586-4AAF-92CB-FA82BB1EB755}" fitToPage="1">
      <selection activeCell="B30" sqref="B30"/>
      <rowBreaks count="1" manualBreakCount="1">
        <brk id="54" max="16383" man="1"/>
      </rowBreaks>
      <pageMargins left="0" right="0" top="0" bottom="0" header="0" footer="0"/>
      <printOptions horizontalCentered="1"/>
      <pageSetup scale="83" firstPageNumber="33" orientation="portrait" useFirstPageNumber="1" r:id="rId1"/>
      <headerFooter alignWithMargins="0"/>
    </customSheetView>
    <customSheetView guid="{A8748736-0722-49EB-85B6-C9B52DDCFE0E}" showPageBreaks="1" fitToPage="1" printArea="1" hiddenRows="1" topLeftCell="A37">
      <selection activeCell="E40" sqref="E40"/>
      <rowBreaks count="1" manualBreakCount="1">
        <brk id="56" max="16383" man="1"/>
      </rowBreaks>
      <pageMargins left="0.75" right="0.75" top="1" bottom="1" header="0.5" footer="0.5"/>
      <printOptions horizontalCentered="1"/>
      <pageSetup scale="84" firstPageNumber="33" orientation="portrait" useFirstPageNumber="1" r:id="rId2"/>
      <headerFooter alignWithMargins="0"/>
    </customSheetView>
  </customSheetViews>
  <mergeCells count="5">
    <mergeCell ref="A1:J1"/>
    <mergeCell ref="A2:J2"/>
    <mergeCell ref="A3:J3"/>
    <mergeCell ref="A4:J4"/>
    <mergeCell ref="B7:F7"/>
  </mergeCells>
  <phoneticPr fontId="0" type="noConversion"/>
  <printOptions horizontalCentered="1"/>
  <pageMargins left="0.75" right="0.75" top="1" bottom="1" header="0.5" footer="0.5"/>
  <pageSetup scale="74" firstPageNumber="33" orientation="portrait" useFirstPageNumber="1" r:id="rId3"/>
  <headerFooter alignWithMargins="0"/>
  <rowBreaks count="1" manualBreakCount="1">
    <brk id="60"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K37"/>
  <sheetViews>
    <sheetView workbookViewId="0">
      <selection activeCell="A6" sqref="A6"/>
    </sheetView>
  </sheetViews>
  <sheetFormatPr defaultColWidth="9.140625" defaultRowHeight="12.75" x14ac:dyDescent="0.2"/>
  <cols>
    <col min="1" max="1" width="55.140625" style="310" customWidth="1"/>
    <col min="2" max="2" width="13.5703125" style="310" customWidth="1"/>
    <col min="3" max="3" width="14.5703125" style="310" customWidth="1"/>
    <col min="4" max="4" width="15.7109375" style="310" customWidth="1"/>
    <col min="5" max="5" width="10.7109375" style="310" hidden="1" customWidth="1"/>
    <col min="6" max="6" width="12.85546875" style="310" bestFit="1" customWidth="1"/>
    <col min="7" max="7" width="14.5703125" style="310" bestFit="1" customWidth="1"/>
    <col min="8" max="8" width="9.140625" style="310"/>
    <col min="9" max="9" width="11.85546875" style="310" bestFit="1" customWidth="1"/>
    <col min="10" max="10" width="40.28515625" style="310" customWidth="1"/>
    <col min="11" max="11" width="11.28515625" style="310" bestFit="1" customWidth="1"/>
    <col min="12" max="16384" width="9.140625" style="310"/>
  </cols>
  <sheetData>
    <row r="1" spans="1:11" x14ac:dyDescent="0.2">
      <c r="A1" s="990" t="s">
        <v>0</v>
      </c>
      <c r="B1" s="990"/>
      <c r="C1" s="32"/>
      <c r="D1" s="32"/>
      <c r="E1" s="32"/>
      <c r="F1" s="32"/>
      <c r="G1" s="32"/>
      <c r="H1" s="32"/>
      <c r="I1" s="32"/>
      <c r="J1" s="32"/>
    </row>
    <row r="2" spans="1:11" x14ac:dyDescent="0.2">
      <c r="A2" s="990" t="s">
        <v>97</v>
      </c>
      <c r="B2" s="990"/>
      <c r="C2" s="32"/>
      <c r="D2" s="32"/>
      <c r="E2" s="32"/>
      <c r="F2" s="32"/>
      <c r="G2" s="32"/>
      <c r="H2" s="32"/>
      <c r="I2" s="32"/>
      <c r="J2" s="32"/>
    </row>
    <row r="3" spans="1:11" x14ac:dyDescent="0.2">
      <c r="A3" s="990" t="s">
        <v>752</v>
      </c>
      <c r="B3" s="990"/>
      <c r="C3" s="32"/>
      <c r="D3" s="32"/>
      <c r="E3" s="32"/>
      <c r="F3" s="32"/>
      <c r="G3" s="32"/>
      <c r="H3" s="32"/>
      <c r="I3" s="32"/>
      <c r="J3" s="32"/>
    </row>
    <row r="4" spans="1:11" x14ac:dyDescent="0.2">
      <c r="A4" s="990" t="s">
        <v>753</v>
      </c>
      <c r="B4" s="990"/>
      <c r="C4" s="32"/>
      <c r="D4" s="32"/>
    </row>
    <row r="5" spans="1:11" x14ac:dyDescent="0.2">
      <c r="A5" s="991" t="str">
        <f>'GWNetPos 68 Exh 1'!A3</f>
        <v>June 30, 2025</v>
      </c>
      <c r="B5" s="991"/>
      <c r="C5" s="32"/>
      <c r="D5" s="32"/>
    </row>
    <row r="6" spans="1:11" x14ac:dyDescent="0.2">
      <c r="A6" s="43"/>
      <c r="B6" s="34"/>
      <c r="C6" s="34"/>
      <c r="D6" s="34"/>
    </row>
    <row r="7" spans="1:11" x14ac:dyDescent="0.2">
      <c r="B7" s="34"/>
      <c r="C7" s="34"/>
    </row>
    <row r="8" spans="1:11" ht="13.5" thickBot="1" x14ac:dyDescent="0.25">
      <c r="A8" s="677"/>
      <c r="B8" s="685"/>
      <c r="C8" s="437"/>
      <c r="D8" s="437"/>
    </row>
    <row r="9" spans="1:11" x14ac:dyDescent="0.2">
      <c r="A9" s="32" t="s">
        <v>10</v>
      </c>
    </row>
    <row r="10" spans="1:11" x14ac:dyDescent="0.2">
      <c r="A10" s="310" t="s">
        <v>11</v>
      </c>
      <c r="B10" s="317">
        <v>689522</v>
      </c>
      <c r="C10" s="318"/>
      <c r="D10" s="318"/>
      <c r="E10" s="332"/>
      <c r="G10" s="332"/>
    </row>
    <row r="11" spans="1:11" x14ac:dyDescent="0.2">
      <c r="A11" s="310" t="s">
        <v>754</v>
      </c>
      <c r="B11" s="336">
        <v>36524</v>
      </c>
      <c r="C11" s="302"/>
      <c r="D11" s="302"/>
    </row>
    <row r="12" spans="1:11" ht="14.25" thickBot="1" x14ac:dyDescent="0.3">
      <c r="A12" s="435" t="s">
        <v>23</v>
      </c>
      <c r="B12" s="298">
        <f>SUM(B10:B11)</f>
        <v>726046</v>
      </c>
      <c r="C12" s="318"/>
      <c r="D12" s="318"/>
      <c r="H12" s="27"/>
      <c r="I12" s="7"/>
      <c r="J12" s="7"/>
      <c r="K12" s="45"/>
    </row>
    <row r="13" spans="1:11" ht="14.25" thickTop="1" x14ac:dyDescent="0.25">
      <c r="A13" s="435"/>
      <c r="B13" s="318"/>
      <c r="C13" s="318"/>
      <c r="D13" s="318"/>
      <c r="H13" s="27"/>
      <c r="I13" s="7"/>
      <c r="J13" s="7"/>
      <c r="K13" s="45"/>
    </row>
    <row r="14" spans="1:11" ht="13.5" x14ac:dyDescent="0.25">
      <c r="A14" s="32" t="s">
        <v>25</v>
      </c>
      <c r="H14" s="27"/>
      <c r="I14" s="7"/>
      <c r="J14" s="7"/>
      <c r="K14" s="3"/>
    </row>
    <row r="15" spans="1:11" ht="13.5" x14ac:dyDescent="0.25">
      <c r="A15" s="436" t="s">
        <v>109</v>
      </c>
      <c r="B15" s="438">
        <v>9564</v>
      </c>
      <c r="C15" s="351"/>
      <c r="D15" s="351"/>
      <c r="H15" s="7"/>
      <c r="I15" s="27"/>
      <c r="J15" s="7"/>
      <c r="K15" s="3"/>
    </row>
    <row r="16" spans="1:11" x14ac:dyDescent="0.2">
      <c r="A16" s="330" t="s">
        <v>35</v>
      </c>
      <c r="B16" s="320">
        <f>SUM(B15:B15)</f>
        <v>9564</v>
      </c>
      <c r="C16" s="300"/>
      <c r="D16" s="300"/>
      <c r="H16" s="302"/>
    </row>
    <row r="17" spans="1:7" x14ac:dyDescent="0.2">
      <c r="A17" s="310" t="s">
        <v>112</v>
      </c>
    </row>
    <row r="18" spans="1:7" x14ac:dyDescent="0.2">
      <c r="A18" s="32" t="s">
        <v>995</v>
      </c>
    </row>
    <row r="19" spans="1:7" x14ac:dyDescent="0.2">
      <c r="A19" s="435" t="s">
        <v>114</v>
      </c>
      <c r="B19" s="299"/>
      <c r="C19" s="300"/>
      <c r="D19" s="300"/>
    </row>
    <row r="20" spans="1:7" x14ac:dyDescent="0.2">
      <c r="A20" s="435" t="s">
        <v>755</v>
      </c>
      <c r="B20" s="459">
        <v>36524</v>
      </c>
      <c r="C20" s="300"/>
      <c r="D20" s="300"/>
    </row>
    <row r="21" spans="1:7" x14ac:dyDescent="0.2">
      <c r="A21" s="435" t="s">
        <v>567</v>
      </c>
      <c r="B21" s="461">
        <v>679958</v>
      </c>
      <c r="C21" s="300"/>
      <c r="D21" s="300"/>
      <c r="F21" s="357"/>
      <c r="G21" s="332"/>
    </row>
    <row r="22" spans="1:7" x14ac:dyDescent="0.2">
      <c r="A22" s="330" t="s">
        <v>126</v>
      </c>
      <c r="B22" s="320">
        <f>SUM(B19:B21)</f>
        <v>716482</v>
      </c>
      <c r="C22" s="300"/>
      <c r="D22" s="300"/>
      <c r="F22" s="302"/>
    </row>
    <row r="23" spans="1:7" ht="13.5" thickBot="1" x14ac:dyDescent="0.25">
      <c r="A23" s="422" t="s">
        <v>756</v>
      </c>
      <c r="B23" s="298">
        <f>B16+B22</f>
        <v>726046</v>
      </c>
      <c r="C23" s="318"/>
    </row>
    <row r="24" spans="1:7" ht="13.5" thickTop="1" x14ac:dyDescent="0.2">
      <c r="B24" s="318"/>
      <c r="C24" s="318"/>
    </row>
    <row r="25" spans="1:7" x14ac:dyDescent="0.2">
      <c r="B25" s="318"/>
      <c r="C25" s="318"/>
    </row>
    <row r="26" spans="1:7" ht="12.75" customHeight="1" x14ac:dyDescent="0.2"/>
    <row r="27" spans="1:7" ht="28.5" customHeight="1" x14ac:dyDescent="0.2">
      <c r="A27" s="467" t="s">
        <v>757</v>
      </c>
      <c r="B27" s="439"/>
      <c r="C27" s="439"/>
    </row>
    <row r="28" spans="1:7" x14ac:dyDescent="0.2">
      <c r="A28" s="310" t="s">
        <v>758</v>
      </c>
      <c r="B28" s="441">
        <f>B22</f>
        <v>716482</v>
      </c>
    </row>
    <row r="29" spans="1:7" ht="27.75" customHeight="1" x14ac:dyDescent="0.2">
      <c r="A29" s="687" t="s">
        <v>759</v>
      </c>
      <c r="B29" s="440">
        <v>-42565</v>
      </c>
      <c r="C29" s="88"/>
      <c r="D29" s="88"/>
    </row>
    <row r="30" spans="1:7" ht="27.75" customHeight="1" x14ac:dyDescent="0.2">
      <c r="A30" s="665" t="s">
        <v>760</v>
      </c>
      <c r="B30" s="440">
        <v>23542</v>
      </c>
      <c r="C30" s="88"/>
    </row>
    <row r="31" spans="1:7" ht="27.75" customHeight="1" x14ac:dyDescent="0.2">
      <c r="A31" s="665" t="s">
        <v>761</v>
      </c>
      <c r="B31" s="440">
        <v>-4572</v>
      </c>
      <c r="C31" s="88"/>
      <c r="D31" s="88"/>
    </row>
    <row r="32" spans="1:7" ht="38.25" customHeight="1" x14ac:dyDescent="0.2">
      <c r="A32" s="436" t="s">
        <v>762</v>
      </c>
      <c r="B32" s="440">
        <v>-11309</v>
      </c>
      <c r="C32" s="88"/>
      <c r="D32" s="88"/>
    </row>
    <row r="33" spans="1:2" ht="13.5" thickBot="1" x14ac:dyDescent="0.25">
      <c r="A33" s="422" t="s">
        <v>763</v>
      </c>
      <c r="B33" s="442">
        <f>SUM(B28:B32)</f>
        <v>681578</v>
      </c>
    </row>
    <row r="34" spans="1:2" ht="13.5" thickTop="1" x14ac:dyDescent="0.2">
      <c r="B34" s="311"/>
    </row>
    <row r="35" spans="1:2" x14ac:dyDescent="0.2">
      <c r="B35" s="311"/>
    </row>
    <row r="36" spans="1:2" x14ac:dyDescent="0.2">
      <c r="B36" s="311"/>
    </row>
    <row r="37" spans="1:2" x14ac:dyDescent="0.2">
      <c r="A37" s="310" t="s">
        <v>764</v>
      </c>
      <c r="B37" s="311"/>
    </row>
  </sheetData>
  <customSheetViews>
    <customSheetView guid="{A8748736-0722-49EB-85B6-C9B52DDCFE0E}" hiddenColumns="1">
      <selection activeCell="A7" sqref="A7"/>
      <pageMargins left="0.7" right="0.7" top="0.75" bottom="0.75" header="0.3" footer="0.3"/>
      <pageSetup orientation="portrait" verticalDpi="0" r:id="rId1"/>
    </customSheetView>
  </customSheetViews>
  <mergeCells count="5">
    <mergeCell ref="A1:B1"/>
    <mergeCell ref="A2:B2"/>
    <mergeCell ref="A3:B3"/>
    <mergeCell ref="A4:B4"/>
    <mergeCell ref="A5:B5"/>
  </mergeCells>
  <pageMargins left="0.7" right="0.7" top="0.75" bottom="0.75" header="0.3" footer="0.3"/>
  <pageSetup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42"/>
  <sheetViews>
    <sheetView workbookViewId="0">
      <selection activeCell="A6" sqref="A6"/>
    </sheetView>
  </sheetViews>
  <sheetFormatPr defaultColWidth="9.140625" defaultRowHeight="12.75" x14ac:dyDescent="0.2"/>
  <cols>
    <col min="1" max="1" width="30.7109375" style="310" customWidth="1"/>
    <col min="2" max="2" width="18.28515625" style="310" customWidth="1"/>
    <col min="3" max="3" width="13.5703125" style="310" customWidth="1"/>
    <col min="4" max="4" width="16.5703125" style="310" bestFit="1" customWidth="1"/>
    <col min="5" max="5" width="14.140625" style="310" bestFit="1" customWidth="1"/>
    <col min="6" max="16384" width="9.140625" style="310"/>
  </cols>
  <sheetData>
    <row r="1" spans="1:5" x14ac:dyDescent="0.2">
      <c r="A1" s="990" t="s">
        <v>0</v>
      </c>
      <c r="B1" s="990"/>
      <c r="C1" s="990"/>
    </row>
    <row r="2" spans="1:5" x14ac:dyDescent="0.2">
      <c r="A2" s="990" t="s">
        <v>97</v>
      </c>
      <c r="B2" s="990"/>
      <c r="C2" s="990"/>
    </row>
    <row r="3" spans="1:5" x14ac:dyDescent="0.2">
      <c r="A3" s="990" t="s">
        <v>752</v>
      </c>
      <c r="B3" s="990"/>
      <c r="C3" s="990"/>
    </row>
    <row r="4" spans="1:5" ht="25.5" customHeight="1" x14ac:dyDescent="0.2">
      <c r="A4" s="1073" t="s">
        <v>765</v>
      </c>
      <c r="B4" s="1073"/>
      <c r="C4" s="1073"/>
    </row>
    <row r="5" spans="1:5" x14ac:dyDescent="0.2">
      <c r="A5" s="990" t="str">
        <f>'GWStmtAct 68 Exh 2'!A3</f>
        <v>For the Year Ended June 30, 2025</v>
      </c>
      <c r="B5" s="990"/>
      <c r="C5" s="990"/>
    </row>
    <row r="6" spans="1:5" ht="12.75" customHeight="1" x14ac:dyDescent="0.2">
      <c r="A6" s="34" t="s">
        <v>112</v>
      </c>
      <c r="B6" s="34"/>
      <c r="C6" s="34"/>
    </row>
    <row r="7" spans="1:5" x14ac:dyDescent="0.2">
      <c r="B7" s="34"/>
    </row>
    <row r="8" spans="1:5" ht="13.5" thickBot="1" x14ac:dyDescent="0.25">
      <c r="A8" s="677"/>
      <c r="B8" s="685"/>
      <c r="C8" s="685"/>
    </row>
    <row r="9" spans="1:5" x14ac:dyDescent="0.2">
      <c r="A9" s="32" t="s">
        <v>141</v>
      </c>
    </row>
    <row r="10" spans="1:5" x14ac:dyDescent="0.2">
      <c r="A10" s="436" t="s">
        <v>766</v>
      </c>
      <c r="B10" s="318"/>
      <c r="C10" s="317">
        <v>229168</v>
      </c>
      <c r="D10" s="332"/>
    </row>
    <row r="11" spans="1:5" x14ac:dyDescent="0.2">
      <c r="A11" s="436" t="s">
        <v>148</v>
      </c>
      <c r="B11" s="300"/>
      <c r="C11" s="325">
        <v>7268</v>
      </c>
    </row>
    <row r="12" spans="1:5" x14ac:dyDescent="0.2">
      <c r="A12" s="330" t="s">
        <v>150</v>
      </c>
      <c r="B12" s="300"/>
      <c r="C12" s="320">
        <f>SUM(C10:C11)</f>
        <v>236436</v>
      </c>
      <c r="E12" s="302"/>
    </row>
    <row r="13" spans="1:5" x14ac:dyDescent="0.2">
      <c r="B13" s="300"/>
      <c r="C13" s="299"/>
    </row>
    <row r="14" spans="1:5" x14ac:dyDescent="0.2">
      <c r="A14" s="32" t="s">
        <v>151</v>
      </c>
      <c r="B14" s="300"/>
      <c r="C14" s="299"/>
    </row>
    <row r="15" spans="1:5" x14ac:dyDescent="0.2">
      <c r="A15" s="310" t="s">
        <v>152</v>
      </c>
      <c r="B15" s="300"/>
      <c r="C15" s="299"/>
    </row>
    <row r="16" spans="1:5" x14ac:dyDescent="0.2">
      <c r="A16" s="436" t="s">
        <v>442</v>
      </c>
      <c r="B16" s="300"/>
      <c r="C16" s="299">
        <v>96458</v>
      </c>
      <c r="D16" s="326"/>
    </row>
    <row r="17" spans="1:10" x14ac:dyDescent="0.2">
      <c r="A17" s="436" t="s">
        <v>767</v>
      </c>
      <c r="B17" s="300"/>
      <c r="C17" s="299">
        <v>50000</v>
      </c>
      <c r="D17" s="326"/>
    </row>
    <row r="18" spans="1:10" x14ac:dyDescent="0.2">
      <c r="A18" s="436" t="s">
        <v>768</v>
      </c>
      <c r="B18" s="300"/>
      <c r="C18" s="299">
        <v>100632</v>
      </c>
    </row>
    <row r="19" spans="1:10" x14ac:dyDescent="0.2">
      <c r="A19" s="330" t="s">
        <v>162</v>
      </c>
      <c r="B19" s="300"/>
      <c r="C19" s="320">
        <f>SUM(C16:C18)</f>
        <v>247090</v>
      </c>
      <c r="E19" s="303"/>
    </row>
    <row r="20" spans="1:10" x14ac:dyDescent="0.2">
      <c r="A20" s="330"/>
      <c r="B20" s="300"/>
      <c r="C20" s="300"/>
      <c r="E20" s="303"/>
    </row>
    <row r="21" spans="1:10" x14ac:dyDescent="0.2">
      <c r="A21" s="466" t="s">
        <v>173</v>
      </c>
      <c r="B21" s="300"/>
      <c r="C21" s="300">
        <f>+C12-C19</f>
        <v>-10654</v>
      </c>
    </row>
    <row r="22" spans="1:10" x14ac:dyDescent="0.2">
      <c r="B22" s="318"/>
      <c r="C22" s="318"/>
    </row>
    <row r="23" spans="1:10" x14ac:dyDescent="0.2">
      <c r="A23" s="310" t="s">
        <v>176</v>
      </c>
      <c r="B23" s="300"/>
      <c r="C23" s="300">
        <v>727136</v>
      </c>
      <c r="D23" s="357"/>
    </row>
    <row r="24" spans="1:10" ht="13.5" thickBot="1" x14ac:dyDescent="0.25">
      <c r="A24" s="310" t="s">
        <v>178</v>
      </c>
      <c r="B24" s="318"/>
      <c r="C24" s="298">
        <f>C21+C23</f>
        <v>716482</v>
      </c>
      <c r="E24" s="332"/>
    </row>
    <row r="25" spans="1:10" ht="13.5" thickTop="1" x14ac:dyDescent="0.2">
      <c r="B25" s="318"/>
      <c r="C25" s="343"/>
    </row>
    <row r="26" spans="1:10" x14ac:dyDescent="0.2">
      <c r="B26" s="318"/>
      <c r="C26" s="343"/>
    </row>
    <row r="28" spans="1:10" x14ac:dyDescent="0.2">
      <c r="A28" s="433" t="s">
        <v>660</v>
      </c>
      <c r="D28" s="300"/>
      <c r="E28" s="300"/>
      <c r="F28" s="300"/>
      <c r="G28" s="300"/>
    </row>
    <row r="29" spans="1:10" x14ac:dyDescent="0.2">
      <c r="A29" s="433" t="s">
        <v>661</v>
      </c>
      <c r="D29" s="299"/>
      <c r="E29" s="299"/>
      <c r="F29" s="299"/>
      <c r="G29" s="300"/>
    </row>
    <row r="30" spans="1:10" x14ac:dyDescent="0.2">
      <c r="G30" s="481"/>
      <c r="J30" s="310" t="s">
        <v>112</v>
      </c>
    </row>
    <row r="31" spans="1:10" x14ac:dyDescent="0.2">
      <c r="A31" s="310" t="s">
        <v>173</v>
      </c>
      <c r="C31" s="317">
        <f>+C21</f>
        <v>-10654</v>
      </c>
      <c r="G31" s="481"/>
    </row>
    <row r="32" spans="1:10" x14ac:dyDescent="0.2">
      <c r="A32" s="432" t="s">
        <v>662</v>
      </c>
      <c r="G32" s="481"/>
    </row>
    <row r="33" spans="1:3" x14ac:dyDescent="0.2">
      <c r="A33" s="686" t="s">
        <v>663</v>
      </c>
      <c r="C33" s="481">
        <v>16234</v>
      </c>
    </row>
    <row r="34" spans="1:3" x14ac:dyDescent="0.2">
      <c r="A34" s="686" t="s">
        <v>664</v>
      </c>
      <c r="C34" s="481">
        <v>-3459</v>
      </c>
    </row>
    <row r="35" spans="1:3" x14ac:dyDescent="0.2">
      <c r="A35" s="686" t="s">
        <v>665</v>
      </c>
      <c r="C35" s="481">
        <v>2637</v>
      </c>
    </row>
    <row r="36" spans="1:3" x14ac:dyDescent="0.2">
      <c r="A36" s="896" t="s">
        <v>1107</v>
      </c>
      <c r="B36" s="576"/>
      <c r="C36" s="481">
        <v>6489</v>
      </c>
    </row>
    <row r="37" spans="1:3" x14ac:dyDescent="0.2">
      <c r="A37" s="686" t="s">
        <v>996</v>
      </c>
      <c r="C37" s="484">
        <f>SUM(C33:C36)</f>
        <v>21901</v>
      </c>
    </row>
    <row r="38" spans="1:3" ht="13.5" thickBot="1" x14ac:dyDescent="0.25">
      <c r="A38" s="310" t="s">
        <v>94</v>
      </c>
      <c r="C38" s="486">
        <f>'TDA BA'!I33+C37</f>
        <v>11247</v>
      </c>
    </row>
    <row r="39" spans="1:3" ht="13.5" thickTop="1" x14ac:dyDescent="0.2"/>
    <row r="42" spans="1:3" s="352" customFormat="1" ht="26.25" customHeight="1" x14ac:dyDescent="0.2">
      <c r="A42" s="1015" t="s">
        <v>764</v>
      </c>
      <c r="B42" s="1015"/>
      <c r="C42" s="1015"/>
    </row>
  </sheetData>
  <customSheetViews>
    <customSheetView guid="{A8748736-0722-49EB-85B6-C9B52DDCFE0E}">
      <selection activeCell="A7" sqref="A7"/>
      <pageMargins left="0.7" right="0.7" top="0.75" bottom="0.75" header="0.3" footer="0.3"/>
      <pageSetup orientation="portrait" verticalDpi="0" r:id="rId1"/>
    </customSheetView>
  </customSheetViews>
  <mergeCells count="6">
    <mergeCell ref="A42:C42"/>
    <mergeCell ref="A1:C1"/>
    <mergeCell ref="A2:C2"/>
    <mergeCell ref="A3:C3"/>
    <mergeCell ref="A4:C4"/>
    <mergeCell ref="A5:C5"/>
  </mergeCells>
  <pageMargins left="0.7" right="0.7" top="0.75" bottom="0.75" header="0.3" footer="0.3"/>
  <pageSetup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M42"/>
  <sheetViews>
    <sheetView workbookViewId="0">
      <selection activeCell="D9" sqref="D9"/>
    </sheetView>
  </sheetViews>
  <sheetFormatPr defaultColWidth="9.140625" defaultRowHeight="12.75" x14ac:dyDescent="0.2"/>
  <cols>
    <col min="1" max="1" width="1.7109375" style="30" customWidth="1"/>
    <col min="2" max="2" width="1.28515625" style="30" customWidth="1"/>
    <col min="3" max="3" width="1.85546875" style="30" customWidth="1"/>
    <col min="4" max="4" width="32.140625" style="30" customWidth="1"/>
    <col min="5" max="5" width="12.85546875" style="30" customWidth="1"/>
    <col min="6" max="6" width="1.7109375" style="30" customWidth="1"/>
    <col min="7" max="7" width="12.85546875" style="30" customWidth="1"/>
    <col min="8" max="8" width="1.7109375" style="30" customWidth="1"/>
    <col min="9" max="9" width="12.85546875" style="30" customWidth="1"/>
    <col min="10" max="10" width="1.7109375" style="30" customWidth="1"/>
    <col min="11" max="11" width="12.85546875" style="30" customWidth="1"/>
    <col min="12" max="12" width="11" style="30" customWidth="1"/>
    <col min="13" max="13" width="12.85546875" style="30" bestFit="1" customWidth="1"/>
    <col min="14" max="16384" width="9.140625" style="30"/>
  </cols>
  <sheetData>
    <row r="1" spans="1:13" x14ac:dyDescent="0.2">
      <c r="A1" s="310"/>
      <c r="B1" s="310"/>
      <c r="C1" s="310"/>
      <c r="D1" s="310"/>
      <c r="E1" s="310"/>
      <c r="F1" s="310"/>
      <c r="G1" s="310"/>
      <c r="H1" s="310"/>
      <c r="I1" s="310"/>
      <c r="J1" s="310"/>
      <c r="K1" s="284"/>
      <c r="L1" s="310"/>
      <c r="M1" s="310"/>
    </row>
    <row r="2" spans="1:13" x14ac:dyDescent="0.2">
      <c r="A2" s="990" t="s">
        <v>0</v>
      </c>
      <c r="B2" s="990"/>
      <c r="C2" s="990"/>
      <c r="D2" s="990"/>
      <c r="E2" s="990"/>
      <c r="F2" s="990"/>
      <c r="G2" s="990"/>
      <c r="H2" s="990"/>
      <c r="I2" s="990"/>
      <c r="J2" s="990"/>
      <c r="K2" s="990"/>
      <c r="L2" s="310"/>
      <c r="M2" s="310"/>
    </row>
    <row r="3" spans="1:13" x14ac:dyDescent="0.2">
      <c r="A3" s="990" t="s">
        <v>97</v>
      </c>
      <c r="B3" s="990"/>
      <c r="C3" s="990"/>
      <c r="D3" s="990"/>
      <c r="E3" s="990"/>
      <c r="F3" s="990"/>
      <c r="G3" s="990"/>
      <c r="H3" s="990"/>
      <c r="I3" s="990"/>
      <c r="J3" s="990"/>
      <c r="K3" s="990"/>
      <c r="L3" s="310"/>
      <c r="M3" s="310"/>
    </row>
    <row r="4" spans="1:13" x14ac:dyDescent="0.2">
      <c r="A4" s="990" t="s">
        <v>752</v>
      </c>
      <c r="B4" s="990"/>
      <c r="C4" s="990"/>
      <c r="D4" s="990"/>
      <c r="E4" s="990"/>
      <c r="F4" s="990"/>
      <c r="G4" s="990"/>
      <c r="H4" s="990"/>
      <c r="I4" s="990"/>
      <c r="J4" s="990"/>
      <c r="K4" s="990"/>
      <c r="L4" s="310"/>
      <c r="M4" s="310"/>
    </row>
    <row r="5" spans="1:13" x14ac:dyDescent="0.2">
      <c r="A5" s="990" t="s">
        <v>769</v>
      </c>
      <c r="B5" s="990"/>
      <c r="C5" s="990"/>
      <c r="D5" s="990"/>
      <c r="E5" s="990"/>
      <c r="F5" s="990"/>
      <c r="G5" s="990"/>
      <c r="H5" s="990"/>
      <c r="I5" s="990"/>
      <c r="J5" s="990"/>
      <c r="K5" s="990"/>
      <c r="L5" s="310"/>
      <c r="M5" s="310"/>
    </row>
    <row r="6" spans="1:13" x14ac:dyDescent="0.2">
      <c r="A6" s="990" t="s">
        <v>770</v>
      </c>
      <c r="B6" s="990"/>
      <c r="C6" s="990"/>
      <c r="D6" s="990"/>
      <c r="E6" s="990"/>
      <c r="F6" s="990"/>
      <c r="G6" s="990"/>
      <c r="H6" s="990"/>
      <c r="I6" s="990"/>
      <c r="J6" s="990"/>
      <c r="K6" s="990"/>
      <c r="L6" s="310"/>
      <c r="M6" s="310"/>
    </row>
    <row r="7" spans="1:13" x14ac:dyDescent="0.2">
      <c r="A7" s="990" t="str">
        <f>'GWStmtAct 68 Exh 2'!A3</f>
        <v>For the Year Ended June 30, 2025</v>
      </c>
      <c r="B7" s="990"/>
      <c r="C7" s="990"/>
      <c r="D7" s="990"/>
      <c r="E7" s="990"/>
      <c r="F7" s="990"/>
      <c r="G7" s="990"/>
      <c r="H7" s="990"/>
      <c r="I7" s="990"/>
      <c r="J7" s="990"/>
      <c r="K7" s="990"/>
      <c r="L7" s="310"/>
      <c r="M7" s="310"/>
    </row>
    <row r="8" spans="1:13" x14ac:dyDescent="0.2">
      <c r="A8" s="34"/>
      <c r="B8" s="34"/>
      <c r="C8" s="34"/>
      <c r="D8" s="34"/>
      <c r="E8" s="34"/>
      <c r="F8" s="34"/>
      <c r="G8" s="34"/>
      <c r="H8" s="34"/>
      <c r="I8" s="34"/>
      <c r="J8" s="34"/>
      <c r="K8" s="34"/>
      <c r="L8" s="310"/>
      <c r="M8" s="310"/>
    </row>
    <row r="9" spans="1:13" x14ac:dyDescent="0.2">
      <c r="A9" s="34"/>
      <c r="B9" s="34"/>
      <c r="C9" s="34"/>
      <c r="D9" s="34"/>
      <c r="E9" s="34"/>
      <c r="F9" s="34"/>
      <c r="G9" s="34"/>
      <c r="H9" s="34"/>
      <c r="I9" s="34"/>
      <c r="J9" s="34"/>
      <c r="K9" s="34"/>
      <c r="L9" s="310"/>
      <c r="M9" s="310"/>
    </row>
    <row r="10" spans="1:13" ht="13.5" thickBot="1" x14ac:dyDescent="0.25">
      <c r="A10" s="684"/>
      <c r="B10" s="684"/>
      <c r="C10" s="684"/>
      <c r="D10" s="684" t="s">
        <v>112</v>
      </c>
      <c r="E10" s="684"/>
      <c r="F10" s="684"/>
      <c r="G10" s="684"/>
      <c r="H10" s="684"/>
      <c r="I10" s="684"/>
      <c r="J10" s="684"/>
      <c r="K10" s="677"/>
      <c r="L10" s="310"/>
      <c r="M10" s="310"/>
    </row>
    <row r="11" spans="1:13" x14ac:dyDescent="0.2">
      <c r="A11" s="300"/>
      <c r="B11" s="299"/>
      <c r="C11" s="299"/>
      <c r="D11" s="299"/>
      <c r="E11" s="299"/>
      <c r="F11" s="299"/>
      <c r="G11" s="299"/>
      <c r="H11" s="299"/>
      <c r="I11" s="299"/>
      <c r="J11" s="299"/>
      <c r="K11" s="477" t="s">
        <v>187</v>
      </c>
      <c r="L11" s="310"/>
      <c r="M11" s="310"/>
    </row>
    <row r="12" spans="1:13" x14ac:dyDescent="0.2">
      <c r="A12" s="300"/>
      <c r="B12" s="299"/>
      <c r="C12" s="299"/>
      <c r="D12" s="299"/>
      <c r="E12" s="453" t="s">
        <v>188</v>
      </c>
      <c r="F12" s="453"/>
      <c r="G12" s="477" t="s">
        <v>189</v>
      </c>
      <c r="H12" s="477"/>
      <c r="I12" s="299"/>
      <c r="J12" s="299"/>
      <c r="K12" s="832" t="s">
        <v>1053</v>
      </c>
      <c r="L12" s="310"/>
      <c r="M12" s="310"/>
    </row>
    <row r="13" spans="1:13" x14ac:dyDescent="0.2">
      <c r="A13" s="299"/>
      <c r="B13" s="400" t="s">
        <v>112</v>
      </c>
      <c r="C13" s="299"/>
      <c r="D13" s="299"/>
      <c r="E13" s="454" t="s">
        <v>190</v>
      </c>
      <c r="F13" s="453"/>
      <c r="G13" s="478" t="s">
        <v>190</v>
      </c>
      <c r="H13" s="453"/>
      <c r="I13" s="454" t="s">
        <v>191</v>
      </c>
      <c r="J13" s="454"/>
      <c r="K13" s="833" t="s">
        <v>1054</v>
      </c>
      <c r="L13" s="310"/>
      <c r="M13" s="310"/>
    </row>
    <row r="14" spans="1:13" x14ac:dyDescent="0.2">
      <c r="A14" s="932" t="s">
        <v>192</v>
      </c>
      <c r="B14" s="299"/>
      <c r="C14" s="299"/>
      <c r="D14" s="299"/>
      <c r="E14" s="300"/>
      <c r="F14" s="300"/>
      <c r="G14" s="299"/>
      <c r="H14" s="299"/>
      <c r="I14" s="299"/>
      <c r="J14" s="299"/>
      <c r="K14" s="299"/>
      <c r="L14" s="310"/>
      <c r="M14" s="310"/>
    </row>
    <row r="15" spans="1:13" x14ac:dyDescent="0.2">
      <c r="A15" s="299"/>
      <c r="B15" s="400" t="s">
        <v>766</v>
      </c>
      <c r="C15" s="299"/>
      <c r="D15" s="299"/>
      <c r="E15" s="479">
        <v>224000</v>
      </c>
      <c r="F15" s="480"/>
      <c r="G15" s="479">
        <v>228000</v>
      </c>
      <c r="H15" s="479"/>
      <c r="I15" s="480">
        <v>229168</v>
      </c>
      <c r="J15" s="480"/>
      <c r="K15" s="480">
        <f>I15-G15</f>
        <v>1168</v>
      </c>
      <c r="L15" s="332"/>
      <c r="M15" s="332"/>
    </row>
    <row r="16" spans="1:13" x14ac:dyDescent="0.2">
      <c r="A16" s="299"/>
      <c r="B16" s="400" t="s">
        <v>148</v>
      </c>
      <c r="C16" s="299"/>
      <c r="D16" s="299"/>
      <c r="E16" s="483">
        <v>7000</v>
      </c>
      <c r="F16" s="482"/>
      <c r="G16" s="483">
        <v>7000</v>
      </c>
      <c r="H16" s="482"/>
      <c r="I16" s="485">
        <v>7268</v>
      </c>
      <c r="J16" s="482"/>
      <c r="K16" s="482">
        <f>I16-G16</f>
        <v>268</v>
      </c>
      <c r="L16" s="332"/>
      <c r="M16" s="310"/>
    </row>
    <row r="17" spans="1:13" x14ac:dyDescent="0.2">
      <c r="A17" s="299"/>
      <c r="B17" s="299"/>
      <c r="C17" s="299"/>
      <c r="D17" s="400" t="s">
        <v>150</v>
      </c>
      <c r="E17" s="483">
        <f>SUM(E15:E16)</f>
        <v>231000</v>
      </c>
      <c r="F17" s="482"/>
      <c r="G17" s="483">
        <f>SUM(G15:G16)</f>
        <v>235000</v>
      </c>
      <c r="H17" s="482"/>
      <c r="I17" s="484">
        <f>SUM(I15:I16)</f>
        <v>236436</v>
      </c>
      <c r="J17" s="484"/>
      <c r="K17" s="484">
        <f>SUM(K15:K16)</f>
        <v>1436</v>
      </c>
      <c r="L17" s="332"/>
      <c r="M17" s="302"/>
    </row>
    <row r="18" spans="1:13" ht="12.75" customHeight="1" x14ac:dyDescent="0.2">
      <c r="A18" s="299"/>
      <c r="B18" s="299"/>
      <c r="C18" s="299"/>
      <c r="D18" s="299"/>
      <c r="E18" s="481"/>
      <c r="F18" s="482"/>
      <c r="G18" s="481"/>
      <c r="H18" s="481"/>
      <c r="I18" s="481"/>
      <c r="J18" s="481"/>
      <c r="K18" s="481"/>
      <c r="L18" s="332"/>
      <c r="M18" s="310"/>
    </row>
    <row r="19" spans="1:13" x14ac:dyDescent="0.2">
      <c r="A19" s="932" t="s">
        <v>193</v>
      </c>
      <c r="B19" s="299"/>
      <c r="C19" s="299"/>
      <c r="D19" s="299"/>
      <c r="E19" s="481"/>
      <c r="F19" s="482"/>
      <c r="G19" s="481"/>
      <c r="H19" s="481"/>
      <c r="I19" s="481"/>
      <c r="J19" s="481"/>
      <c r="K19" s="481"/>
      <c r="L19" s="332"/>
      <c r="M19" s="310"/>
    </row>
    <row r="20" spans="1:13" ht="12.75" customHeight="1" x14ac:dyDescent="0.2">
      <c r="A20" s="299"/>
      <c r="B20" s="400" t="s">
        <v>152</v>
      </c>
      <c r="C20" s="299"/>
      <c r="D20" s="299"/>
      <c r="E20" s="481"/>
      <c r="F20" s="482"/>
      <c r="G20" s="481"/>
      <c r="H20" s="481"/>
      <c r="I20" s="481"/>
      <c r="J20" s="481"/>
      <c r="K20" s="481"/>
      <c r="L20" s="332"/>
      <c r="M20" s="310"/>
    </row>
    <row r="21" spans="1:13" x14ac:dyDescent="0.2">
      <c r="A21" s="299"/>
      <c r="B21" s="299"/>
      <c r="C21" s="400" t="s">
        <v>442</v>
      </c>
      <c r="D21" s="299"/>
      <c r="E21" s="481">
        <v>100000</v>
      </c>
      <c r="F21" s="482"/>
      <c r="G21" s="481">
        <v>100000</v>
      </c>
      <c r="H21" s="481"/>
      <c r="I21" s="481">
        <v>96458</v>
      </c>
      <c r="J21" s="481"/>
      <c r="K21" s="481">
        <f>G21-I21</f>
        <v>3542</v>
      </c>
      <c r="L21" s="332"/>
      <c r="M21" s="302"/>
    </row>
    <row r="22" spans="1:13" x14ac:dyDescent="0.2">
      <c r="A22" s="299"/>
      <c r="B22" s="299"/>
      <c r="C22" s="400" t="s">
        <v>767</v>
      </c>
      <c r="D22" s="299"/>
      <c r="E22" s="481">
        <v>50000</v>
      </c>
      <c r="F22" s="482"/>
      <c r="G22" s="481">
        <v>50000</v>
      </c>
      <c r="H22" s="481"/>
      <c r="I22" s="481">
        <v>50000</v>
      </c>
      <c r="J22" s="481"/>
      <c r="K22" s="481">
        <f>G22-I22</f>
        <v>0</v>
      </c>
      <c r="L22" s="332"/>
      <c r="M22" s="302"/>
    </row>
    <row r="23" spans="1:13" x14ac:dyDescent="0.2">
      <c r="A23" s="299"/>
      <c r="B23" s="299"/>
      <c r="C23" s="400" t="s">
        <v>768</v>
      </c>
      <c r="D23" s="299"/>
      <c r="E23" s="485">
        <v>89000</v>
      </c>
      <c r="F23" s="482"/>
      <c r="G23" s="485">
        <v>100000</v>
      </c>
      <c r="H23" s="485"/>
      <c r="I23" s="485">
        <v>100632</v>
      </c>
      <c r="J23" s="482"/>
      <c r="K23" s="481">
        <f>G23-I23</f>
        <v>-632</v>
      </c>
      <c r="L23" s="332"/>
      <c r="M23" s="357"/>
    </row>
    <row r="24" spans="1:13" x14ac:dyDescent="0.2">
      <c r="A24" s="299"/>
      <c r="B24" s="299"/>
      <c r="C24" s="299"/>
      <c r="D24" s="400" t="s">
        <v>162</v>
      </c>
      <c r="E24" s="483">
        <f>SUM(E21:E23)</f>
        <v>239000</v>
      </c>
      <c r="F24" s="482"/>
      <c r="G24" s="483">
        <f>SUM(G21:G23)</f>
        <v>250000</v>
      </c>
      <c r="H24" s="482"/>
      <c r="I24" s="484">
        <f>SUM(I21:I23)</f>
        <v>247090</v>
      </c>
      <c r="J24" s="484"/>
      <c r="K24" s="484">
        <f>G24-I24</f>
        <v>2910</v>
      </c>
      <c r="L24" s="332"/>
      <c r="M24" s="310"/>
    </row>
    <row r="25" spans="1:13" ht="12.75" customHeight="1" x14ac:dyDescent="0.2">
      <c r="A25" s="299"/>
      <c r="B25" s="299"/>
      <c r="C25" s="299"/>
      <c r="D25" s="299"/>
      <c r="E25" s="481"/>
      <c r="F25" s="482"/>
      <c r="G25" s="481"/>
      <c r="H25" s="481"/>
      <c r="I25" s="481"/>
      <c r="J25" s="481"/>
      <c r="K25" s="481"/>
      <c r="L25" s="332"/>
      <c r="M25" s="310"/>
    </row>
    <row r="26" spans="1:13" x14ac:dyDescent="0.2">
      <c r="A26" s="400" t="s">
        <v>196</v>
      </c>
      <c r="B26" s="299"/>
      <c r="C26" s="299"/>
      <c r="D26" s="299"/>
      <c r="E26" s="483">
        <f>E17-E24</f>
        <v>-8000</v>
      </c>
      <c r="F26" s="482"/>
      <c r="G26" s="483">
        <f>G17-G24</f>
        <v>-15000</v>
      </c>
      <c r="H26" s="482"/>
      <c r="I26" s="485">
        <f>I17-I24</f>
        <v>-10654</v>
      </c>
      <c r="J26" s="485"/>
      <c r="K26" s="485">
        <f>K24+K17</f>
        <v>4346</v>
      </c>
      <c r="L26" s="332"/>
      <c r="M26" s="310"/>
    </row>
    <row r="27" spans="1:13" ht="12.75" customHeight="1" x14ac:dyDescent="0.2">
      <c r="A27" s="299"/>
      <c r="B27" s="299"/>
      <c r="C27" s="299"/>
      <c r="D27" s="299"/>
      <c r="E27" s="481"/>
      <c r="F27" s="482"/>
      <c r="G27" s="481"/>
      <c r="H27" s="481"/>
      <c r="I27" s="481"/>
      <c r="J27" s="481"/>
      <c r="K27" s="481"/>
      <c r="L27" s="332"/>
      <c r="M27" s="310"/>
    </row>
    <row r="28" spans="1:13" x14ac:dyDescent="0.2">
      <c r="A28" s="932" t="s">
        <v>197</v>
      </c>
      <c r="B28" s="299"/>
      <c r="C28" s="299"/>
      <c r="D28" s="299"/>
      <c r="E28" s="481"/>
      <c r="F28" s="482"/>
      <c r="G28" s="481"/>
      <c r="H28" s="481"/>
      <c r="I28" s="481"/>
      <c r="J28" s="481"/>
      <c r="K28" s="481"/>
      <c r="L28" s="332"/>
      <c r="M28" s="310"/>
    </row>
    <row r="29" spans="1:13" x14ac:dyDescent="0.2">
      <c r="A29" s="299"/>
      <c r="B29" s="400" t="s">
        <v>544</v>
      </c>
      <c r="C29" s="299"/>
      <c r="D29" s="299"/>
      <c r="E29" s="481">
        <v>8000</v>
      </c>
      <c r="F29" s="482"/>
      <c r="G29" s="481">
        <v>15000</v>
      </c>
      <c r="H29" s="481"/>
      <c r="I29" s="482">
        <v>0</v>
      </c>
      <c r="J29" s="482"/>
      <c r="K29" s="481">
        <f>-G29+I29</f>
        <v>-15000</v>
      </c>
      <c r="L29" s="332"/>
      <c r="M29" s="310"/>
    </row>
    <row r="30" spans="1:13" x14ac:dyDescent="0.2">
      <c r="A30" s="299"/>
      <c r="B30" s="299"/>
      <c r="C30" s="299"/>
      <c r="D30" s="400" t="s">
        <v>199</v>
      </c>
      <c r="E30" s="484">
        <f>SUM((E29:E29))</f>
        <v>8000</v>
      </c>
      <c r="F30" s="482"/>
      <c r="G30" s="484">
        <f>SUM((G29:G29))</f>
        <v>15000</v>
      </c>
      <c r="H30" s="482"/>
      <c r="I30" s="482">
        <f>SUM(I29:I29)</f>
        <v>0</v>
      </c>
      <c r="J30" s="482"/>
      <c r="K30" s="484">
        <f>SUM(K29:K29)</f>
        <v>-15000</v>
      </c>
      <c r="L30" s="332"/>
      <c r="M30" s="310"/>
    </row>
    <row r="31" spans="1:13" ht="12.75" customHeight="1" x14ac:dyDescent="0.2">
      <c r="A31" s="310"/>
      <c r="B31" s="310"/>
      <c r="C31" s="310"/>
      <c r="D31" s="310"/>
      <c r="E31" s="310"/>
      <c r="F31" s="310"/>
      <c r="G31" s="310"/>
      <c r="H31" s="310"/>
      <c r="I31" s="310"/>
      <c r="J31" s="310"/>
      <c r="K31" s="310"/>
      <c r="L31" s="332"/>
      <c r="M31" s="310"/>
    </row>
    <row r="32" spans="1:13" x14ac:dyDescent="0.2">
      <c r="A32" s="352" t="s">
        <v>771</v>
      </c>
      <c r="B32" s="310"/>
      <c r="C32" s="310"/>
      <c r="D32" s="310"/>
      <c r="E32" s="310"/>
      <c r="F32" s="310"/>
      <c r="G32" s="310"/>
      <c r="H32" s="310"/>
      <c r="I32" s="310"/>
      <c r="J32" s="310"/>
      <c r="K32" s="310"/>
      <c r="L32" s="332"/>
      <c r="M32" s="310"/>
    </row>
    <row r="33" spans="1:12" ht="13.5" thickBot="1" x14ac:dyDescent="0.25">
      <c r="A33" s="310"/>
      <c r="B33" s="310" t="s">
        <v>772</v>
      </c>
      <c r="C33" s="310"/>
      <c r="D33" s="310"/>
      <c r="E33" s="486">
        <f>E30+E26</f>
        <v>0</v>
      </c>
      <c r="F33" s="332"/>
      <c r="G33" s="486">
        <f>G30+G26</f>
        <v>0</v>
      </c>
      <c r="H33" s="332"/>
      <c r="I33" s="481">
        <f>I30+I26</f>
        <v>-10654</v>
      </c>
      <c r="J33" s="481"/>
      <c r="K33" s="486">
        <f>K30+K26</f>
        <v>-10654</v>
      </c>
      <c r="L33" s="310"/>
    </row>
    <row r="34" spans="1:12" ht="13.5" thickTop="1" x14ac:dyDescent="0.2">
      <c r="A34" s="310"/>
      <c r="B34" s="310"/>
      <c r="C34" s="310"/>
      <c r="D34" s="310"/>
      <c r="E34" s="299"/>
      <c r="F34" s="300"/>
      <c r="G34" s="299"/>
      <c r="H34" s="299"/>
      <c r="I34" s="299"/>
      <c r="J34" s="299"/>
      <c r="K34" s="310"/>
      <c r="L34" s="310"/>
    </row>
    <row r="35" spans="1:12" x14ac:dyDescent="0.2">
      <c r="A35" s="310"/>
      <c r="B35" s="310"/>
      <c r="C35" s="310"/>
      <c r="D35" s="310"/>
      <c r="E35" s="300"/>
      <c r="F35" s="300"/>
      <c r="G35" s="300"/>
      <c r="H35" s="300"/>
      <c r="I35" s="300"/>
      <c r="J35" s="300"/>
      <c r="K35" s="310"/>
      <c r="L35" s="310"/>
    </row>
    <row r="36" spans="1:12" ht="15.75" customHeight="1" x14ac:dyDescent="0.2">
      <c r="A36" s="352" t="s">
        <v>1076</v>
      </c>
      <c r="B36" s="147"/>
      <c r="C36" s="145"/>
      <c r="D36" s="145"/>
      <c r="E36" s="149"/>
      <c r="F36" s="149"/>
      <c r="G36" s="121"/>
      <c r="H36" s="310"/>
      <c r="I36" s="300">
        <v>727136</v>
      </c>
      <c r="J36" s="300"/>
      <c r="K36" s="310"/>
      <c r="L36" s="302"/>
    </row>
    <row r="37" spans="1:12" ht="15.75" customHeight="1" thickBot="1" x14ac:dyDescent="0.25">
      <c r="A37" s="352" t="s">
        <v>1083</v>
      </c>
      <c r="B37" s="147"/>
      <c r="C37" s="145"/>
      <c r="D37" s="145"/>
      <c r="E37" s="149"/>
      <c r="F37" s="149"/>
      <c r="G37" s="121"/>
      <c r="H37" s="310"/>
      <c r="I37" s="298">
        <f>I33+I36</f>
        <v>716482</v>
      </c>
      <c r="J37" s="300"/>
      <c r="K37" s="310"/>
      <c r="L37" s="310"/>
    </row>
    <row r="38" spans="1:12" ht="13.5" customHeight="1" thickTop="1" x14ac:dyDescent="0.2">
      <c r="A38" s="310"/>
      <c r="B38" s="310"/>
      <c r="C38" s="310"/>
      <c r="D38" s="310"/>
      <c r="E38" s="310"/>
      <c r="F38" s="310"/>
      <c r="G38" s="310"/>
      <c r="H38" s="310"/>
      <c r="I38" s="310"/>
      <c r="J38" s="310"/>
      <c r="K38" s="310"/>
      <c r="L38" s="310"/>
    </row>
    <row r="42" spans="1:12" x14ac:dyDescent="0.2">
      <c r="A42" s="310" t="s">
        <v>764</v>
      </c>
      <c r="B42" s="310"/>
      <c r="C42" s="310"/>
      <c r="D42" s="310"/>
      <c r="E42" s="310"/>
      <c r="F42" s="310"/>
      <c r="G42" s="310"/>
      <c r="H42" s="310"/>
      <c r="I42" s="310"/>
      <c r="J42" s="310"/>
      <c r="K42" s="310"/>
      <c r="L42" s="310"/>
    </row>
  </sheetData>
  <customSheetViews>
    <customSheetView guid="{A8748736-0722-49EB-85B6-C9B52DDCFE0E}" showPageBreaks="1" printArea="1">
      <selection activeCell="J40" sqref="J40"/>
      <pageMargins left="0.75" right="0.75" top="1" bottom="1" header="0.5" footer="0.5"/>
      <printOptions horizontalCentered="1"/>
      <pageSetup scale="83" firstPageNumber="32" fitToHeight="0" orientation="portrait" useFirstPageNumber="1" r:id="rId1"/>
      <headerFooter alignWithMargins="0"/>
    </customSheetView>
  </customSheetViews>
  <mergeCells count="6">
    <mergeCell ref="A2:K2"/>
    <mergeCell ref="A3:K3"/>
    <mergeCell ref="A4:K4"/>
    <mergeCell ref="A5:K5"/>
    <mergeCell ref="A7:K7"/>
    <mergeCell ref="A6:K6"/>
  </mergeCells>
  <printOptions horizontalCentered="1"/>
  <pageMargins left="0.75" right="0.75" top="1" bottom="1" header="0.5" footer="0.5"/>
  <pageSetup scale="83" firstPageNumber="32" fitToHeight="0" orientation="portrait" useFirstPageNumber="1" r:id="rId2"/>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ransitionEvaluation="1">
    <tabColor theme="7" tint="0.39997558519241921"/>
  </sheetPr>
  <dimension ref="A1:P55"/>
  <sheetViews>
    <sheetView workbookViewId="0">
      <selection activeCell="B48" sqref="B48:L51"/>
    </sheetView>
  </sheetViews>
  <sheetFormatPr defaultColWidth="8.42578125" defaultRowHeight="12.75" x14ac:dyDescent="0.2"/>
  <cols>
    <col min="1" max="2" width="2.42578125" style="251" customWidth="1"/>
    <col min="3" max="3" width="25.5703125" style="251" customWidth="1"/>
    <col min="4" max="4" width="15.5703125" style="251" customWidth="1"/>
    <col min="5" max="5" width="1.5703125" style="251" customWidth="1"/>
    <col min="6" max="6" width="6.140625" style="254" customWidth="1"/>
    <col min="7" max="7" width="1.5703125" style="251" customWidth="1"/>
    <col min="8" max="8" width="14.85546875" style="251" customWidth="1"/>
    <col min="9" max="9" width="3.140625" style="251" customWidth="1"/>
    <col min="10" max="10" width="14.85546875" style="251" customWidth="1"/>
    <col min="11" max="11" width="1.5703125" style="253" customWidth="1"/>
    <col min="12" max="12" width="14.85546875" style="251" customWidth="1"/>
    <col min="13" max="14" width="8.42578125" style="251"/>
    <col min="15" max="15" width="23.7109375" style="252" customWidth="1"/>
    <col min="16" max="16" width="13.140625" style="251" bestFit="1" customWidth="1"/>
    <col min="17" max="16384" width="8.42578125" style="251"/>
  </cols>
  <sheetData>
    <row r="1" spans="1:15" x14ac:dyDescent="0.2">
      <c r="A1" s="1184" t="s">
        <v>0</v>
      </c>
      <c r="B1" s="1184"/>
      <c r="C1" s="1184"/>
      <c r="D1" s="1184"/>
      <c r="E1" s="1184"/>
      <c r="F1" s="1184"/>
      <c r="G1" s="1184"/>
      <c r="H1" s="1184"/>
      <c r="I1" s="1184"/>
      <c r="J1" s="1184"/>
      <c r="K1" s="1184"/>
      <c r="L1" s="1184"/>
      <c r="M1" s="545"/>
      <c r="N1" s="545"/>
      <c r="O1" s="545"/>
    </row>
    <row r="2" spans="1:15" x14ac:dyDescent="0.2">
      <c r="A2" s="1184" t="s">
        <v>802</v>
      </c>
      <c r="B2" s="1184"/>
      <c r="C2" s="1184"/>
      <c r="D2" s="1184"/>
      <c r="E2" s="1184"/>
      <c r="F2" s="1184"/>
      <c r="G2" s="1184"/>
      <c r="H2" s="1184"/>
      <c r="I2" s="1184"/>
      <c r="J2" s="1184"/>
      <c r="K2" s="1184"/>
      <c r="L2" s="1184"/>
      <c r="M2" s="545"/>
      <c r="N2" s="545"/>
      <c r="O2" s="545"/>
    </row>
    <row r="3" spans="1:15" x14ac:dyDescent="0.2">
      <c r="A3" s="1184" t="s">
        <v>989</v>
      </c>
      <c r="B3" s="1184"/>
      <c r="C3" s="1184"/>
      <c r="D3" s="1184"/>
      <c r="E3" s="1184"/>
      <c r="F3" s="1184"/>
      <c r="G3" s="1184"/>
      <c r="H3" s="1184"/>
      <c r="I3" s="1184"/>
      <c r="J3" s="1184"/>
      <c r="K3" s="1184"/>
      <c r="L3" s="1184"/>
      <c r="M3" s="545"/>
      <c r="N3" s="545"/>
      <c r="O3" s="545"/>
    </row>
    <row r="4" spans="1:15" x14ac:dyDescent="0.2">
      <c r="A4" s="1184" t="str">
        <f>'GWNetPos 68 Exh 1'!A3</f>
        <v>June 30, 2025</v>
      </c>
      <c r="B4" s="1184"/>
      <c r="C4" s="1184"/>
      <c r="D4" s="1184"/>
      <c r="E4" s="1184"/>
      <c r="F4" s="1184"/>
      <c r="G4" s="1184"/>
      <c r="H4" s="1184"/>
      <c r="I4" s="1184"/>
      <c r="J4" s="1184"/>
      <c r="K4" s="1184"/>
      <c r="L4" s="1184"/>
      <c r="M4" s="545"/>
      <c r="N4" s="545"/>
      <c r="O4" s="545"/>
    </row>
    <row r="5" spans="1:15" x14ac:dyDescent="0.2">
      <c r="A5" s="654"/>
      <c r="B5" s="654"/>
      <c r="C5" s="654"/>
      <c r="D5" s="654"/>
      <c r="E5" s="654"/>
      <c r="F5" s="654"/>
      <c r="G5" s="654"/>
      <c r="H5" s="654"/>
      <c r="I5" s="654"/>
      <c r="J5" s="654"/>
      <c r="K5" s="654"/>
      <c r="L5" s="654"/>
      <c r="M5" s="545"/>
      <c r="N5" s="545"/>
      <c r="O5" s="545"/>
    </row>
    <row r="6" spans="1:15" x14ac:dyDescent="0.2">
      <c r="A6" s="654"/>
      <c r="B6" s="654"/>
      <c r="C6" s="654"/>
      <c r="D6" s="654"/>
      <c r="E6" s="654"/>
      <c r="F6" s="654"/>
      <c r="G6" s="654"/>
      <c r="H6" s="654"/>
      <c r="I6" s="654"/>
      <c r="J6" s="654"/>
      <c r="K6" s="654"/>
      <c r="L6" s="654"/>
      <c r="M6" s="545"/>
      <c r="N6" s="545"/>
      <c r="O6" s="545"/>
    </row>
    <row r="7" spans="1:15" ht="13.5" thickBot="1" x14ac:dyDescent="0.25">
      <c r="A7" s="546"/>
      <c r="B7" s="546"/>
      <c r="C7" s="546"/>
      <c r="D7" s="546"/>
      <c r="E7" s="546"/>
      <c r="F7" s="547"/>
      <c r="G7" s="546"/>
      <c r="H7" s="546"/>
      <c r="I7" s="546"/>
      <c r="J7" s="545"/>
      <c r="K7" s="548"/>
      <c r="L7" s="545"/>
      <c r="M7" s="545"/>
      <c r="N7" s="545"/>
      <c r="O7" s="545"/>
    </row>
    <row r="8" spans="1:15" x14ac:dyDescent="0.2">
      <c r="A8" s="545"/>
      <c r="B8" s="545"/>
      <c r="C8" s="545"/>
      <c r="D8" s="545"/>
      <c r="E8" s="545"/>
      <c r="F8" s="549"/>
      <c r="G8" s="545"/>
      <c r="H8" s="545"/>
      <c r="I8" s="545"/>
      <c r="J8" s="1185" t="s">
        <v>803</v>
      </c>
      <c r="K8" s="1185"/>
      <c r="L8" s="1185"/>
      <c r="M8" s="545"/>
      <c r="N8" s="545"/>
      <c r="O8" s="545"/>
    </row>
    <row r="9" spans="1:15" x14ac:dyDescent="0.2">
      <c r="A9" s="545"/>
      <c r="B9" s="545"/>
      <c r="C9" s="545"/>
      <c r="D9" s="545"/>
      <c r="E9" s="545"/>
      <c r="F9" s="549"/>
      <c r="G9" s="545"/>
      <c r="H9" s="545"/>
      <c r="I9" s="545"/>
      <c r="J9" s="548" t="s">
        <v>804</v>
      </c>
      <c r="K9" s="548"/>
      <c r="L9" s="545"/>
      <c r="M9" s="545"/>
      <c r="N9" s="545"/>
      <c r="O9" s="545"/>
    </row>
    <row r="10" spans="1:15" x14ac:dyDescent="0.2">
      <c r="A10" s="545"/>
      <c r="B10" s="545"/>
      <c r="C10" s="545"/>
      <c r="D10" s="545"/>
      <c r="E10" s="545"/>
      <c r="F10" s="549"/>
      <c r="G10" s="545"/>
      <c r="H10" s="545"/>
      <c r="I10" s="545"/>
      <c r="J10" s="548" t="s">
        <v>805</v>
      </c>
      <c r="K10" s="548"/>
      <c r="L10" s="545"/>
      <c r="M10" s="545"/>
      <c r="N10" s="545"/>
      <c r="O10" s="545"/>
    </row>
    <row r="11" spans="1:15" x14ac:dyDescent="0.2">
      <c r="A11" s="545"/>
      <c r="B11" s="545"/>
      <c r="C11" s="545"/>
      <c r="D11" s="550"/>
      <c r="E11" s="550"/>
      <c r="F11" s="549"/>
      <c r="G11" s="550"/>
      <c r="H11" s="550"/>
      <c r="I11" s="550"/>
      <c r="J11" s="548" t="s">
        <v>806</v>
      </c>
      <c r="K11" s="548"/>
      <c r="L11" s="548" t="s">
        <v>806</v>
      </c>
      <c r="M11" s="545"/>
      <c r="N11" s="545"/>
      <c r="O11" s="545"/>
    </row>
    <row r="12" spans="1:15" x14ac:dyDescent="0.2">
      <c r="A12" s="545"/>
      <c r="B12" s="545"/>
      <c r="C12" s="545"/>
      <c r="D12" s="548" t="s">
        <v>804</v>
      </c>
      <c r="E12" s="545"/>
      <c r="F12" s="549"/>
      <c r="G12" s="545"/>
      <c r="H12" s="548" t="s">
        <v>807</v>
      </c>
      <c r="I12" s="548"/>
      <c r="J12" s="548" t="s">
        <v>808</v>
      </c>
      <c r="K12" s="548"/>
      <c r="L12" s="548" t="s">
        <v>808</v>
      </c>
      <c r="M12" s="545"/>
      <c r="N12" s="545"/>
      <c r="O12" s="545"/>
    </row>
    <row r="13" spans="1:15" x14ac:dyDescent="0.2">
      <c r="A13" s="545"/>
      <c r="B13" s="545"/>
      <c r="C13" s="545"/>
      <c r="D13" s="551" t="s">
        <v>809</v>
      </c>
      <c r="E13" s="545"/>
      <c r="F13" s="551" t="s">
        <v>810</v>
      </c>
      <c r="G13" s="545"/>
      <c r="H13" s="551" t="s">
        <v>811</v>
      </c>
      <c r="I13" s="548"/>
      <c r="J13" s="552" t="s">
        <v>812</v>
      </c>
      <c r="K13" s="548"/>
      <c r="L13" s="552" t="s">
        <v>812</v>
      </c>
      <c r="M13" s="545"/>
      <c r="N13" s="545"/>
      <c r="O13" s="545"/>
    </row>
    <row r="14" spans="1:15" x14ac:dyDescent="0.2">
      <c r="A14" s="553" t="s">
        <v>813</v>
      </c>
      <c r="B14" s="545"/>
      <c r="C14" s="545"/>
      <c r="D14" s="545"/>
      <c r="E14" s="545"/>
      <c r="F14" s="549"/>
      <c r="G14" s="545"/>
      <c r="H14" s="545"/>
      <c r="I14" s="545"/>
      <c r="J14" s="545"/>
      <c r="K14" s="548"/>
      <c r="L14" s="545"/>
      <c r="M14" s="545"/>
      <c r="N14" s="545"/>
      <c r="O14" s="545"/>
    </row>
    <row r="15" spans="1:15" x14ac:dyDescent="0.2">
      <c r="A15" s="545"/>
      <c r="B15" s="553" t="s">
        <v>814</v>
      </c>
      <c r="C15" s="545"/>
      <c r="D15" s="545"/>
      <c r="E15" s="545"/>
      <c r="F15" s="549"/>
      <c r="G15" s="545"/>
      <c r="H15" s="545"/>
      <c r="I15" s="545"/>
      <c r="J15" s="545"/>
      <c r="K15" s="548"/>
      <c r="L15" s="545"/>
      <c r="M15" s="545"/>
      <c r="N15" s="545"/>
      <c r="O15" s="545"/>
    </row>
    <row r="16" spans="1:15" x14ac:dyDescent="0.2">
      <c r="A16" s="545"/>
      <c r="B16" s="553" t="s">
        <v>815</v>
      </c>
      <c r="C16" s="545"/>
      <c r="D16" s="554">
        <f>6487478196-22196279+5833288</f>
        <v>6471115205</v>
      </c>
      <c r="E16" s="554"/>
      <c r="F16" s="555">
        <v>0.86</v>
      </c>
      <c r="G16" s="554"/>
      <c r="H16" s="554">
        <f>+D16/100*F16</f>
        <v>55651590.762999997</v>
      </c>
      <c r="I16" s="554"/>
      <c r="J16" s="556">
        <v>54143649.485600002</v>
      </c>
      <c r="K16" s="557"/>
      <c r="L16" s="558">
        <f>1648663-190888+50166</f>
        <v>1507941</v>
      </c>
      <c r="M16" s="255">
        <v>8.6E-3</v>
      </c>
      <c r="N16" s="545"/>
      <c r="O16" s="545"/>
    </row>
    <row r="17" spans="1:16" x14ac:dyDescent="0.2">
      <c r="A17" s="545"/>
      <c r="B17" s="553" t="s">
        <v>816</v>
      </c>
      <c r="C17" s="545"/>
      <c r="D17" s="559">
        <v>7983023</v>
      </c>
      <c r="E17" s="545"/>
      <c r="F17" s="555">
        <v>0.86</v>
      </c>
      <c r="G17" s="545"/>
      <c r="H17" s="560">
        <v>68654</v>
      </c>
      <c r="I17" s="561"/>
      <c r="J17" s="562">
        <v>68654</v>
      </c>
      <c r="K17" s="563"/>
      <c r="L17" s="562">
        <v>0</v>
      </c>
      <c r="M17" s="545"/>
      <c r="N17" s="545"/>
      <c r="O17" s="545"/>
    </row>
    <row r="18" spans="1:16" ht="15" customHeight="1" x14ac:dyDescent="0.2">
      <c r="A18" s="545"/>
      <c r="B18" s="545"/>
      <c r="C18" s="553" t="s">
        <v>6</v>
      </c>
      <c r="D18" s="560">
        <f>SUM(D16:D17)</f>
        <v>6479098228</v>
      </c>
      <c r="E18" s="545"/>
      <c r="F18" s="555"/>
      <c r="G18" s="545"/>
      <c r="H18" s="560">
        <f>SUM(H16:H17)</f>
        <v>55720244.762999997</v>
      </c>
      <c r="I18" s="561"/>
      <c r="J18" s="560">
        <f>SUM(J16:J17)</f>
        <v>54212303.485600002</v>
      </c>
      <c r="K18" s="548"/>
      <c r="L18" s="560">
        <f>SUM(L16:L17)</f>
        <v>1507941</v>
      </c>
      <c r="M18" s="545"/>
      <c r="N18" s="545"/>
      <c r="O18" s="419"/>
      <c r="P18" s="545"/>
    </row>
    <row r="19" spans="1:16" x14ac:dyDescent="0.2">
      <c r="A19" s="545"/>
      <c r="B19" s="545"/>
      <c r="C19" s="545"/>
      <c r="D19" s="545"/>
      <c r="E19" s="545"/>
      <c r="F19" s="555"/>
      <c r="G19" s="545"/>
      <c r="H19" s="545"/>
      <c r="I19" s="545"/>
      <c r="J19" s="545"/>
      <c r="K19" s="548"/>
      <c r="L19" s="545"/>
      <c r="M19" s="545"/>
      <c r="N19" s="545"/>
      <c r="O19" s="419"/>
      <c r="P19" s="545"/>
    </row>
    <row r="20" spans="1:16" x14ac:dyDescent="0.2">
      <c r="A20" s="553" t="s">
        <v>817</v>
      </c>
      <c r="B20" s="545"/>
      <c r="C20" s="545"/>
      <c r="D20" s="561"/>
      <c r="E20" s="545"/>
      <c r="F20" s="555"/>
      <c r="G20" s="545"/>
      <c r="H20" s="561"/>
      <c r="I20" s="561"/>
      <c r="J20" s="545"/>
      <c r="K20" s="548"/>
      <c r="L20" s="545"/>
      <c r="M20" s="545"/>
      <c r="N20" s="545"/>
      <c r="O20" s="419"/>
      <c r="P20" s="545"/>
    </row>
    <row r="21" spans="1:16" x14ac:dyDescent="0.2">
      <c r="A21" s="545"/>
      <c r="B21" s="553" t="s">
        <v>818</v>
      </c>
      <c r="C21" s="545"/>
      <c r="D21" s="561">
        <v>28033700</v>
      </c>
      <c r="E21" s="545"/>
      <c r="F21" s="555">
        <v>0.86</v>
      </c>
      <c r="G21" s="545"/>
      <c r="H21" s="561">
        <f>D21/100*F21</f>
        <v>241089.82</v>
      </c>
      <c r="I21" s="561"/>
      <c r="J21" s="564">
        <f>H21-L21</f>
        <v>233985.82</v>
      </c>
      <c r="K21" s="548"/>
      <c r="L21" s="299">
        <v>7104</v>
      </c>
      <c r="M21" s="545"/>
      <c r="N21" s="545"/>
      <c r="O21" s="326"/>
      <c r="P21" s="326"/>
    </row>
    <row r="22" spans="1:16" x14ac:dyDescent="0.2">
      <c r="A22" s="545"/>
      <c r="B22" s="553" t="s">
        <v>819</v>
      </c>
      <c r="C22" s="545"/>
      <c r="D22" s="565">
        <v>47562558</v>
      </c>
      <c r="E22" s="545"/>
      <c r="F22" s="555">
        <v>0.86</v>
      </c>
      <c r="G22" s="545"/>
      <c r="H22" s="561">
        <v>409038</v>
      </c>
      <c r="I22" s="561"/>
      <c r="J22" s="564">
        <f>H22-L22</f>
        <v>409038</v>
      </c>
      <c r="K22" s="548"/>
      <c r="L22" s="566">
        <v>0</v>
      </c>
      <c r="M22" s="545"/>
      <c r="N22" s="545"/>
      <c r="O22" s="419"/>
      <c r="P22" s="545"/>
    </row>
    <row r="23" spans="1:16" x14ac:dyDescent="0.2">
      <c r="A23" s="545"/>
      <c r="B23" s="553" t="s">
        <v>816</v>
      </c>
      <c r="C23" s="545"/>
      <c r="D23" s="559">
        <v>16509070</v>
      </c>
      <c r="E23" s="545"/>
      <c r="F23" s="549">
        <v>0.86</v>
      </c>
      <c r="G23" s="545"/>
      <c r="H23" s="560">
        <v>141978</v>
      </c>
      <c r="I23" s="561"/>
      <c r="J23" s="564">
        <f>H23-L23</f>
        <v>141978</v>
      </c>
      <c r="K23" s="548"/>
      <c r="L23" s="567">
        <v>0</v>
      </c>
      <c r="M23" s="545"/>
      <c r="N23" s="545"/>
      <c r="O23" s="545"/>
      <c r="P23" s="545"/>
    </row>
    <row r="24" spans="1:16" ht="15" customHeight="1" x14ac:dyDescent="0.2">
      <c r="A24" s="545"/>
      <c r="B24" s="545"/>
      <c r="C24" s="553" t="s">
        <v>6</v>
      </c>
      <c r="D24" s="560">
        <f>SUM(D21:D23)</f>
        <v>92105328</v>
      </c>
      <c r="E24" s="545"/>
      <c r="F24" s="549"/>
      <c r="G24" s="545"/>
      <c r="H24" s="560">
        <f>SUM(H21:H23)</f>
        <v>792105.82000000007</v>
      </c>
      <c r="I24" s="561"/>
      <c r="J24" s="568">
        <f>SUM(J21:J23)</f>
        <v>785001.82000000007</v>
      </c>
      <c r="K24" s="548"/>
      <c r="L24" s="560">
        <f>SUM(L21:L23)</f>
        <v>7104</v>
      </c>
      <c r="M24" s="545"/>
      <c r="N24" s="545"/>
      <c r="O24" s="419"/>
      <c r="P24" s="545"/>
    </row>
    <row r="25" spans="1:16" x14ac:dyDescent="0.2">
      <c r="A25" s="545"/>
      <c r="B25" s="545"/>
      <c r="C25" s="545"/>
      <c r="D25" s="545"/>
      <c r="E25" s="545"/>
      <c r="F25" s="549"/>
      <c r="G25" s="545"/>
      <c r="H25" s="561"/>
      <c r="I25" s="561"/>
      <c r="J25" s="545"/>
      <c r="K25" s="548"/>
      <c r="L25" s="545"/>
      <c r="M25" s="545"/>
      <c r="N25" s="545"/>
      <c r="O25" s="419"/>
      <c r="P25" s="545"/>
    </row>
    <row r="26" spans="1:16" x14ac:dyDescent="0.2">
      <c r="A26" s="553" t="s">
        <v>820</v>
      </c>
      <c r="B26" s="545"/>
      <c r="C26" s="545"/>
      <c r="D26" s="560">
        <v>-89238953</v>
      </c>
      <c r="E26" s="545"/>
      <c r="F26" s="549">
        <v>0.86</v>
      </c>
      <c r="G26" s="545"/>
      <c r="H26" s="560">
        <v>-767455</v>
      </c>
      <c r="I26" s="561"/>
      <c r="J26" s="560">
        <v>-767455</v>
      </c>
      <c r="K26" s="548"/>
      <c r="L26" s="569">
        <v>0</v>
      </c>
      <c r="M26" s="545"/>
      <c r="N26" s="545"/>
      <c r="O26" s="419"/>
      <c r="P26" s="545"/>
    </row>
    <row r="27" spans="1:16" ht="18" customHeight="1" thickBot="1" x14ac:dyDescent="0.25">
      <c r="A27" s="545"/>
      <c r="B27" s="545"/>
      <c r="C27" s="553" t="s">
        <v>821</v>
      </c>
      <c r="D27" s="570">
        <f>D18+D24+D26</f>
        <v>6481964603</v>
      </c>
      <c r="E27" s="545"/>
      <c r="F27" s="549"/>
      <c r="G27" s="545"/>
      <c r="H27" s="561"/>
      <c r="I27" s="561"/>
      <c r="J27" s="545"/>
      <c r="K27" s="548"/>
      <c r="L27" s="545"/>
      <c r="M27" s="545"/>
      <c r="N27" s="545"/>
      <c r="O27" s="419"/>
      <c r="P27" s="545"/>
    </row>
    <row r="28" spans="1:16" ht="13.5" thickTop="1" x14ac:dyDescent="0.2">
      <c r="A28" s="545"/>
      <c r="B28" s="545"/>
      <c r="C28" s="545"/>
      <c r="D28" s="561"/>
      <c r="E28" s="545"/>
      <c r="F28" s="549"/>
      <c r="G28" s="545"/>
      <c r="H28" s="561"/>
      <c r="I28" s="561"/>
      <c r="J28" s="545"/>
      <c r="K28" s="548"/>
      <c r="L28" s="545"/>
      <c r="M28" s="545"/>
      <c r="N28" s="545"/>
      <c r="O28" s="419"/>
      <c r="P28" s="545"/>
    </row>
    <row r="29" spans="1:16" x14ac:dyDescent="0.2">
      <c r="A29" s="553" t="s">
        <v>822</v>
      </c>
      <c r="B29" s="545"/>
      <c r="C29" s="545"/>
      <c r="D29" s="561"/>
      <c r="E29" s="545"/>
      <c r="F29" s="549"/>
      <c r="G29" s="545"/>
      <c r="H29" s="561">
        <f>+H18+H24+H26</f>
        <v>55744895.582999997</v>
      </c>
      <c r="I29" s="549" t="s">
        <v>782</v>
      </c>
      <c r="J29" s="561">
        <f>+J18+J24+J26</f>
        <v>54229850.305600002</v>
      </c>
      <c r="K29" s="548"/>
      <c r="L29" s="561">
        <f>+L18+L24+L26</f>
        <v>1515045</v>
      </c>
      <c r="M29" s="545"/>
      <c r="N29" s="545"/>
      <c r="O29" s="419"/>
      <c r="P29" s="545"/>
    </row>
    <row r="30" spans="1:16" x14ac:dyDescent="0.2">
      <c r="A30" s="545"/>
      <c r="B30" s="545"/>
      <c r="C30" s="545"/>
      <c r="D30" s="545"/>
      <c r="E30" s="545"/>
      <c r="F30" s="549"/>
      <c r="G30" s="545"/>
      <c r="H30" s="545"/>
      <c r="I30" s="549"/>
      <c r="J30" s="545"/>
      <c r="K30" s="548"/>
      <c r="L30" s="545"/>
      <c r="M30" s="545"/>
      <c r="N30" s="545"/>
      <c r="O30" s="419"/>
      <c r="P30" s="545"/>
    </row>
    <row r="31" spans="1:16" x14ac:dyDescent="0.2">
      <c r="A31" s="553" t="s">
        <v>992</v>
      </c>
      <c r="B31" s="545"/>
      <c r="C31" s="545"/>
      <c r="D31" s="561"/>
      <c r="E31" s="545" t="s">
        <v>991</v>
      </c>
      <c r="F31" s="549"/>
      <c r="G31" s="545"/>
      <c r="H31" s="560">
        <f>J31+L31</f>
        <v>1148113.6100000001</v>
      </c>
      <c r="I31" s="549" t="s">
        <v>784</v>
      </c>
      <c r="J31" s="571">
        <f>1148111.61+2</f>
        <v>1148113.6100000001</v>
      </c>
      <c r="K31" s="563"/>
      <c r="L31" s="562">
        <v>0</v>
      </c>
      <c r="M31" s="545"/>
      <c r="N31" s="545"/>
      <c r="O31" s="419"/>
      <c r="P31" s="545"/>
    </row>
    <row r="32" spans="1:16" x14ac:dyDescent="0.2">
      <c r="A32" s="545"/>
      <c r="B32" s="545"/>
      <c r="C32" s="545"/>
      <c r="D32" s="561"/>
      <c r="E32" s="545"/>
      <c r="F32" s="549"/>
      <c r="G32" s="545"/>
      <c r="H32" s="561"/>
      <c r="I32" s="549"/>
      <c r="J32" s="545"/>
      <c r="K32" s="548"/>
      <c r="L32" s="545"/>
      <c r="M32" s="545"/>
      <c r="N32" s="545"/>
      <c r="O32" s="419"/>
      <c r="P32" s="545"/>
    </row>
    <row r="33" spans="1:16" ht="13.5" thickBot="1" x14ac:dyDescent="0.25">
      <c r="A33" s="553" t="s">
        <v>823</v>
      </c>
      <c r="B33" s="545"/>
      <c r="C33" s="545"/>
      <c r="D33" s="561"/>
      <c r="E33" s="545"/>
      <c r="F33" s="549"/>
      <c r="G33" s="545"/>
      <c r="H33" s="570">
        <f>H29-H31</f>
        <v>54596781.972999997</v>
      </c>
      <c r="I33" s="549" t="s">
        <v>783</v>
      </c>
      <c r="J33" s="570">
        <f>J29-J31</f>
        <v>53081736.695600003</v>
      </c>
      <c r="K33" s="549"/>
      <c r="L33" s="570">
        <f>L29-L31</f>
        <v>1515045</v>
      </c>
      <c r="M33" s="545"/>
      <c r="N33" s="545"/>
      <c r="O33" s="419"/>
      <c r="P33" s="545"/>
    </row>
    <row r="34" spans="1:16" ht="13.5" thickTop="1" x14ac:dyDescent="0.2">
      <c r="A34" s="545"/>
      <c r="B34" s="545"/>
      <c r="C34" s="545"/>
      <c r="D34" s="561"/>
      <c r="E34" s="545"/>
      <c r="F34" s="549"/>
      <c r="G34" s="545"/>
      <c r="H34" s="561"/>
      <c r="I34" s="561"/>
      <c r="J34" s="545"/>
      <c r="K34" s="548"/>
      <c r="L34" s="545"/>
    </row>
    <row r="35" spans="1:16" ht="13.5" thickBot="1" x14ac:dyDescent="0.25">
      <c r="A35" s="553" t="s">
        <v>824</v>
      </c>
      <c r="B35" s="545"/>
      <c r="C35" s="545"/>
      <c r="D35" s="561"/>
      <c r="E35" s="545"/>
      <c r="F35" s="549"/>
      <c r="G35" s="545"/>
      <c r="H35" s="572">
        <f>+H33/H29</f>
        <v>0.9794041481647312</v>
      </c>
      <c r="I35" s="573"/>
      <c r="J35" s="572">
        <f>+J33/J29</f>
        <v>0.97882875199673125</v>
      </c>
      <c r="K35" s="548"/>
      <c r="L35" s="675">
        <f>+L33/L29</f>
        <v>1</v>
      </c>
    </row>
    <row r="36" spans="1:16" ht="13.5" thickTop="1" x14ac:dyDescent="0.2">
      <c r="A36" s="553"/>
      <c r="B36" s="545"/>
      <c r="C36" s="545"/>
      <c r="D36" s="561"/>
      <c r="E36" s="545"/>
      <c r="F36" s="549"/>
      <c r="G36" s="545"/>
      <c r="H36" s="573"/>
      <c r="I36" s="573"/>
      <c r="J36" s="573"/>
      <c r="K36" s="548"/>
      <c r="L36" s="573"/>
    </row>
    <row r="37" spans="1:16" x14ac:dyDescent="0.2">
      <c r="A37" s="553"/>
      <c r="B37" s="545"/>
      <c r="C37" s="545"/>
      <c r="D37" s="561"/>
      <c r="E37" s="545"/>
      <c r="F37" s="549"/>
      <c r="G37" s="545"/>
      <c r="H37" s="573"/>
      <c r="I37" s="573"/>
      <c r="J37" s="573"/>
      <c r="K37" s="548"/>
      <c r="L37" s="573"/>
    </row>
    <row r="38" spans="1:16" ht="13.5" thickBot="1" x14ac:dyDescent="0.25">
      <c r="A38" s="545"/>
      <c r="B38" s="545"/>
      <c r="C38" s="545"/>
      <c r="D38" s="545"/>
      <c r="E38" s="545"/>
      <c r="F38" s="549"/>
      <c r="G38" s="545"/>
      <c r="H38" s="545"/>
      <c r="I38" s="545"/>
      <c r="J38" s="545"/>
      <c r="K38" s="548"/>
      <c r="L38" s="545"/>
    </row>
    <row r="39" spans="1:16" x14ac:dyDescent="0.2">
      <c r="A39" s="545"/>
      <c r="B39" s="1163" t="s">
        <v>990</v>
      </c>
      <c r="C39" s="1164"/>
      <c r="D39" s="1164"/>
      <c r="E39" s="1164"/>
      <c r="F39" s="1164"/>
      <c r="G39" s="1164"/>
      <c r="H39" s="1164"/>
      <c r="I39" s="1164"/>
      <c r="J39" s="1164"/>
      <c r="K39" s="1164"/>
      <c r="L39" s="1165"/>
    </row>
    <row r="40" spans="1:16" ht="21.75" customHeight="1" thickBot="1" x14ac:dyDescent="0.25">
      <c r="A40" s="545"/>
      <c r="B40" s="1166"/>
      <c r="C40" s="1167"/>
      <c r="D40" s="1167"/>
      <c r="E40" s="1167"/>
      <c r="F40" s="1167"/>
      <c r="G40" s="1167"/>
      <c r="H40" s="1167"/>
      <c r="I40" s="1167"/>
      <c r="J40" s="1167"/>
      <c r="K40" s="1167"/>
      <c r="L40" s="1168"/>
    </row>
    <row r="41" spans="1:16" ht="13.5" thickBot="1" x14ac:dyDescent="0.25">
      <c r="A41" s="545"/>
      <c r="B41" s="545"/>
      <c r="C41" s="545"/>
      <c r="D41" s="545"/>
      <c r="E41" s="545"/>
      <c r="F41" s="549"/>
      <c r="G41" s="545"/>
      <c r="H41" s="545"/>
      <c r="I41" s="545"/>
      <c r="J41" s="545"/>
      <c r="K41" s="548"/>
      <c r="L41" s="545"/>
    </row>
    <row r="42" spans="1:16" ht="14.45" customHeight="1" x14ac:dyDescent="0.2">
      <c r="A42" s="256"/>
      <c r="B42" s="1178" t="s">
        <v>825</v>
      </c>
      <c r="C42" s="1080"/>
      <c r="D42" s="1080"/>
      <c r="E42" s="1080"/>
      <c r="F42" s="1080"/>
      <c r="G42" s="1080"/>
      <c r="H42" s="1080"/>
      <c r="I42" s="1080"/>
      <c r="J42" s="1080"/>
      <c r="K42" s="1080"/>
      <c r="L42" s="1081"/>
    </row>
    <row r="43" spans="1:16" ht="14.45" customHeight="1" x14ac:dyDescent="0.2">
      <c r="A43" s="545"/>
      <c r="B43" s="1179"/>
      <c r="C43" s="1040"/>
      <c r="D43" s="1040"/>
      <c r="E43" s="1040"/>
      <c r="F43" s="1040"/>
      <c r="G43" s="1040"/>
      <c r="H43" s="1040"/>
      <c r="I43" s="1040"/>
      <c r="J43" s="1040"/>
      <c r="K43" s="1040"/>
      <c r="L43" s="1180"/>
    </row>
    <row r="44" spans="1:16" ht="14.45" customHeight="1" x14ac:dyDescent="0.2">
      <c r="A44" s="545"/>
      <c r="B44" s="1179"/>
      <c r="C44" s="1040"/>
      <c r="D44" s="1040"/>
      <c r="E44" s="1040"/>
      <c r="F44" s="1040"/>
      <c r="G44" s="1040"/>
      <c r="H44" s="1040"/>
      <c r="I44" s="1040"/>
      <c r="J44" s="1040"/>
      <c r="K44" s="1040"/>
      <c r="L44" s="1180"/>
    </row>
    <row r="45" spans="1:16" ht="14.45" customHeight="1" x14ac:dyDescent="0.2">
      <c r="A45" s="545"/>
      <c r="B45" s="1181" t="s">
        <v>1199</v>
      </c>
      <c r="C45" s="1040"/>
      <c r="D45" s="1040"/>
      <c r="E45" s="1040"/>
      <c r="F45" s="1040"/>
      <c r="G45" s="1040"/>
      <c r="H45" s="1040"/>
      <c r="I45" s="1040"/>
      <c r="J45" s="1040"/>
      <c r="K45" s="1040"/>
      <c r="L45" s="1180"/>
    </row>
    <row r="46" spans="1:16" ht="14.45" customHeight="1" x14ac:dyDescent="0.2">
      <c r="A46" s="545"/>
      <c r="B46" s="1179"/>
      <c r="C46" s="1040"/>
      <c r="D46" s="1040"/>
      <c r="E46" s="1040"/>
      <c r="F46" s="1040"/>
      <c r="G46" s="1040"/>
      <c r="H46" s="1040"/>
      <c r="I46" s="1040"/>
      <c r="J46" s="1040"/>
      <c r="K46" s="1040"/>
      <c r="L46" s="1180"/>
    </row>
    <row r="47" spans="1:16" ht="7.5" customHeight="1" x14ac:dyDescent="0.2">
      <c r="A47" s="545"/>
      <c r="B47" s="1179"/>
      <c r="C47" s="1040"/>
      <c r="D47" s="1040"/>
      <c r="E47" s="1040"/>
      <c r="F47" s="1040"/>
      <c r="G47" s="1040"/>
      <c r="H47" s="1040"/>
      <c r="I47" s="1040"/>
      <c r="J47" s="1040"/>
      <c r="K47" s="1040"/>
      <c r="L47" s="1180"/>
    </row>
    <row r="48" spans="1:16" ht="15.6" customHeight="1" x14ac:dyDescent="0.2">
      <c r="A48" s="545"/>
      <c r="B48" s="1181" t="s">
        <v>993</v>
      </c>
      <c r="C48" s="1042"/>
      <c r="D48" s="1042"/>
      <c r="E48" s="1042"/>
      <c r="F48" s="1042"/>
      <c r="G48" s="1042"/>
      <c r="H48" s="1042"/>
      <c r="I48" s="1042"/>
      <c r="J48" s="1042"/>
      <c r="K48" s="1042"/>
      <c r="L48" s="1182"/>
    </row>
    <row r="49" spans="2:15" ht="15.6" customHeight="1" x14ac:dyDescent="0.2">
      <c r="B49" s="1183"/>
      <c r="C49" s="1042"/>
      <c r="D49" s="1042"/>
      <c r="E49" s="1042"/>
      <c r="F49" s="1042"/>
      <c r="G49" s="1042"/>
      <c r="H49" s="1042"/>
      <c r="I49" s="1042"/>
      <c r="J49" s="1042"/>
      <c r="K49" s="1042"/>
      <c r="L49" s="1182"/>
      <c r="M49" s="545"/>
      <c r="N49" s="545"/>
      <c r="O49" s="419"/>
    </row>
    <row r="50" spans="2:15" ht="15.6" customHeight="1" x14ac:dyDescent="0.2">
      <c r="B50" s="1183"/>
      <c r="C50" s="1042"/>
      <c r="D50" s="1042"/>
      <c r="E50" s="1042"/>
      <c r="F50" s="1042"/>
      <c r="G50" s="1042"/>
      <c r="H50" s="1042"/>
      <c r="I50" s="1042"/>
      <c r="J50" s="1042"/>
      <c r="K50" s="1042"/>
      <c r="L50" s="1182"/>
      <c r="M50" s="545"/>
      <c r="N50" s="545"/>
      <c r="O50" s="419"/>
    </row>
    <row r="51" spans="2:15" ht="9" customHeight="1" thickBot="1" x14ac:dyDescent="0.25">
      <c r="B51" s="1166"/>
      <c r="C51" s="1167"/>
      <c r="D51" s="1167"/>
      <c r="E51" s="1167"/>
      <c r="F51" s="1167"/>
      <c r="G51" s="1167"/>
      <c r="H51" s="1167"/>
      <c r="I51" s="1167"/>
      <c r="J51" s="1167"/>
      <c r="K51" s="1167"/>
      <c r="L51" s="1168"/>
      <c r="M51" s="545"/>
      <c r="N51" s="545"/>
      <c r="O51" s="419"/>
    </row>
    <row r="53" spans="2:15" ht="14.45" customHeight="1" x14ac:dyDescent="0.2">
      <c r="B53" s="1169" t="s">
        <v>826</v>
      </c>
      <c r="C53" s="1170"/>
      <c r="D53" s="1170"/>
      <c r="E53" s="1170"/>
      <c r="F53" s="1170"/>
      <c r="G53" s="1170"/>
      <c r="H53" s="1170"/>
      <c r="I53" s="1170"/>
      <c r="J53" s="1170"/>
      <c r="K53" s="1170"/>
      <c r="L53" s="1171"/>
      <c r="M53" s="545"/>
      <c r="N53" s="545"/>
      <c r="O53" s="545"/>
    </row>
    <row r="54" spans="2:15" ht="14.45" customHeight="1" x14ac:dyDescent="0.2">
      <c r="B54" s="1172"/>
      <c r="C54" s="1173"/>
      <c r="D54" s="1173"/>
      <c r="E54" s="1173"/>
      <c r="F54" s="1173"/>
      <c r="G54" s="1173"/>
      <c r="H54" s="1173"/>
      <c r="I54" s="1173"/>
      <c r="J54" s="1173"/>
      <c r="K54" s="1173"/>
      <c r="L54" s="1174"/>
      <c r="M54" s="545"/>
      <c r="N54" s="545"/>
      <c r="O54" s="545"/>
    </row>
    <row r="55" spans="2:15" ht="14.45" customHeight="1" x14ac:dyDescent="0.2">
      <c r="B55" s="1175"/>
      <c r="C55" s="1176"/>
      <c r="D55" s="1176"/>
      <c r="E55" s="1176"/>
      <c r="F55" s="1176"/>
      <c r="G55" s="1176"/>
      <c r="H55" s="1176"/>
      <c r="I55" s="1176"/>
      <c r="J55" s="1176"/>
      <c r="K55" s="1176"/>
      <c r="L55" s="1177"/>
      <c r="M55" s="545"/>
      <c r="N55" s="545"/>
      <c r="O55" s="545"/>
    </row>
  </sheetData>
  <customSheetViews>
    <customSheetView guid="{E0C60316-4586-4AAF-92CB-FA82BB1EB755}">
      <selection sqref="A1:L1"/>
      <pageMargins left="0" right="0" top="0" bottom="0" header="0" footer="0"/>
      <printOptions horizontalCentered="1"/>
      <pageSetup scale="86" firstPageNumber="138" fitToHeight="0" orientation="portrait" useFirstPageNumber="1" r:id="rId1"/>
      <headerFooter alignWithMargins="0"/>
    </customSheetView>
    <customSheetView guid="{A8748736-0722-49EB-85B6-C9B52DDCFE0E}" showPageBreaks="1" printArea="1" topLeftCell="A25">
      <selection activeCell="B39" sqref="B39:L41"/>
      <pageMargins left="0.75" right="0.75" top="1" bottom="1" header="0.5" footer="0.5"/>
      <printOptions horizontalCentered="1"/>
      <pageSetup scale="86" firstPageNumber="138" fitToHeight="0" orientation="portrait" useFirstPageNumber="1" r:id="rId2"/>
      <headerFooter alignWithMargins="0"/>
    </customSheetView>
  </customSheetViews>
  <mergeCells count="10">
    <mergeCell ref="A1:L1"/>
    <mergeCell ref="A2:L2"/>
    <mergeCell ref="A3:L3"/>
    <mergeCell ref="A4:L4"/>
    <mergeCell ref="J8:L8"/>
    <mergeCell ref="B39:L40"/>
    <mergeCell ref="B53:L55"/>
    <mergeCell ref="B42:L44"/>
    <mergeCell ref="B45:L47"/>
    <mergeCell ref="B48:L51"/>
  </mergeCells>
  <printOptions horizontalCentered="1"/>
  <pageMargins left="0.75" right="0.75" top="1" bottom="1" header="0.5" footer="0.5"/>
  <pageSetup scale="86" firstPageNumber="138" fitToHeight="0" orientation="portrait" useFirstPageNumber="1" r:id="rId3"/>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ransitionEvaluation="1">
    <tabColor theme="7" tint="0.59999389629810485"/>
  </sheetPr>
  <dimension ref="A1:Q62"/>
  <sheetViews>
    <sheetView workbookViewId="0">
      <selection activeCell="A5" sqref="A5"/>
    </sheetView>
  </sheetViews>
  <sheetFormatPr defaultColWidth="8.42578125" defaultRowHeight="12.75" x14ac:dyDescent="0.2"/>
  <cols>
    <col min="1" max="2" width="10.5703125" style="258" customWidth="1"/>
    <col min="3" max="3" width="13.42578125" style="258" customWidth="1"/>
    <col min="4" max="4" width="1.7109375" style="258" customWidth="1"/>
    <col min="5" max="5" width="13.42578125" style="258" customWidth="1"/>
    <col min="6" max="6" width="3.140625" style="258" customWidth="1"/>
    <col min="7" max="7" width="13.42578125" style="258" customWidth="1"/>
    <col min="8" max="8" width="3.140625" style="258" customWidth="1"/>
    <col min="9" max="9" width="13.42578125" style="258" customWidth="1"/>
    <col min="10" max="10" width="3.140625" style="258" bestFit="1" customWidth="1"/>
    <col min="11" max="11" width="8.42578125" style="258"/>
    <col min="12" max="12" width="12.85546875" style="258" bestFit="1" customWidth="1"/>
    <col min="13" max="16384" width="8.42578125" style="258"/>
  </cols>
  <sheetData>
    <row r="1" spans="1:13" x14ac:dyDescent="0.2">
      <c r="A1" s="257" t="s">
        <v>0</v>
      </c>
      <c r="B1" s="529"/>
      <c r="C1" s="529"/>
      <c r="D1" s="529"/>
      <c r="E1" s="529"/>
      <c r="F1" s="529"/>
      <c r="G1" s="529"/>
      <c r="H1" s="529"/>
      <c r="I1" s="529"/>
      <c r="J1" s="314"/>
      <c r="K1" s="314"/>
      <c r="L1" s="314"/>
      <c r="M1" s="314"/>
    </row>
    <row r="2" spans="1:13" x14ac:dyDescent="0.2">
      <c r="A2" s="257" t="s">
        <v>140</v>
      </c>
      <c r="B2" s="529"/>
      <c r="C2" s="529"/>
      <c r="D2" s="529"/>
      <c r="E2" s="529"/>
      <c r="F2" s="529"/>
      <c r="G2" s="529"/>
      <c r="H2" s="529"/>
      <c r="I2" s="529"/>
      <c r="J2" s="314"/>
      <c r="K2" s="314"/>
      <c r="L2" s="314"/>
      <c r="M2" s="314"/>
    </row>
    <row r="3" spans="1:13" x14ac:dyDescent="0.2">
      <c r="A3" s="257" t="s">
        <v>773</v>
      </c>
      <c r="B3" s="529"/>
      <c r="C3" s="529"/>
      <c r="D3" s="529"/>
      <c r="E3" s="529"/>
      <c r="F3" s="529"/>
      <c r="G3" s="529"/>
      <c r="H3" s="529"/>
      <c r="I3" s="529"/>
      <c r="J3" s="314"/>
      <c r="K3" s="314"/>
      <c r="L3" s="314"/>
      <c r="M3" s="314"/>
    </row>
    <row r="4" spans="1:13" x14ac:dyDescent="0.2">
      <c r="A4" s="259" t="str">
        <f>'GWStmtAct 68 Exh 2'!A3</f>
        <v>For the Year Ended June 30, 2025</v>
      </c>
      <c r="B4" s="529"/>
      <c r="C4" s="529"/>
      <c r="D4" s="529"/>
      <c r="E4" s="529"/>
      <c r="F4" s="529"/>
      <c r="G4" s="529"/>
      <c r="H4" s="529"/>
      <c r="I4" s="529"/>
      <c r="J4" s="314"/>
      <c r="K4" s="314"/>
      <c r="L4" s="314"/>
      <c r="M4" s="314"/>
    </row>
    <row r="5" spans="1:13" x14ac:dyDescent="0.2">
      <c r="A5" s="259"/>
      <c r="B5" s="529"/>
      <c r="C5" s="529"/>
      <c r="D5" s="529"/>
      <c r="E5" s="529"/>
      <c r="F5" s="529"/>
      <c r="G5" s="529"/>
      <c r="H5" s="529"/>
      <c r="I5" s="529"/>
      <c r="J5" s="314"/>
      <c r="K5" s="314"/>
      <c r="L5" s="314"/>
      <c r="M5" s="314"/>
    </row>
    <row r="6" spans="1:13" x14ac:dyDescent="0.2">
      <c r="A6" s="259"/>
      <c r="B6" s="529"/>
      <c r="C6" s="529"/>
      <c r="D6" s="529"/>
      <c r="E6" s="529"/>
      <c r="F6" s="529"/>
      <c r="G6" s="529"/>
      <c r="H6" s="529"/>
      <c r="I6" s="529"/>
      <c r="J6" s="314"/>
      <c r="K6" s="314"/>
      <c r="L6" s="314"/>
      <c r="M6" s="314"/>
    </row>
    <row r="7" spans="1:13" ht="13.5" thickBot="1" x14ac:dyDescent="0.25">
      <c r="A7" s="530"/>
      <c r="B7" s="530"/>
      <c r="C7" s="530"/>
      <c r="D7" s="530"/>
      <c r="E7" s="530"/>
      <c r="F7" s="530"/>
      <c r="G7" s="530"/>
      <c r="H7" s="530"/>
      <c r="I7" s="530"/>
      <c r="J7" s="314"/>
      <c r="K7" s="314"/>
      <c r="L7" s="314"/>
      <c r="M7" s="314"/>
    </row>
    <row r="8" spans="1:13" x14ac:dyDescent="0.2">
      <c r="A8" s="314"/>
      <c r="B8" s="314"/>
      <c r="C8" s="531" t="s">
        <v>774</v>
      </c>
      <c r="D8" s="314"/>
      <c r="E8" s="314"/>
      <c r="F8" s="314"/>
      <c r="G8" s="314"/>
      <c r="H8" s="314"/>
      <c r="I8" s="531" t="s">
        <v>774</v>
      </c>
      <c r="J8" s="314"/>
      <c r="K8" s="314"/>
      <c r="L8" s="314"/>
      <c r="M8" s="314"/>
    </row>
    <row r="9" spans="1:13" x14ac:dyDescent="0.2">
      <c r="A9" s="314"/>
      <c r="B9" s="314"/>
      <c r="C9" s="531" t="s">
        <v>775</v>
      </c>
      <c r="D9" s="314"/>
      <c r="E9" s="314"/>
      <c r="F9" s="314"/>
      <c r="G9" s="531" t="s">
        <v>776</v>
      </c>
      <c r="H9" s="314"/>
      <c r="I9" s="531" t="s">
        <v>777</v>
      </c>
      <c r="J9" s="314"/>
      <c r="K9" s="314"/>
      <c r="L9" s="314"/>
      <c r="M9" s="314"/>
    </row>
    <row r="10" spans="1:13" x14ac:dyDescent="0.2">
      <c r="A10" s="661" t="s">
        <v>988</v>
      </c>
      <c r="B10" s="661" t="s">
        <v>778</v>
      </c>
      <c r="C10" s="661" t="s">
        <v>779</v>
      </c>
      <c r="D10" s="314"/>
      <c r="E10" s="661" t="s">
        <v>780</v>
      </c>
      <c r="F10" s="314"/>
      <c r="G10" s="661" t="s">
        <v>781</v>
      </c>
      <c r="H10" s="314"/>
      <c r="I10" s="661" t="s">
        <v>779</v>
      </c>
      <c r="J10" s="314"/>
      <c r="K10" s="314"/>
      <c r="L10" s="314"/>
      <c r="M10" s="314"/>
    </row>
    <row r="12" spans="1:13" x14ac:dyDescent="0.2">
      <c r="A12" s="314">
        <v>2024</v>
      </c>
      <c r="B12" s="314">
        <v>2025</v>
      </c>
      <c r="C12" s="532">
        <v>0</v>
      </c>
      <c r="D12" s="533"/>
      <c r="E12" s="534">
        <f>AnalysisTxLevy!H29</f>
        <v>55744895.582999997</v>
      </c>
      <c r="F12" s="663" t="s">
        <v>782</v>
      </c>
      <c r="G12" s="533">
        <f>AnalysisTxLevy!H33</f>
        <v>54596781.972999997</v>
      </c>
      <c r="H12" s="663" t="s">
        <v>783</v>
      </c>
      <c r="I12" s="533">
        <f>+C12+E12-G12</f>
        <v>1148113.6099999994</v>
      </c>
      <c r="J12" s="535" t="s">
        <v>784</v>
      </c>
      <c r="K12" s="536"/>
      <c r="L12" s="314"/>
      <c r="M12" s="314"/>
    </row>
    <row r="13" spans="1:13" x14ac:dyDescent="0.2">
      <c r="A13" s="314">
        <v>2023</v>
      </c>
      <c r="B13" s="314">
        <v>2024</v>
      </c>
      <c r="C13" s="939">
        <f>1599423+11870</f>
        <v>1611293</v>
      </c>
      <c r="D13" s="536"/>
      <c r="E13" s="537">
        <v>0</v>
      </c>
      <c r="F13" s="536"/>
      <c r="G13" s="536">
        <v>779895</v>
      </c>
      <c r="H13" s="536"/>
      <c r="I13" s="536">
        <f>+C13+E13-G13</f>
        <v>831398</v>
      </c>
      <c r="J13" s="536"/>
      <c r="K13" s="536"/>
      <c r="L13" s="311"/>
      <c r="M13" s="314"/>
    </row>
    <row r="14" spans="1:13" x14ac:dyDescent="0.2">
      <c r="A14" s="314">
        <v>2022</v>
      </c>
      <c r="B14" s="314">
        <v>2023</v>
      </c>
      <c r="C14" s="536">
        <v>832865</v>
      </c>
      <c r="D14" s="536"/>
      <c r="E14" s="537">
        <v>0</v>
      </c>
      <c r="F14" s="536"/>
      <c r="G14" s="536">
        <v>307414</v>
      </c>
      <c r="H14" s="536"/>
      <c r="I14" s="536">
        <f t="shared" ref="I14:I20" si="0">+C14+E14-G14</f>
        <v>525451</v>
      </c>
      <c r="J14" s="536"/>
      <c r="K14" s="536"/>
      <c r="L14" s="311"/>
      <c r="M14" s="536"/>
    </row>
    <row r="15" spans="1:13" x14ac:dyDescent="0.2">
      <c r="A15" s="314">
        <v>2021</v>
      </c>
      <c r="B15" s="314">
        <v>2022</v>
      </c>
      <c r="C15" s="536">
        <v>579016</v>
      </c>
      <c r="D15" s="536"/>
      <c r="E15" s="537">
        <v>0</v>
      </c>
      <c r="F15" s="536"/>
      <c r="G15" s="536">
        <v>129678</v>
      </c>
      <c r="H15" s="536"/>
      <c r="I15" s="536">
        <f t="shared" si="0"/>
        <v>449338</v>
      </c>
      <c r="J15" s="536"/>
      <c r="K15" s="536"/>
      <c r="L15" s="311"/>
      <c r="M15" s="536"/>
    </row>
    <row r="16" spans="1:13" x14ac:dyDescent="0.2">
      <c r="A16" s="314">
        <v>2020</v>
      </c>
      <c r="B16" s="314">
        <v>2021</v>
      </c>
      <c r="C16" s="536">
        <v>365002</v>
      </c>
      <c r="D16" s="536"/>
      <c r="E16" s="537">
        <v>0</v>
      </c>
      <c r="F16" s="536"/>
      <c r="G16" s="536">
        <v>52909</v>
      </c>
      <c r="H16" s="536"/>
      <c r="I16" s="536">
        <f t="shared" si="0"/>
        <v>312093</v>
      </c>
      <c r="J16" s="536"/>
      <c r="K16" s="536"/>
      <c r="L16" s="311"/>
      <c r="M16" s="536"/>
    </row>
    <row r="17" spans="1:13" x14ac:dyDescent="0.2">
      <c r="A17" s="314">
        <v>2019</v>
      </c>
      <c r="B17" s="314">
        <v>2020</v>
      </c>
      <c r="C17" s="536">
        <v>229723</v>
      </c>
      <c r="D17" s="536"/>
      <c r="E17" s="537">
        <v>0</v>
      </c>
      <c r="F17" s="536"/>
      <c r="G17" s="536">
        <v>15401</v>
      </c>
      <c r="H17" s="536"/>
      <c r="I17" s="536">
        <f t="shared" si="0"/>
        <v>214322</v>
      </c>
      <c r="J17" s="536"/>
      <c r="K17" s="536"/>
      <c r="L17" s="311"/>
      <c r="M17" s="536"/>
    </row>
    <row r="18" spans="1:13" x14ac:dyDescent="0.2">
      <c r="A18" s="314">
        <v>2018</v>
      </c>
      <c r="B18" s="314">
        <v>2019</v>
      </c>
      <c r="C18" s="536">
        <v>179345</v>
      </c>
      <c r="D18" s="536"/>
      <c r="E18" s="537">
        <v>0</v>
      </c>
      <c r="F18" s="536"/>
      <c r="G18" s="536">
        <f>6323+2</f>
        <v>6325</v>
      </c>
      <c r="H18" s="536"/>
      <c r="I18" s="536">
        <f t="shared" si="0"/>
        <v>173020</v>
      </c>
      <c r="J18" s="536"/>
      <c r="K18" s="536"/>
      <c r="L18" s="311"/>
      <c r="M18" s="536"/>
    </row>
    <row r="19" spans="1:13" x14ac:dyDescent="0.2">
      <c r="A19" s="314">
        <v>2017</v>
      </c>
      <c r="B19" s="314">
        <v>2018</v>
      </c>
      <c r="C19" s="536">
        <v>171627</v>
      </c>
      <c r="D19" s="536"/>
      <c r="E19" s="537">
        <v>0</v>
      </c>
      <c r="F19" s="536"/>
      <c r="G19" s="536">
        <v>3549</v>
      </c>
      <c r="H19" s="536"/>
      <c r="I19" s="536">
        <f t="shared" si="0"/>
        <v>168078</v>
      </c>
      <c r="J19" s="536"/>
      <c r="K19" s="536"/>
      <c r="L19" s="311"/>
      <c r="M19" s="536"/>
    </row>
    <row r="20" spans="1:13" x14ac:dyDescent="0.2">
      <c r="A20" s="314">
        <v>2016</v>
      </c>
      <c r="B20" s="314">
        <v>2017</v>
      </c>
      <c r="C20" s="536">
        <v>107733</v>
      </c>
      <c r="D20" s="536"/>
      <c r="E20" s="537">
        <v>0</v>
      </c>
      <c r="F20" s="536"/>
      <c r="G20" s="536">
        <v>1264</v>
      </c>
      <c r="H20" s="536"/>
      <c r="I20" s="536">
        <f t="shared" si="0"/>
        <v>106469</v>
      </c>
      <c r="J20" s="536"/>
      <c r="K20" s="536"/>
      <c r="L20" s="311"/>
      <c r="M20" s="536"/>
    </row>
    <row r="21" spans="1:13" x14ac:dyDescent="0.2">
      <c r="A21" s="314">
        <v>2015</v>
      </c>
      <c r="B21" s="314">
        <v>2016</v>
      </c>
      <c r="C21" s="536">
        <v>60183</v>
      </c>
      <c r="D21" s="536"/>
      <c r="E21" s="537">
        <v>0</v>
      </c>
      <c r="F21" s="536"/>
      <c r="G21" s="536">
        <f>548+394</f>
        <v>942</v>
      </c>
      <c r="H21" s="536"/>
      <c r="I21" s="536">
        <f>+C21+E21-G21</f>
        <v>59241</v>
      </c>
      <c r="J21" s="536"/>
      <c r="K21" s="536"/>
      <c r="L21" s="311"/>
      <c r="M21" s="536"/>
    </row>
    <row r="22" spans="1:13" x14ac:dyDescent="0.2">
      <c r="A22" s="314">
        <v>2014</v>
      </c>
      <c r="B22" s="314">
        <v>2015</v>
      </c>
      <c r="C22" s="538">
        <v>78673</v>
      </c>
      <c r="D22" s="536"/>
      <c r="E22" s="539">
        <v>0</v>
      </c>
      <c r="F22" s="536"/>
      <c r="G22" s="538">
        <v>78673</v>
      </c>
      <c r="H22" s="421" t="s">
        <v>994</v>
      </c>
      <c r="I22" s="539">
        <v>0</v>
      </c>
      <c r="J22" s="536"/>
      <c r="K22" s="536"/>
      <c r="L22" s="311"/>
      <c r="M22" s="536"/>
    </row>
    <row r="23" spans="1:13" ht="15" customHeight="1" thickBot="1" x14ac:dyDescent="0.25">
      <c r="A23" s="314"/>
      <c r="B23" s="314"/>
      <c r="C23" s="662">
        <f>SUM(C13:C22)</f>
        <v>4215460</v>
      </c>
      <c r="D23" s="536"/>
      <c r="E23" s="662">
        <f>SUM(E12:E22)</f>
        <v>55744895.582999997</v>
      </c>
      <c r="F23" s="536"/>
      <c r="G23" s="662">
        <f>SUM(G12:G22)</f>
        <v>55972831.972999997</v>
      </c>
      <c r="H23" s="664" t="s">
        <v>785</v>
      </c>
      <c r="I23" s="536">
        <f>SUM(I12:I22)</f>
        <v>3987523.6099999994</v>
      </c>
      <c r="J23" s="536"/>
      <c r="K23" s="536"/>
      <c r="L23" s="314"/>
      <c r="M23" s="314"/>
    </row>
    <row r="24" spans="1:13" ht="13.5" thickTop="1" x14ac:dyDescent="0.2">
      <c r="A24" s="314"/>
      <c r="B24" s="314"/>
      <c r="C24" s="314"/>
      <c r="D24" s="314"/>
      <c r="E24" s="314"/>
      <c r="F24" s="314"/>
      <c r="G24" s="314"/>
      <c r="H24" s="314"/>
      <c r="I24" s="314"/>
      <c r="J24" s="314"/>
      <c r="K24" s="314"/>
      <c r="L24" s="314"/>
      <c r="M24" s="314"/>
    </row>
    <row r="25" spans="1:13" x14ac:dyDescent="0.2">
      <c r="A25" s="314"/>
      <c r="B25" s="314"/>
      <c r="C25" s="314"/>
      <c r="D25" s="314"/>
      <c r="E25" s="536"/>
      <c r="F25" s="314"/>
      <c r="G25" s="314"/>
      <c r="H25" s="314"/>
      <c r="I25" s="314"/>
      <c r="J25" s="314"/>
      <c r="K25" s="314"/>
      <c r="L25" s="314"/>
      <c r="M25" s="314"/>
    </row>
    <row r="26" spans="1:13" x14ac:dyDescent="0.2">
      <c r="A26" s="314"/>
      <c r="B26" s="421" t="s">
        <v>786</v>
      </c>
      <c r="D26" s="314"/>
      <c r="E26" s="314"/>
      <c r="F26" s="314"/>
      <c r="G26" s="314"/>
      <c r="H26" s="314"/>
      <c r="I26" s="314"/>
      <c r="J26" s="314"/>
      <c r="K26" s="314"/>
      <c r="L26" s="314"/>
      <c r="M26" s="314"/>
    </row>
    <row r="27" spans="1:13" x14ac:dyDescent="0.2">
      <c r="A27" s="314"/>
      <c r="B27" s="421" t="s">
        <v>787</v>
      </c>
      <c r="D27" s="314"/>
      <c r="E27" s="314"/>
      <c r="F27" s="536"/>
      <c r="G27" s="314"/>
      <c r="H27" s="314"/>
      <c r="I27" s="538">
        <f>1450000+394-25100+1</f>
        <v>1425295</v>
      </c>
      <c r="J27" s="314"/>
      <c r="K27" s="314"/>
      <c r="L27" s="314"/>
      <c r="M27" s="314"/>
    </row>
    <row r="29" spans="1:13" x14ac:dyDescent="0.2">
      <c r="A29" s="314"/>
      <c r="B29" s="421" t="s">
        <v>788</v>
      </c>
      <c r="D29" s="314"/>
      <c r="E29" s="314"/>
      <c r="F29" s="314"/>
      <c r="G29" s="314"/>
      <c r="H29" s="314"/>
      <c r="I29" s="314"/>
      <c r="J29" s="314"/>
      <c r="K29" s="314"/>
      <c r="L29" s="314"/>
      <c r="M29" s="314"/>
    </row>
    <row r="30" spans="1:13" ht="13.5" thickBot="1" x14ac:dyDescent="0.25">
      <c r="A30" s="314"/>
      <c r="B30" s="421" t="s">
        <v>787</v>
      </c>
      <c r="D30" s="314"/>
      <c r="E30" s="314"/>
      <c r="F30" s="314"/>
      <c r="G30" s="311"/>
      <c r="H30" s="314"/>
      <c r="I30" s="933">
        <f>+I23+-I27</f>
        <v>2562228.6099999994</v>
      </c>
      <c r="J30" s="314"/>
      <c r="K30" s="314"/>
      <c r="L30" s="314"/>
      <c r="M30" s="314"/>
    </row>
    <row r="31" spans="1:13" ht="13.5" thickTop="1" x14ac:dyDescent="0.2">
      <c r="G31" s="938"/>
    </row>
    <row r="32" spans="1:13" x14ac:dyDescent="0.2">
      <c r="A32" s="314"/>
      <c r="B32" s="260" t="s">
        <v>789</v>
      </c>
      <c r="D32" s="314"/>
      <c r="E32" s="314"/>
      <c r="F32" s="314"/>
      <c r="G32" s="314"/>
      <c r="H32" s="314"/>
      <c r="I32" s="314"/>
      <c r="J32" s="314"/>
      <c r="K32" s="314"/>
      <c r="L32" s="314"/>
      <c r="M32" s="314"/>
    </row>
    <row r="33" spans="1:17" ht="12" customHeight="1" x14ac:dyDescent="0.2">
      <c r="A33" s="314"/>
      <c r="B33" s="421" t="s">
        <v>790</v>
      </c>
      <c r="D33" s="314"/>
      <c r="E33" s="314"/>
      <c r="F33" s="314"/>
      <c r="G33" s="314"/>
      <c r="H33" s="314"/>
      <c r="I33" s="533">
        <f>'Rev, exp, chgs in fb Exh 4'!B10</f>
        <v>55132894</v>
      </c>
      <c r="J33" s="314"/>
      <c r="K33" s="314"/>
      <c r="L33" s="314"/>
      <c r="M33" s="314"/>
    </row>
    <row r="34" spans="1:17" ht="12" customHeight="1" x14ac:dyDescent="0.2">
      <c r="A34" s="314"/>
      <c r="B34" s="414" t="s">
        <v>791</v>
      </c>
      <c r="D34" s="540"/>
      <c r="E34" s="541"/>
      <c r="F34" s="540"/>
      <c r="G34" s="540"/>
      <c r="H34" s="541"/>
      <c r="I34" s="481">
        <v>210632</v>
      </c>
      <c r="J34" s="314"/>
      <c r="K34" s="314"/>
      <c r="L34" s="314"/>
      <c r="M34" s="314"/>
      <c r="N34" s="314"/>
      <c r="O34" s="314"/>
      <c r="P34" s="314"/>
      <c r="Q34" s="314"/>
    </row>
    <row r="35" spans="1:17" ht="12" customHeight="1" x14ac:dyDescent="0.2">
      <c r="A35" s="314"/>
      <c r="B35" s="414" t="s">
        <v>792</v>
      </c>
      <c r="D35" s="540"/>
      <c r="E35" s="541"/>
      <c r="F35" s="540"/>
      <c r="G35" s="540"/>
      <c r="H35" s="541"/>
      <c r="I35" s="481"/>
      <c r="J35" s="314"/>
      <c r="K35" s="314"/>
      <c r="L35" s="314"/>
      <c r="M35" s="314"/>
      <c r="N35" s="314"/>
      <c r="O35" s="314"/>
      <c r="P35" s="314"/>
      <c r="Q35" s="314"/>
    </row>
    <row r="36" spans="1:17" ht="12" customHeight="1" x14ac:dyDescent="0.2">
      <c r="A36" s="314"/>
      <c r="B36" s="421" t="s">
        <v>793</v>
      </c>
      <c r="D36" s="314"/>
      <c r="E36" s="314"/>
      <c r="F36" s="314"/>
      <c r="G36" s="314"/>
      <c r="H36" s="314"/>
      <c r="I36" s="314"/>
      <c r="J36" s="314"/>
      <c r="K36" s="314"/>
      <c r="L36" s="314"/>
      <c r="M36" s="314"/>
      <c r="N36" s="314"/>
      <c r="O36" s="314"/>
      <c r="P36" s="314"/>
      <c r="Q36" s="314"/>
    </row>
    <row r="37" spans="1:17" ht="12" customHeight="1" x14ac:dyDescent="0.2">
      <c r="A37" s="314"/>
      <c r="B37" s="421" t="s">
        <v>794</v>
      </c>
      <c r="D37" s="314"/>
      <c r="E37" s="314"/>
      <c r="F37" s="314"/>
      <c r="G37" s="314"/>
      <c r="I37" s="536">
        <v>-339626</v>
      </c>
      <c r="J37" s="314"/>
      <c r="K37" s="314"/>
      <c r="L37" s="314"/>
      <c r="M37" s="314"/>
      <c r="N37" s="314"/>
      <c r="O37" s="314"/>
      <c r="P37" s="314"/>
      <c r="Q37" s="314"/>
    </row>
    <row r="38" spans="1:17" x14ac:dyDescent="0.2">
      <c r="A38" s="314"/>
      <c r="B38" s="421" t="s">
        <v>795</v>
      </c>
      <c r="D38" s="314"/>
      <c r="E38" s="314"/>
      <c r="F38" s="314"/>
      <c r="G38" s="314"/>
      <c r="H38" s="314"/>
      <c r="I38" s="536">
        <v>890259</v>
      </c>
      <c r="J38" s="314"/>
      <c r="K38" s="314"/>
      <c r="L38" s="314"/>
      <c r="M38" s="314"/>
      <c r="N38" s="314"/>
      <c r="O38" s="314"/>
      <c r="P38" s="314"/>
      <c r="Q38" s="314"/>
    </row>
    <row r="39" spans="1:17" x14ac:dyDescent="0.2">
      <c r="A39" s="314"/>
      <c r="B39" s="421" t="s">
        <v>796</v>
      </c>
      <c r="D39" s="314"/>
      <c r="E39" s="314"/>
      <c r="F39" s="314"/>
      <c r="G39" s="314"/>
      <c r="H39" s="314"/>
      <c r="I39" s="538">
        <v>78673</v>
      </c>
      <c r="J39" s="421" t="s">
        <v>994</v>
      </c>
      <c r="K39" s="314"/>
      <c r="L39" s="314"/>
      <c r="M39" s="314"/>
      <c r="N39" s="314"/>
      <c r="O39" s="314"/>
      <c r="P39" s="314"/>
      <c r="Q39" s="314"/>
    </row>
    <row r="40" spans="1:17" ht="15" customHeight="1" x14ac:dyDescent="0.2">
      <c r="A40" s="314"/>
      <c r="B40" s="421" t="s">
        <v>797</v>
      </c>
      <c r="D40" s="314"/>
      <c r="E40" s="314"/>
      <c r="F40" s="314"/>
      <c r="G40" s="314"/>
      <c r="H40" s="314"/>
      <c r="I40" s="538">
        <f>SUM(I37:I39)</f>
        <v>629306</v>
      </c>
      <c r="J40" s="314"/>
      <c r="K40" s="314"/>
      <c r="L40" s="314"/>
      <c r="M40" s="314"/>
      <c r="N40" s="314"/>
      <c r="O40" s="314"/>
      <c r="P40" s="314"/>
      <c r="Q40" s="314"/>
    </row>
    <row r="41" spans="1:17" ht="18" customHeight="1" thickBot="1" x14ac:dyDescent="0.25">
      <c r="A41" s="314"/>
      <c r="B41" s="421" t="s">
        <v>798</v>
      </c>
      <c r="D41" s="314"/>
      <c r="E41" s="314"/>
      <c r="F41" s="314"/>
      <c r="G41" s="314"/>
      <c r="H41" s="314"/>
      <c r="I41" s="542">
        <f>+I33+I34+I40</f>
        <v>55972832</v>
      </c>
      <c r="J41" s="421" t="s">
        <v>785</v>
      </c>
      <c r="K41" s="314"/>
      <c r="L41" s="314"/>
      <c r="M41" s="314"/>
      <c r="N41" s="314"/>
      <c r="O41" s="314"/>
      <c r="P41" s="314"/>
      <c r="Q41" s="314"/>
    </row>
    <row r="42" spans="1:17" ht="12.75" customHeight="1" thickTop="1" x14ac:dyDescent="0.2">
      <c r="A42" s="314"/>
      <c r="B42" s="314"/>
      <c r="C42" s="421"/>
      <c r="D42" s="314"/>
      <c r="E42" s="314"/>
      <c r="F42" s="314"/>
      <c r="G42" s="314"/>
      <c r="H42" s="314"/>
      <c r="I42" s="533"/>
      <c r="J42" s="421"/>
      <c r="K42" s="314"/>
      <c r="L42" s="314"/>
      <c r="M42" s="314"/>
      <c r="N42" s="314"/>
      <c r="O42" s="314"/>
      <c r="P42" s="314"/>
      <c r="Q42" s="314"/>
    </row>
    <row r="43" spans="1:17" x14ac:dyDescent="0.2">
      <c r="A43" s="314"/>
      <c r="B43" s="314"/>
      <c r="C43" s="314"/>
      <c r="D43" s="314"/>
      <c r="E43" s="314"/>
      <c r="F43" s="314"/>
      <c r="G43" s="314"/>
      <c r="H43" s="314"/>
      <c r="I43" s="314"/>
      <c r="J43" s="314"/>
      <c r="K43" s="314"/>
      <c r="L43" s="314"/>
      <c r="M43" s="314"/>
      <c r="N43" s="314"/>
      <c r="O43" s="314"/>
      <c r="P43" s="314"/>
      <c r="Q43" s="314"/>
    </row>
    <row r="44" spans="1:17" ht="13.5" thickBot="1" x14ac:dyDescent="0.25">
      <c r="A44" s="261"/>
      <c r="B44" s="262"/>
      <c r="C44" s="263"/>
      <c r="D44" s="264"/>
      <c r="E44" s="264"/>
      <c r="F44" s="265"/>
      <c r="G44" s="264"/>
      <c r="H44" s="264"/>
      <c r="I44" s="264"/>
      <c r="J44" s="540"/>
      <c r="K44" s="314"/>
      <c r="L44" s="314"/>
      <c r="M44" s="314"/>
      <c r="N44" s="314"/>
      <c r="O44" s="314"/>
      <c r="P44" s="314"/>
      <c r="Q44" s="314"/>
    </row>
    <row r="45" spans="1:17" ht="13.9" customHeight="1" x14ac:dyDescent="0.2">
      <c r="A45" s="1186" t="s">
        <v>799</v>
      </c>
      <c r="B45" s="1187"/>
      <c r="C45" s="1187"/>
      <c r="D45" s="1187"/>
      <c r="E45" s="1187"/>
      <c r="F45" s="1187"/>
      <c r="G45" s="1187"/>
      <c r="H45" s="1187"/>
      <c r="I45" s="1188"/>
      <c r="J45"/>
      <c r="K45" s="314"/>
      <c r="L45" s="314"/>
      <c r="M45" s="314"/>
      <c r="N45" s="314"/>
      <c r="O45" s="314"/>
      <c r="P45" s="314"/>
      <c r="Q45" s="314"/>
    </row>
    <row r="46" spans="1:17" x14ac:dyDescent="0.2">
      <c r="A46" s="1189"/>
      <c r="B46" s="1190"/>
      <c r="C46" s="1190"/>
      <c r="D46" s="1190"/>
      <c r="E46" s="1190"/>
      <c r="F46" s="1190"/>
      <c r="G46" s="1190"/>
      <c r="H46" s="1190"/>
      <c r="I46" s="1191"/>
      <c r="J46"/>
      <c r="K46" s="314"/>
      <c r="L46" s="314"/>
      <c r="M46" s="314"/>
      <c r="N46" s="314"/>
      <c r="O46" s="314"/>
      <c r="P46" s="314"/>
      <c r="Q46" s="314"/>
    </row>
    <row r="47" spans="1:17" x14ac:dyDescent="0.2">
      <c r="A47" s="1189"/>
      <c r="B47" s="1190"/>
      <c r="C47" s="1190"/>
      <c r="D47" s="1190"/>
      <c r="E47" s="1190"/>
      <c r="F47" s="1190"/>
      <c r="G47" s="1190"/>
      <c r="H47" s="1190"/>
      <c r="I47" s="1191"/>
      <c r="J47"/>
      <c r="K47" s="314"/>
      <c r="L47" s="314"/>
      <c r="M47" s="314"/>
      <c r="N47" s="314"/>
      <c r="O47" s="314"/>
      <c r="P47" s="314"/>
      <c r="Q47" s="314"/>
    </row>
    <row r="48" spans="1:17" x14ac:dyDescent="0.2">
      <c r="A48" s="279"/>
      <c r="B48" s="262"/>
      <c r="C48" s="263"/>
      <c r="D48" s="262"/>
      <c r="E48" s="262"/>
      <c r="F48" s="263"/>
      <c r="G48" s="262"/>
      <c r="H48" s="262"/>
      <c r="I48" s="280"/>
      <c r="J48" s="543"/>
      <c r="K48" s="314"/>
      <c r="L48" s="314"/>
      <c r="M48" s="314"/>
      <c r="N48" s="314"/>
      <c r="O48" s="314"/>
      <c r="P48" s="314"/>
      <c r="Q48" s="314"/>
    </row>
    <row r="49" spans="1:17" ht="13.15" customHeight="1" x14ac:dyDescent="0.2">
      <c r="A49" s="1192" t="s">
        <v>800</v>
      </c>
      <c r="B49" s="1193"/>
      <c r="C49" s="1193"/>
      <c r="D49" s="1193"/>
      <c r="E49" s="1193"/>
      <c r="F49" s="1193"/>
      <c r="G49" s="1193"/>
      <c r="H49" s="1193"/>
      <c r="I49" s="1194"/>
      <c r="J49"/>
      <c r="K49" s="314"/>
      <c r="L49" s="314"/>
      <c r="M49" s="314"/>
      <c r="N49" s="314"/>
      <c r="O49" s="314"/>
      <c r="P49" s="314"/>
      <c r="Q49" s="314"/>
    </row>
    <row r="50" spans="1:17" x14ac:dyDescent="0.2">
      <c r="A50" s="1192"/>
      <c r="B50" s="1193"/>
      <c r="C50" s="1193"/>
      <c r="D50" s="1193"/>
      <c r="E50" s="1193"/>
      <c r="F50" s="1193"/>
      <c r="G50" s="1193"/>
      <c r="H50" s="1193"/>
      <c r="I50" s="1194"/>
      <c r="J50"/>
      <c r="K50" s="314"/>
      <c r="L50" s="314"/>
      <c r="M50" s="314"/>
      <c r="N50" s="314"/>
      <c r="O50" s="314"/>
      <c r="P50" s="314"/>
      <c r="Q50" s="314"/>
    </row>
    <row r="51" spans="1:17" x14ac:dyDescent="0.2">
      <c r="A51" s="1192"/>
      <c r="B51" s="1193"/>
      <c r="C51" s="1193"/>
      <c r="D51" s="1193"/>
      <c r="E51" s="1193"/>
      <c r="F51" s="1193"/>
      <c r="G51" s="1193"/>
      <c r="H51" s="1193"/>
      <c r="I51" s="1194"/>
      <c r="J51"/>
    </row>
    <row r="52" spans="1:17" x14ac:dyDescent="0.2">
      <c r="A52" s="279"/>
      <c r="B52" s="262"/>
      <c r="C52" s="263"/>
      <c r="D52" s="262"/>
      <c r="E52" s="262"/>
      <c r="F52" s="263"/>
      <c r="G52" s="262"/>
      <c r="H52" s="262"/>
      <c r="I52" s="280"/>
      <c r="J52" s="543"/>
    </row>
    <row r="53" spans="1:17" ht="13.15" customHeight="1" x14ac:dyDescent="0.2">
      <c r="A53" s="1192" t="s">
        <v>801</v>
      </c>
      <c r="B53" s="1193"/>
      <c r="C53" s="1193"/>
      <c r="D53" s="1193"/>
      <c r="E53" s="1193"/>
      <c r="F53" s="1193"/>
      <c r="G53" s="1193"/>
      <c r="H53" s="1193"/>
      <c r="I53" s="1194"/>
      <c r="J53"/>
    </row>
    <row r="54" spans="1:17" x14ac:dyDescent="0.2">
      <c r="A54" s="1192"/>
      <c r="B54" s="1193"/>
      <c r="C54" s="1193"/>
      <c r="D54" s="1193"/>
      <c r="E54" s="1193"/>
      <c r="F54" s="1193"/>
      <c r="G54" s="1193"/>
      <c r="H54" s="1193"/>
      <c r="I54" s="1194"/>
      <c r="J54"/>
    </row>
    <row r="55" spans="1:17" x14ac:dyDescent="0.2">
      <c r="A55" s="1192"/>
      <c r="B55" s="1193"/>
      <c r="C55" s="1193"/>
      <c r="D55" s="1193"/>
      <c r="E55" s="1193"/>
      <c r="F55" s="1193"/>
      <c r="G55" s="1193"/>
      <c r="H55" s="1193"/>
      <c r="I55" s="1194"/>
      <c r="J55"/>
    </row>
    <row r="56" spans="1:17" x14ac:dyDescent="0.2">
      <c r="A56" s="1192"/>
      <c r="B56" s="1193"/>
      <c r="C56" s="1193"/>
      <c r="D56" s="1193"/>
      <c r="E56" s="1193"/>
      <c r="F56" s="1193"/>
      <c r="G56" s="1193"/>
      <c r="H56" s="1193"/>
      <c r="I56" s="1194"/>
      <c r="J56"/>
    </row>
    <row r="57" spans="1:17" x14ac:dyDescent="0.2">
      <c r="A57" s="1192"/>
      <c r="B57" s="1193"/>
      <c r="C57" s="1193"/>
      <c r="D57" s="1193"/>
      <c r="E57" s="1193"/>
      <c r="F57" s="1193"/>
      <c r="G57" s="1193"/>
      <c r="H57" s="1193"/>
      <c r="I57" s="1194"/>
      <c r="J57"/>
    </row>
    <row r="58" spans="1:17" ht="15.6" customHeight="1" thickBot="1" x14ac:dyDescent="0.25">
      <c r="A58" s="1195"/>
      <c r="B58" s="1196"/>
      <c r="C58" s="1196"/>
      <c r="D58" s="1196"/>
      <c r="E58" s="1196"/>
      <c r="F58" s="1196"/>
      <c r="G58" s="1196"/>
      <c r="H58" s="1196"/>
      <c r="I58" s="1197"/>
      <c r="J58"/>
    </row>
    <row r="59" spans="1:17" x14ac:dyDescent="0.2">
      <c r="A59" s="262"/>
      <c r="B59" s="262"/>
      <c r="C59" s="263"/>
      <c r="D59" s="262"/>
      <c r="E59" s="262"/>
      <c r="F59" s="263"/>
      <c r="G59" s="262"/>
      <c r="H59" s="262"/>
      <c r="I59" s="262"/>
      <c r="J59" s="543"/>
    </row>
    <row r="60" spans="1:17" x14ac:dyDescent="0.2">
      <c r="A60" s="262"/>
      <c r="B60" s="262"/>
      <c r="C60" s="263"/>
      <c r="D60" s="262"/>
      <c r="E60" s="262"/>
      <c r="F60" s="263"/>
      <c r="G60" s="262"/>
      <c r="H60" s="262"/>
      <c r="I60" s="262"/>
      <c r="J60" s="543"/>
    </row>
    <row r="61" spans="1:17" x14ac:dyDescent="0.2">
      <c r="A61" s="543"/>
      <c r="B61" s="543"/>
      <c r="C61" s="544"/>
      <c r="D61" s="543"/>
      <c r="E61" s="543"/>
      <c r="F61" s="544"/>
      <c r="G61" s="543"/>
      <c r="H61" s="543"/>
      <c r="I61" s="543"/>
      <c r="J61" s="543"/>
    </row>
    <row r="62" spans="1:17" ht="5.25" customHeight="1" x14ac:dyDescent="0.2">
      <c r="A62" s="314"/>
      <c r="B62" s="314"/>
      <c r="C62" s="314"/>
      <c r="D62" s="314"/>
      <c r="E62" s="314"/>
      <c r="F62" s="314"/>
      <c r="G62" s="314"/>
      <c r="H62" s="314"/>
      <c r="I62" s="314"/>
      <c r="J62" s="314"/>
    </row>
  </sheetData>
  <customSheetViews>
    <customSheetView guid="{E0C60316-4586-4AAF-92CB-FA82BB1EB755}">
      <pageMargins left="0" right="0" top="0" bottom="0" header="0" footer="0"/>
      <printOptions horizontalCentered="1"/>
      <pageSetup scale="86" firstPageNumber="137" fitToHeight="0" orientation="portrait" useFirstPageNumber="1" r:id="rId1"/>
      <headerFooter alignWithMargins="0"/>
    </customSheetView>
    <customSheetView guid="{A8748736-0722-49EB-85B6-C9B52DDCFE0E}">
      <selection activeCell="C33" sqref="C33"/>
      <pageMargins left="0.75" right="0.75" top="1" bottom="1" header="0.5" footer="0.5"/>
      <printOptions horizontalCentered="1"/>
      <pageSetup scale="86" firstPageNumber="137" fitToHeight="0" orientation="portrait" useFirstPageNumber="1" r:id="rId2"/>
      <headerFooter alignWithMargins="0"/>
    </customSheetView>
  </customSheetViews>
  <mergeCells count="3">
    <mergeCell ref="A45:I47"/>
    <mergeCell ref="A49:I51"/>
    <mergeCell ref="A53:I58"/>
  </mergeCells>
  <phoneticPr fontId="5" type="noConversion"/>
  <printOptions horizontalCentered="1"/>
  <pageMargins left="0.75" right="0.75" top="1" bottom="1" header="0.5" footer="0.5"/>
  <pageSetup scale="86" firstPageNumber="137" fitToHeight="0" orientation="portrait" useFirstPageNumber="1" r:id="rId3"/>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ransitionEvaluation="1" codeName="Sheet35">
    <tabColor theme="7" tint="0.39997558519241921"/>
  </sheetPr>
  <dimension ref="A1:BH73"/>
  <sheetViews>
    <sheetView workbookViewId="0">
      <selection activeCell="G13" sqref="G13"/>
    </sheetView>
  </sheetViews>
  <sheetFormatPr defaultColWidth="8.42578125" defaultRowHeight="14.25" x14ac:dyDescent="0.2"/>
  <cols>
    <col min="1" max="1" width="26.42578125" style="944" customWidth="1"/>
    <col min="2" max="2" width="1.7109375" style="944" customWidth="1"/>
    <col min="3" max="3" width="20.42578125" style="944" customWidth="1"/>
    <col min="4" max="4" width="1.7109375" style="944" customWidth="1"/>
    <col min="5" max="5" width="16.7109375" style="944" customWidth="1"/>
    <col min="6" max="6" width="1.7109375" style="943" customWidth="1"/>
    <col min="7" max="7" width="13.7109375" style="944" bestFit="1" customWidth="1"/>
    <col min="8" max="8" width="9" style="943" bestFit="1" customWidth="1"/>
    <col min="9" max="10" width="8.42578125" style="943"/>
    <col min="11" max="11" width="9.28515625" style="943" bestFit="1" customWidth="1"/>
    <col min="12" max="12" width="15.140625" style="943" bestFit="1" customWidth="1"/>
    <col min="13" max="39" width="8.42578125" style="943"/>
    <col min="40" max="16384" width="8.42578125" style="944"/>
  </cols>
  <sheetData>
    <row r="1" spans="1:8" ht="15" x14ac:dyDescent="0.25">
      <c r="A1" s="956" t="s">
        <v>0</v>
      </c>
      <c r="B1" s="956"/>
      <c r="C1" s="957"/>
      <c r="D1" s="957"/>
      <c r="E1" s="957"/>
      <c r="F1" s="958"/>
      <c r="G1" s="956"/>
    </row>
    <row r="2" spans="1:8" ht="15" x14ac:dyDescent="0.25">
      <c r="A2" s="956" t="s">
        <v>836</v>
      </c>
      <c r="B2" s="956"/>
      <c r="C2" s="957"/>
      <c r="D2" s="957"/>
      <c r="E2" s="957"/>
      <c r="F2" s="958"/>
      <c r="G2" s="957"/>
    </row>
    <row r="3" spans="1:8" ht="15" x14ac:dyDescent="0.25">
      <c r="A3" s="959" t="str">
        <f>'GWNetPos 68 Exh 1'!A3</f>
        <v>June 30, 2025</v>
      </c>
      <c r="B3" s="959"/>
      <c r="C3" s="957"/>
      <c r="D3" s="957"/>
      <c r="E3" s="957"/>
      <c r="F3" s="958"/>
      <c r="G3" s="957"/>
    </row>
    <row r="4" spans="1:8" ht="15" x14ac:dyDescent="0.25">
      <c r="A4" s="959"/>
      <c r="B4" s="959"/>
      <c r="C4" s="957"/>
      <c r="D4" s="957"/>
      <c r="E4" s="957"/>
      <c r="F4" s="958"/>
      <c r="G4" s="957"/>
    </row>
    <row r="5" spans="1:8" ht="15" x14ac:dyDescent="0.25">
      <c r="A5" s="959"/>
      <c r="B5" s="959"/>
      <c r="C5" s="957"/>
      <c r="D5" s="957"/>
      <c r="E5" s="957"/>
      <c r="F5" s="958"/>
      <c r="G5" s="957"/>
    </row>
    <row r="6" spans="1:8" x14ac:dyDescent="0.2">
      <c r="C6" s="957"/>
      <c r="D6" s="957"/>
      <c r="E6" s="957"/>
      <c r="F6" s="958"/>
      <c r="G6" s="957"/>
    </row>
    <row r="7" spans="1:8" ht="15" x14ac:dyDescent="0.25">
      <c r="A7" s="946" t="s">
        <v>986</v>
      </c>
      <c r="B7" s="946"/>
      <c r="C7" s="957"/>
      <c r="D7" s="957"/>
      <c r="E7" s="957"/>
      <c r="F7" s="958"/>
      <c r="G7" s="957"/>
    </row>
    <row r="8" spans="1:8" ht="15" thickBot="1" x14ac:dyDescent="0.25">
      <c r="A8" s="947"/>
      <c r="B8" s="947"/>
      <c r="C8" s="960"/>
      <c r="D8" s="960"/>
      <c r="E8" s="960"/>
      <c r="F8" s="961"/>
      <c r="G8" s="960"/>
    </row>
    <row r="9" spans="1:8" ht="15" x14ac:dyDescent="0.25">
      <c r="A9" s="962"/>
      <c r="B9" s="962"/>
      <c r="C9" s="962"/>
      <c r="D9" s="962"/>
      <c r="E9" s="963" t="s">
        <v>837</v>
      </c>
      <c r="G9" s="963" t="s">
        <v>838</v>
      </c>
    </row>
    <row r="10" spans="1:8" ht="15" x14ac:dyDescent="0.25">
      <c r="A10" s="964" t="s">
        <v>839</v>
      </c>
      <c r="B10" s="962"/>
      <c r="C10" s="964" t="s">
        <v>840</v>
      </c>
      <c r="D10" s="962"/>
      <c r="E10" s="965" t="s">
        <v>809</v>
      </c>
      <c r="G10" s="965" t="s">
        <v>809</v>
      </c>
    </row>
    <row r="11" spans="1:8" ht="15" x14ac:dyDescent="0.25">
      <c r="A11" s="962"/>
      <c r="B11" s="962"/>
      <c r="C11" s="962"/>
      <c r="D11" s="962"/>
      <c r="E11" s="963"/>
      <c r="G11" s="963"/>
    </row>
    <row r="12" spans="1:8" x14ac:dyDescent="0.2">
      <c r="A12" s="966" t="s">
        <v>841</v>
      </c>
      <c r="B12" s="966"/>
      <c r="C12" s="966" t="s">
        <v>842</v>
      </c>
      <c r="D12" s="966"/>
      <c r="E12" s="967">
        <f>240496350*1.26</f>
        <v>303025401</v>
      </c>
      <c r="G12" s="968">
        <f>E12/AnalysisTxLevy!D27</f>
        <v>4.6749005827608651E-2</v>
      </c>
      <c r="H12" s="969"/>
    </row>
    <row r="13" spans="1:8" x14ac:dyDescent="0.2">
      <c r="A13" s="966" t="s">
        <v>843</v>
      </c>
      <c r="B13" s="966"/>
      <c r="C13" s="966" t="s">
        <v>844</v>
      </c>
      <c r="D13" s="966"/>
      <c r="E13" s="952">
        <f>176382176*1.26</f>
        <v>222241541.75999999</v>
      </c>
      <c r="G13" s="970">
        <v>3.43</v>
      </c>
      <c r="H13" s="969"/>
    </row>
    <row r="14" spans="1:8" x14ac:dyDescent="0.2">
      <c r="A14" s="966" t="s">
        <v>845</v>
      </c>
      <c r="B14" s="966"/>
      <c r="C14" s="966" t="s">
        <v>575</v>
      </c>
      <c r="D14" s="966"/>
      <c r="E14" s="952">
        <f>163230320*1.26</f>
        <v>205670203.19999999</v>
      </c>
      <c r="G14" s="970">
        <v>3.17</v>
      </c>
      <c r="H14" s="969"/>
    </row>
    <row r="15" spans="1:8" x14ac:dyDescent="0.2">
      <c r="A15" s="966" t="s">
        <v>846</v>
      </c>
      <c r="B15" s="966"/>
      <c r="C15" s="966" t="s">
        <v>847</v>
      </c>
      <c r="D15" s="966"/>
      <c r="E15" s="952">
        <f>145335498*1.26</f>
        <v>183122727.47999999</v>
      </c>
      <c r="G15" s="970">
        <v>2.83</v>
      </c>
      <c r="H15" s="969"/>
    </row>
    <row r="16" spans="1:8" x14ac:dyDescent="0.2">
      <c r="A16" s="966" t="s">
        <v>848</v>
      </c>
      <c r="B16" s="966"/>
      <c r="C16" s="966" t="s">
        <v>849</v>
      </c>
      <c r="D16" s="966"/>
      <c r="E16" s="952">
        <f>107137303*1.26</f>
        <v>134993001.78</v>
      </c>
      <c r="G16" s="970">
        <v>2.08</v>
      </c>
      <c r="H16" s="969"/>
    </row>
    <row r="17" spans="1:60" x14ac:dyDescent="0.2">
      <c r="A17" s="966" t="s">
        <v>850</v>
      </c>
      <c r="B17" s="966"/>
      <c r="C17" s="966" t="s">
        <v>851</v>
      </c>
      <c r="D17" s="966"/>
      <c r="E17" s="952">
        <f>92981637*1.26</f>
        <v>117156862.62</v>
      </c>
      <c r="G17" s="970">
        <v>1.81</v>
      </c>
      <c r="H17" s="969"/>
      <c r="K17" s="971"/>
    </row>
    <row r="18" spans="1:60" x14ac:dyDescent="0.2">
      <c r="A18" s="966" t="s">
        <v>852</v>
      </c>
      <c r="B18" s="966"/>
      <c r="C18" s="966" t="s">
        <v>853</v>
      </c>
      <c r="D18" s="966"/>
      <c r="E18" s="952">
        <f>74099351*1.26</f>
        <v>93365182.260000005</v>
      </c>
      <c r="G18" s="970">
        <v>1.44</v>
      </c>
      <c r="H18" s="969"/>
    </row>
    <row r="19" spans="1:60" x14ac:dyDescent="0.2">
      <c r="A19" s="966" t="s">
        <v>854</v>
      </c>
      <c r="B19" s="966"/>
      <c r="C19" s="966" t="s">
        <v>851</v>
      </c>
      <c r="D19" s="966"/>
      <c r="E19" s="952">
        <f>66282231*1.26</f>
        <v>83515611.060000002</v>
      </c>
      <c r="G19" s="970">
        <v>1.29</v>
      </c>
      <c r="H19" s="969"/>
    </row>
    <row r="20" spans="1:60" ht="15" customHeight="1" x14ac:dyDescent="0.2">
      <c r="A20" s="966" t="s">
        <v>855</v>
      </c>
      <c r="B20" s="966"/>
      <c r="C20" s="966" t="s">
        <v>856</v>
      </c>
      <c r="D20" s="966"/>
      <c r="E20" s="952">
        <f>50197583*1.26</f>
        <v>63248954.579999998</v>
      </c>
      <c r="G20" s="970">
        <v>0.98</v>
      </c>
      <c r="H20" s="969"/>
    </row>
    <row r="21" spans="1:60" x14ac:dyDescent="0.2">
      <c r="A21" s="966" t="s">
        <v>857</v>
      </c>
      <c r="B21" s="966"/>
      <c r="C21" s="966" t="s">
        <v>720</v>
      </c>
      <c r="D21" s="966"/>
      <c r="E21" s="972">
        <f>31735552*1.26</f>
        <v>39986795.520000003</v>
      </c>
      <c r="G21" s="970">
        <v>0.6238213856526359</v>
      </c>
      <c r="H21" s="969"/>
      <c r="L21" s="973"/>
    </row>
    <row r="22" spans="1:60" ht="15" thickBot="1" x14ac:dyDescent="0.25">
      <c r="A22" s="974" t="s">
        <v>6</v>
      </c>
      <c r="B22" s="974"/>
      <c r="C22" s="966"/>
      <c r="D22" s="966"/>
      <c r="E22" s="975">
        <v>1147878001</v>
      </c>
      <c r="G22" s="976">
        <v>0.22309999999999999</v>
      </c>
      <c r="J22" s="971"/>
      <c r="L22" s="968"/>
    </row>
    <row r="23" spans="1:60" ht="15" thickTop="1" x14ac:dyDescent="0.2">
      <c r="A23" s="943"/>
      <c r="B23" s="943"/>
      <c r="C23" s="943"/>
      <c r="D23" s="943"/>
      <c r="E23" s="943"/>
      <c r="G23" s="943"/>
      <c r="L23" s="977"/>
      <c r="AN23" s="943"/>
      <c r="AO23" s="943"/>
      <c r="AP23" s="943"/>
      <c r="AQ23" s="943"/>
      <c r="AR23" s="943"/>
      <c r="AS23" s="943"/>
      <c r="AT23" s="943"/>
      <c r="AU23" s="943"/>
      <c r="AV23" s="943"/>
      <c r="AW23" s="943"/>
      <c r="AX23" s="943"/>
      <c r="AY23" s="943"/>
      <c r="AZ23" s="943"/>
      <c r="BA23" s="943"/>
      <c r="BB23" s="943"/>
      <c r="BC23" s="943"/>
      <c r="BD23" s="943"/>
      <c r="BE23" s="943"/>
      <c r="BF23" s="943"/>
      <c r="BG23" s="943"/>
      <c r="BH23" s="943"/>
    </row>
    <row r="24" spans="1:60" x14ac:dyDescent="0.2">
      <c r="A24" s="943"/>
      <c r="B24" s="943"/>
      <c r="C24" s="943"/>
      <c r="D24" s="943"/>
      <c r="E24" s="943"/>
      <c r="G24" s="943"/>
      <c r="L24" s="977"/>
      <c r="AN24" s="943"/>
      <c r="AO24" s="943"/>
      <c r="AP24" s="943"/>
      <c r="AQ24" s="943"/>
      <c r="AR24" s="943"/>
      <c r="AS24" s="943"/>
      <c r="AT24" s="943"/>
      <c r="AU24" s="943"/>
      <c r="AV24" s="943"/>
      <c r="AW24" s="943"/>
      <c r="AX24" s="943"/>
      <c r="AY24" s="943"/>
      <c r="AZ24" s="943"/>
      <c r="BA24" s="943"/>
      <c r="BB24" s="943"/>
      <c r="BC24" s="943"/>
      <c r="BD24" s="943"/>
      <c r="BE24" s="943"/>
      <c r="BF24" s="943"/>
      <c r="BG24" s="943"/>
      <c r="BH24" s="943"/>
    </row>
    <row r="25" spans="1:60" ht="15" thickBot="1" x14ac:dyDescent="0.25">
      <c r="A25" s="943"/>
      <c r="B25" s="943"/>
      <c r="C25" s="943"/>
      <c r="D25" s="943"/>
      <c r="E25" s="943"/>
      <c r="G25" s="943"/>
      <c r="L25" s="977"/>
      <c r="AN25" s="943"/>
      <c r="AO25" s="943"/>
      <c r="AP25" s="943"/>
      <c r="AQ25" s="943"/>
      <c r="AR25" s="943"/>
      <c r="AS25" s="943"/>
      <c r="AT25" s="943"/>
      <c r="AU25" s="943"/>
      <c r="AV25" s="943"/>
      <c r="AW25" s="943"/>
      <c r="AX25" s="943"/>
      <c r="AY25" s="943"/>
      <c r="AZ25" s="943"/>
      <c r="BA25" s="943"/>
      <c r="BB25" s="943"/>
      <c r="BC25" s="943"/>
      <c r="BD25" s="943"/>
      <c r="BE25" s="943"/>
      <c r="BF25" s="943"/>
      <c r="BG25" s="943"/>
      <c r="BH25" s="943"/>
    </row>
    <row r="26" spans="1:60" ht="15" customHeight="1" x14ac:dyDescent="0.2">
      <c r="A26" s="1198" t="s">
        <v>1194</v>
      </c>
      <c r="B26" s="1199"/>
      <c r="C26" s="1200"/>
      <c r="D26" s="1200"/>
      <c r="E26" s="1200"/>
      <c r="F26" s="1200"/>
      <c r="G26" s="1201"/>
      <c r="H26" s="944"/>
      <c r="I26" s="944"/>
      <c r="J26" s="944"/>
      <c r="K26" s="945"/>
      <c r="L26" s="977"/>
      <c r="AN26" s="943"/>
      <c r="AO26" s="943"/>
      <c r="AP26" s="943"/>
      <c r="AQ26" s="943"/>
      <c r="AR26" s="943"/>
      <c r="AS26" s="943"/>
      <c r="AT26" s="943"/>
      <c r="AU26" s="943"/>
      <c r="AV26" s="943"/>
      <c r="AW26" s="943"/>
      <c r="AX26" s="943"/>
      <c r="AY26" s="943"/>
      <c r="AZ26" s="943"/>
      <c r="BA26" s="943"/>
      <c r="BB26" s="943"/>
      <c r="BC26" s="943"/>
      <c r="BD26" s="943"/>
      <c r="BE26" s="943"/>
      <c r="BF26" s="943"/>
      <c r="BG26" s="943"/>
      <c r="BH26" s="943"/>
    </row>
    <row r="27" spans="1:60" x14ac:dyDescent="0.2">
      <c r="A27" s="1202"/>
      <c r="B27" s="1203"/>
      <c r="C27" s="1203"/>
      <c r="D27" s="1203"/>
      <c r="E27" s="1203"/>
      <c r="F27" s="1203"/>
      <c r="G27" s="1204"/>
      <c r="H27" s="944"/>
      <c r="I27" s="944"/>
      <c r="J27" s="944"/>
      <c r="K27" s="945"/>
      <c r="L27" s="977"/>
      <c r="AN27" s="943"/>
      <c r="AO27" s="943"/>
      <c r="AP27" s="943"/>
      <c r="AQ27" s="943"/>
      <c r="AR27" s="943"/>
      <c r="AS27" s="943"/>
      <c r="AT27" s="943"/>
      <c r="AU27" s="943"/>
      <c r="AV27" s="943"/>
      <c r="AW27" s="943"/>
      <c r="AX27" s="943"/>
      <c r="AY27" s="943"/>
      <c r="AZ27" s="943"/>
      <c r="BA27" s="943"/>
      <c r="BB27" s="943"/>
      <c r="BC27" s="943"/>
      <c r="BD27" s="943"/>
      <c r="BE27" s="943"/>
      <c r="BF27" s="943"/>
      <c r="BG27" s="943"/>
      <c r="BH27" s="943"/>
    </row>
    <row r="28" spans="1:60" ht="32.25" customHeight="1" thickBot="1" x14ac:dyDescent="0.25">
      <c r="A28" s="1205"/>
      <c r="B28" s="1206"/>
      <c r="C28" s="1206"/>
      <c r="D28" s="1206"/>
      <c r="E28" s="1206"/>
      <c r="F28" s="1206"/>
      <c r="G28" s="1207"/>
      <c r="H28" s="944"/>
      <c r="I28" s="944"/>
      <c r="J28" s="944"/>
      <c r="K28" s="945"/>
      <c r="L28" s="977"/>
      <c r="AN28" s="943"/>
      <c r="AO28" s="943"/>
      <c r="AP28" s="943"/>
      <c r="AQ28" s="943"/>
      <c r="AR28" s="943"/>
      <c r="AS28" s="943"/>
      <c r="AT28" s="943"/>
      <c r="AU28" s="943"/>
      <c r="AV28" s="943"/>
      <c r="AW28" s="943"/>
      <c r="AX28" s="943"/>
      <c r="AY28" s="943"/>
      <c r="AZ28" s="943"/>
      <c r="BA28" s="943"/>
      <c r="BB28" s="943"/>
      <c r="BC28" s="943"/>
      <c r="BD28" s="943"/>
      <c r="BE28" s="943"/>
      <c r="BF28" s="943"/>
      <c r="BG28" s="943"/>
      <c r="BH28" s="943"/>
    </row>
    <row r="29" spans="1:60" x14ac:dyDescent="0.2">
      <c r="A29" s="955"/>
      <c r="B29" s="955"/>
      <c r="C29" s="955"/>
      <c r="D29" s="955"/>
      <c r="E29" s="955"/>
      <c r="F29" s="955"/>
      <c r="G29" s="955"/>
      <c r="H29" s="944"/>
      <c r="I29" s="944"/>
      <c r="J29" s="944"/>
      <c r="K29" s="945"/>
      <c r="L29" s="977"/>
      <c r="AN29" s="943"/>
      <c r="AO29" s="943"/>
      <c r="AP29" s="943"/>
      <c r="AQ29" s="943"/>
      <c r="AR29" s="943"/>
      <c r="AS29" s="943"/>
      <c r="AT29" s="943"/>
      <c r="AU29" s="943"/>
      <c r="AV29" s="943"/>
      <c r="AW29" s="943"/>
      <c r="AX29" s="943"/>
      <c r="AY29" s="943"/>
      <c r="AZ29" s="943"/>
      <c r="BA29" s="943"/>
      <c r="BB29" s="943"/>
      <c r="BC29" s="943"/>
      <c r="BD29" s="943"/>
      <c r="BE29" s="943"/>
      <c r="BF29" s="943"/>
      <c r="BG29" s="943"/>
      <c r="BH29" s="943"/>
    </row>
    <row r="30" spans="1:60" x14ac:dyDescent="0.2">
      <c r="A30" s="943"/>
      <c r="B30" s="943"/>
      <c r="C30" s="943"/>
      <c r="D30" s="943"/>
      <c r="E30" s="943"/>
      <c r="G30" s="943"/>
      <c r="L30" s="977"/>
      <c r="AN30" s="943"/>
      <c r="AO30" s="943"/>
      <c r="AP30" s="943"/>
      <c r="AQ30" s="943"/>
      <c r="AR30" s="943"/>
      <c r="AS30" s="943"/>
      <c r="AT30" s="943"/>
      <c r="AU30" s="943"/>
      <c r="AV30" s="943"/>
      <c r="AW30" s="943"/>
      <c r="AX30" s="943"/>
      <c r="AY30" s="943"/>
      <c r="AZ30" s="943"/>
      <c r="BA30" s="943"/>
      <c r="BB30" s="943"/>
      <c r="BC30" s="943"/>
      <c r="BD30" s="943"/>
      <c r="BE30" s="943"/>
      <c r="BF30" s="943"/>
      <c r="BG30" s="943"/>
      <c r="BH30" s="943"/>
    </row>
    <row r="31" spans="1:60" x14ac:dyDescent="0.2">
      <c r="A31" s="943"/>
      <c r="B31" s="943"/>
      <c r="C31" s="943"/>
      <c r="D31" s="943"/>
      <c r="E31" s="943"/>
      <c r="G31" s="943"/>
      <c r="L31" s="977"/>
      <c r="AN31" s="943"/>
      <c r="AO31" s="943"/>
      <c r="AP31" s="943"/>
      <c r="AQ31" s="943"/>
      <c r="AR31" s="943"/>
      <c r="AS31" s="943"/>
      <c r="AT31" s="943"/>
      <c r="AU31" s="943"/>
      <c r="AV31" s="943"/>
      <c r="AW31" s="943"/>
      <c r="AX31" s="943"/>
      <c r="AY31" s="943"/>
      <c r="AZ31" s="943"/>
      <c r="BA31" s="943"/>
      <c r="BB31" s="943"/>
      <c r="BC31" s="943"/>
      <c r="BD31" s="943"/>
      <c r="BE31" s="943"/>
      <c r="BF31" s="943"/>
      <c r="BG31" s="943"/>
      <c r="BH31" s="943"/>
    </row>
    <row r="32" spans="1:60" x14ac:dyDescent="0.2">
      <c r="A32" s="943"/>
      <c r="B32" s="943"/>
      <c r="C32" s="943"/>
      <c r="D32" s="943"/>
      <c r="E32" s="943"/>
      <c r="G32" s="943"/>
      <c r="L32" s="968"/>
      <c r="AN32" s="943"/>
      <c r="AO32" s="943"/>
      <c r="AP32" s="943"/>
      <c r="AQ32" s="943"/>
      <c r="AR32" s="943"/>
      <c r="AS32" s="943"/>
      <c r="AT32" s="943"/>
      <c r="AU32" s="943"/>
      <c r="AV32" s="943"/>
      <c r="AW32" s="943"/>
      <c r="AX32" s="943"/>
      <c r="AY32" s="943"/>
      <c r="AZ32" s="943"/>
      <c r="BA32" s="943"/>
      <c r="BB32" s="943"/>
      <c r="BC32" s="943"/>
      <c r="BD32" s="943"/>
      <c r="BE32" s="943"/>
      <c r="BF32" s="943"/>
      <c r="BG32" s="943"/>
      <c r="BH32" s="943"/>
    </row>
    <row r="33" spans="1:60" x14ac:dyDescent="0.2">
      <c r="A33" s="943"/>
      <c r="B33" s="943"/>
      <c r="C33" s="943"/>
      <c r="D33" s="943"/>
      <c r="E33" s="943"/>
      <c r="G33" s="943"/>
      <c r="AN33" s="943"/>
      <c r="AO33" s="943"/>
      <c r="AP33" s="943"/>
      <c r="AQ33" s="943"/>
      <c r="AR33" s="943"/>
      <c r="AS33" s="943"/>
      <c r="AT33" s="943"/>
      <c r="AU33" s="943"/>
      <c r="AV33" s="943"/>
      <c r="AW33" s="943"/>
      <c r="AX33" s="943"/>
      <c r="AY33" s="943"/>
      <c r="AZ33" s="943"/>
      <c r="BA33" s="943"/>
      <c r="BB33" s="943"/>
      <c r="BC33" s="943"/>
      <c r="BD33" s="943"/>
      <c r="BE33" s="943"/>
      <c r="BF33" s="943"/>
      <c r="BG33" s="943"/>
      <c r="BH33" s="943"/>
    </row>
    <row r="34" spans="1:60" x14ac:dyDescent="0.2">
      <c r="A34" s="943"/>
      <c r="B34" s="943"/>
      <c r="C34" s="943"/>
      <c r="D34" s="943"/>
      <c r="E34" s="943"/>
      <c r="G34" s="943"/>
      <c r="AN34" s="943"/>
      <c r="AO34" s="943"/>
      <c r="AP34" s="943"/>
      <c r="AQ34" s="943"/>
      <c r="AR34" s="943"/>
      <c r="AS34" s="943"/>
      <c r="AT34" s="943"/>
      <c r="AU34" s="943"/>
      <c r="AV34" s="943"/>
      <c r="AW34" s="943"/>
      <c r="AX34" s="943"/>
      <c r="AY34" s="943"/>
      <c r="AZ34" s="943"/>
      <c r="BA34" s="943"/>
      <c r="BB34" s="943"/>
      <c r="BC34" s="943"/>
      <c r="BD34" s="943"/>
      <c r="BE34" s="943"/>
      <c r="BF34" s="943"/>
      <c r="BG34" s="943"/>
      <c r="BH34" s="943"/>
    </row>
    <row r="35" spans="1:60" x14ac:dyDescent="0.2">
      <c r="A35" s="943"/>
      <c r="B35" s="943"/>
      <c r="C35" s="943"/>
      <c r="D35" s="943"/>
      <c r="E35" s="943"/>
      <c r="G35" s="943"/>
      <c r="AN35" s="943"/>
      <c r="AO35" s="943"/>
      <c r="AP35" s="943"/>
      <c r="AQ35" s="943"/>
      <c r="AR35" s="943"/>
      <c r="AS35" s="943"/>
      <c r="AT35" s="943"/>
      <c r="AU35" s="943"/>
      <c r="AV35" s="943"/>
      <c r="AW35" s="943"/>
      <c r="AX35" s="943"/>
      <c r="AY35" s="943"/>
      <c r="AZ35" s="943"/>
      <c r="BA35" s="943"/>
      <c r="BB35" s="943"/>
      <c r="BC35" s="943"/>
      <c r="BD35" s="943"/>
      <c r="BE35" s="943"/>
      <c r="BF35" s="943"/>
      <c r="BG35" s="943"/>
      <c r="BH35" s="943"/>
    </row>
    <row r="36" spans="1:60" x14ac:dyDescent="0.2">
      <c r="A36" s="943"/>
      <c r="B36" s="943"/>
      <c r="C36" s="943"/>
      <c r="D36" s="943"/>
      <c r="E36" s="943"/>
      <c r="G36" s="943"/>
      <c r="AN36" s="943"/>
      <c r="AO36" s="943"/>
      <c r="AP36" s="943"/>
      <c r="AQ36" s="943"/>
      <c r="AR36" s="943"/>
      <c r="AS36" s="943"/>
      <c r="AT36" s="943"/>
      <c r="AU36" s="943"/>
      <c r="AV36" s="943"/>
      <c r="AW36" s="943"/>
      <c r="AX36" s="943"/>
      <c r="AY36" s="943"/>
      <c r="AZ36" s="943"/>
      <c r="BA36" s="943"/>
      <c r="BB36" s="943"/>
      <c r="BC36" s="943"/>
      <c r="BD36" s="943"/>
      <c r="BE36" s="943"/>
      <c r="BF36" s="943"/>
      <c r="BG36" s="943"/>
      <c r="BH36" s="943"/>
    </row>
    <row r="37" spans="1:60" x14ac:dyDescent="0.2">
      <c r="A37" s="943"/>
      <c r="B37" s="943"/>
      <c r="C37" s="943"/>
      <c r="D37" s="943"/>
      <c r="E37" s="943"/>
      <c r="G37" s="943"/>
      <c r="AN37" s="943"/>
      <c r="AO37" s="943"/>
      <c r="AP37" s="943"/>
      <c r="AQ37" s="943"/>
      <c r="AR37" s="943"/>
      <c r="AS37" s="943"/>
      <c r="AT37" s="943"/>
      <c r="AU37" s="943"/>
      <c r="AV37" s="943"/>
      <c r="AW37" s="943"/>
      <c r="AX37" s="943"/>
      <c r="AY37" s="943"/>
      <c r="AZ37" s="943"/>
      <c r="BA37" s="943"/>
      <c r="BB37" s="943"/>
      <c r="BC37" s="943"/>
      <c r="BD37" s="943"/>
      <c r="BE37" s="943"/>
      <c r="BF37" s="943"/>
      <c r="BG37" s="943"/>
      <c r="BH37" s="943"/>
    </row>
    <row r="38" spans="1:60" x14ac:dyDescent="0.2">
      <c r="A38" s="943"/>
      <c r="B38" s="943"/>
      <c r="C38" s="943"/>
      <c r="D38" s="943"/>
      <c r="E38" s="943"/>
      <c r="G38" s="943"/>
      <c r="AN38" s="943"/>
      <c r="AO38" s="943"/>
      <c r="AP38" s="943"/>
      <c r="AQ38" s="943"/>
      <c r="AR38" s="943"/>
      <c r="AS38" s="943"/>
      <c r="AT38" s="943"/>
      <c r="AU38" s="943"/>
      <c r="AV38" s="943"/>
      <c r="AW38" s="943"/>
      <c r="AX38" s="943"/>
      <c r="AY38" s="943"/>
      <c r="AZ38" s="943"/>
      <c r="BA38" s="943"/>
      <c r="BB38" s="943"/>
      <c r="BC38" s="943"/>
      <c r="BD38" s="943"/>
      <c r="BE38" s="943"/>
      <c r="BF38" s="943"/>
      <c r="BG38" s="943"/>
      <c r="BH38" s="943"/>
    </row>
    <row r="39" spans="1:60" x14ac:dyDescent="0.2">
      <c r="A39" s="943"/>
      <c r="B39" s="943"/>
      <c r="C39" s="943"/>
      <c r="D39" s="943"/>
      <c r="E39" s="943"/>
      <c r="G39" s="943"/>
      <c r="AN39" s="943"/>
      <c r="AO39" s="943"/>
      <c r="AP39" s="943"/>
      <c r="AQ39" s="943"/>
      <c r="AR39" s="943"/>
      <c r="AS39" s="943"/>
      <c r="AT39" s="943"/>
      <c r="AU39" s="943"/>
      <c r="AV39" s="943"/>
      <c r="AW39" s="943"/>
      <c r="AX39" s="943"/>
      <c r="AY39" s="943"/>
      <c r="AZ39" s="943"/>
      <c r="BA39" s="943"/>
      <c r="BB39" s="943"/>
      <c r="BC39" s="943"/>
      <c r="BD39" s="943"/>
      <c r="BE39" s="943"/>
      <c r="BF39" s="943"/>
      <c r="BG39" s="943"/>
      <c r="BH39" s="943"/>
    </row>
    <row r="40" spans="1:60" x14ac:dyDescent="0.2">
      <c r="A40" s="943"/>
      <c r="B40" s="943"/>
      <c r="C40" s="943"/>
      <c r="D40" s="943"/>
      <c r="E40" s="943"/>
      <c r="G40" s="943"/>
      <c r="AN40" s="943"/>
      <c r="AO40" s="943"/>
      <c r="AP40" s="943"/>
      <c r="AQ40" s="943"/>
      <c r="AR40" s="943"/>
      <c r="AS40" s="943"/>
      <c r="AT40" s="943"/>
      <c r="AU40" s="943"/>
      <c r="AV40" s="943"/>
      <c r="AW40" s="943"/>
      <c r="AX40" s="943"/>
      <c r="AY40" s="943"/>
      <c r="AZ40" s="943"/>
      <c r="BA40" s="943"/>
      <c r="BB40" s="943"/>
      <c r="BC40" s="943"/>
      <c r="BD40" s="943"/>
      <c r="BE40" s="943"/>
      <c r="BF40" s="943"/>
      <c r="BG40" s="943"/>
      <c r="BH40" s="943"/>
    </row>
    <row r="41" spans="1:60" x14ac:dyDescent="0.2">
      <c r="A41" s="943"/>
      <c r="B41" s="943"/>
      <c r="C41" s="943"/>
      <c r="D41" s="943"/>
      <c r="E41" s="943"/>
      <c r="G41" s="943"/>
      <c r="AN41" s="943"/>
      <c r="AO41" s="943"/>
      <c r="AP41" s="943"/>
      <c r="AQ41" s="943"/>
      <c r="AR41" s="943"/>
      <c r="AS41" s="943"/>
      <c r="AT41" s="943"/>
      <c r="AU41" s="943"/>
      <c r="AV41" s="943"/>
      <c r="AW41" s="943"/>
      <c r="AX41" s="943"/>
      <c r="AY41" s="943"/>
      <c r="AZ41" s="943"/>
      <c r="BA41" s="943"/>
      <c r="BB41" s="943"/>
      <c r="BC41" s="943"/>
      <c r="BD41" s="943"/>
      <c r="BE41" s="943"/>
      <c r="BF41" s="943"/>
      <c r="BG41" s="943"/>
      <c r="BH41" s="943"/>
    </row>
    <row r="42" spans="1:60" x14ac:dyDescent="0.2">
      <c r="A42" s="943"/>
      <c r="B42" s="943"/>
      <c r="C42" s="943"/>
      <c r="D42" s="943"/>
      <c r="E42" s="943"/>
      <c r="G42" s="943"/>
      <c r="AN42" s="943"/>
      <c r="AO42" s="943"/>
      <c r="AP42" s="943"/>
      <c r="AQ42" s="943"/>
      <c r="AR42" s="943"/>
      <c r="AS42" s="943"/>
      <c r="AT42" s="943"/>
      <c r="AU42" s="943"/>
      <c r="AV42" s="943"/>
      <c r="AW42" s="943"/>
      <c r="AX42" s="943"/>
      <c r="AY42" s="943"/>
      <c r="AZ42" s="943"/>
      <c r="BA42" s="943"/>
      <c r="BB42" s="943"/>
      <c r="BC42" s="943"/>
      <c r="BD42" s="943"/>
      <c r="BE42" s="943"/>
      <c r="BF42" s="943"/>
      <c r="BG42" s="943"/>
      <c r="BH42" s="943"/>
    </row>
    <row r="43" spans="1:60" x14ac:dyDescent="0.2">
      <c r="A43" s="943"/>
      <c r="B43" s="943"/>
      <c r="C43" s="943"/>
      <c r="D43" s="943"/>
      <c r="E43" s="943"/>
      <c r="G43" s="943"/>
      <c r="AN43" s="943"/>
      <c r="AO43" s="943"/>
      <c r="AP43" s="943"/>
      <c r="AQ43" s="943"/>
      <c r="AR43" s="943"/>
      <c r="AS43" s="943"/>
      <c r="AT43" s="943"/>
      <c r="AU43" s="943"/>
      <c r="AV43" s="943"/>
      <c r="AW43" s="943"/>
      <c r="AX43" s="943"/>
      <c r="AY43" s="943"/>
      <c r="AZ43" s="943"/>
      <c r="BA43" s="943"/>
      <c r="BB43" s="943"/>
      <c r="BC43" s="943"/>
      <c r="BD43" s="943"/>
      <c r="BE43" s="943"/>
      <c r="BF43" s="943"/>
      <c r="BG43" s="943"/>
      <c r="BH43" s="943"/>
    </row>
    <row r="44" spans="1:60" x14ac:dyDescent="0.2">
      <c r="A44" s="943"/>
      <c r="B44" s="943"/>
      <c r="C44" s="943"/>
      <c r="D44" s="943"/>
      <c r="E44" s="943"/>
      <c r="G44" s="943"/>
      <c r="AN44" s="943"/>
      <c r="AO44" s="943"/>
      <c r="AP44" s="943"/>
      <c r="AQ44" s="943"/>
      <c r="AR44" s="943"/>
      <c r="AS44" s="943"/>
      <c r="AT44" s="943"/>
      <c r="AU44" s="943"/>
      <c r="AV44" s="943"/>
      <c r="AW44" s="943"/>
      <c r="AX44" s="943"/>
      <c r="AY44" s="943"/>
      <c r="AZ44" s="943"/>
      <c r="BA44" s="943"/>
      <c r="BB44" s="943"/>
      <c r="BC44" s="943"/>
      <c r="BD44" s="943"/>
      <c r="BE44" s="943"/>
      <c r="BF44" s="943"/>
      <c r="BG44" s="943"/>
      <c r="BH44" s="943"/>
    </row>
    <row r="45" spans="1:60" x14ac:dyDescent="0.2">
      <c r="A45" s="943"/>
      <c r="B45" s="943"/>
      <c r="C45" s="943"/>
      <c r="D45" s="943"/>
      <c r="E45" s="943"/>
      <c r="G45" s="943"/>
      <c r="AN45" s="943"/>
      <c r="AO45" s="943"/>
      <c r="AP45" s="943"/>
      <c r="AQ45" s="943"/>
      <c r="AR45" s="943"/>
      <c r="AS45" s="943"/>
      <c r="AT45" s="943"/>
      <c r="AU45" s="943"/>
      <c r="AV45" s="943"/>
      <c r="AW45" s="943"/>
      <c r="AX45" s="943"/>
      <c r="AY45" s="943"/>
      <c r="AZ45" s="943"/>
      <c r="BA45" s="943"/>
      <c r="BB45" s="943"/>
      <c r="BC45" s="943"/>
      <c r="BD45" s="943"/>
      <c r="BE45" s="943"/>
      <c r="BF45" s="943"/>
      <c r="BG45" s="943"/>
      <c r="BH45" s="943"/>
    </row>
    <row r="46" spans="1:60" x14ac:dyDescent="0.2">
      <c r="A46" s="943"/>
      <c r="B46" s="943"/>
      <c r="C46" s="943"/>
      <c r="D46" s="943"/>
      <c r="E46" s="943"/>
      <c r="G46" s="943"/>
      <c r="AN46" s="943"/>
      <c r="AO46" s="943"/>
      <c r="AP46" s="943"/>
      <c r="AQ46" s="943"/>
      <c r="AR46" s="943"/>
      <c r="AS46" s="943"/>
      <c r="AT46" s="943"/>
      <c r="AU46" s="943"/>
      <c r="AV46" s="943"/>
      <c r="AW46" s="943"/>
      <c r="AX46" s="943"/>
      <c r="AY46" s="943"/>
      <c r="AZ46" s="943"/>
      <c r="BA46" s="943"/>
      <c r="BB46" s="943"/>
      <c r="BC46" s="943"/>
      <c r="BD46" s="943"/>
      <c r="BE46" s="943"/>
      <c r="BF46" s="943"/>
      <c r="BG46" s="943"/>
      <c r="BH46" s="943"/>
    </row>
    <row r="47" spans="1:60" x14ac:dyDescent="0.2">
      <c r="A47" s="943"/>
      <c r="B47" s="943"/>
      <c r="C47" s="943"/>
      <c r="D47" s="943"/>
      <c r="E47" s="943"/>
      <c r="G47" s="943"/>
      <c r="AN47" s="943"/>
      <c r="AO47" s="943"/>
      <c r="AP47" s="943"/>
      <c r="AQ47" s="943"/>
      <c r="AR47" s="943"/>
      <c r="AS47" s="943"/>
      <c r="AT47" s="943"/>
      <c r="AU47" s="943"/>
      <c r="AV47" s="943"/>
      <c r="AW47" s="943"/>
      <c r="AX47" s="943"/>
      <c r="AY47" s="943"/>
      <c r="AZ47" s="943"/>
      <c r="BA47" s="943"/>
      <c r="BB47" s="943"/>
      <c r="BC47" s="943"/>
      <c r="BD47" s="943"/>
      <c r="BE47" s="943"/>
      <c r="BF47" s="943"/>
      <c r="BG47" s="943"/>
      <c r="BH47" s="943"/>
    </row>
    <row r="48" spans="1:60" x14ac:dyDescent="0.2">
      <c r="A48" s="943"/>
      <c r="B48" s="943"/>
      <c r="C48" s="943"/>
      <c r="D48" s="943"/>
      <c r="E48" s="943"/>
      <c r="G48" s="943"/>
      <c r="AN48" s="943"/>
      <c r="AO48" s="943"/>
      <c r="AP48" s="943"/>
      <c r="AQ48" s="943"/>
      <c r="AR48" s="943"/>
      <c r="AS48" s="943"/>
      <c r="AT48" s="943"/>
      <c r="AU48" s="943"/>
      <c r="AV48" s="943"/>
      <c r="AW48" s="943"/>
      <c r="AX48" s="943"/>
      <c r="AY48" s="943"/>
      <c r="AZ48" s="943"/>
      <c r="BA48" s="943"/>
      <c r="BB48" s="943"/>
      <c r="BC48" s="943"/>
      <c r="BD48" s="943"/>
      <c r="BE48" s="943"/>
      <c r="BF48" s="943"/>
      <c r="BG48" s="943"/>
      <c r="BH48" s="943"/>
    </row>
    <row r="49" spans="1:60" x14ac:dyDescent="0.2">
      <c r="A49" s="943"/>
      <c r="B49" s="943"/>
      <c r="C49" s="943"/>
      <c r="D49" s="943"/>
      <c r="E49" s="943"/>
      <c r="G49" s="943"/>
      <c r="AN49" s="943"/>
      <c r="AO49" s="943"/>
      <c r="AP49" s="943"/>
      <c r="AQ49" s="943"/>
      <c r="AR49" s="943"/>
      <c r="AS49" s="943"/>
      <c r="AT49" s="943"/>
      <c r="AU49" s="943"/>
      <c r="AV49" s="943"/>
      <c r="AW49" s="943"/>
      <c r="AX49" s="943"/>
      <c r="AY49" s="943"/>
      <c r="AZ49" s="943"/>
      <c r="BA49" s="943"/>
      <c r="BB49" s="943"/>
      <c r="BC49" s="943"/>
      <c r="BD49" s="943"/>
      <c r="BE49" s="943"/>
      <c r="BF49" s="943"/>
      <c r="BG49" s="943"/>
      <c r="BH49" s="943"/>
    </row>
    <row r="50" spans="1:60" x14ac:dyDescent="0.2">
      <c r="A50" s="943"/>
      <c r="B50" s="943"/>
      <c r="C50" s="943"/>
      <c r="D50" s="943"/>
      <c r="E50" s="943"/>
      <c r="G50" s="943"/>
      <c r="AN50" s="943"/>
      <c r="AO50" s="943"/>
      <c r="AP50" s="943"/>
      <c r="AQ50" s="943"/>
      <c r="AR50" s="943"/>
      <c r="AS50" s="943"/>
      <c r="AT50" s="943"/>
      <c r="AU50" s="943"/>
      <c r="AV50" s="943"/>
      <c r="AW50" s="943"/>
      <c r="AX50" s="943"/>
      <c r="AY50" s="943"/>
      <c r="AZ50" s="943"/>
      <c r="BA50" s="943"/>
      <c r="BB50" s="943"/>
      <c r="BC50" s="943"/>
      <c r="BD50" s="943"/>
      <c r="BE50" s="943"/>
      <c r="BF50" s="943"/>
      <c r="BG50" s="943"/>
      <c r="BH50" s="943"/>
    </row>
    <row r="51" spans="1:60" x14ac:dyDescent="0.2">
      <c r="A51" s="943"/>
      <c r="B51" s="943"/>
      <c r="C51" s="943"/>
      <c r="D51" s="943"/>
      <c r="E51" s="943"/>
      <c r="G51" s="943"/>
      <c r="AN51" s="943"/>
      <c r="AO51" s="943"/>
      <c r="AP51" s="943"/>
      <c r="AQ51" s="943"/>
      <c r="AR51" s="943"/>
      <c r="AS51" s="943"/>
      <c r="AT51" s="943"/>
      <c r="AU51" s="943"/>
      <c r="AV51" s="943"/>
      <c r="AW51" s="943"/>
      <c r="AX51" s="943"/>
      <c r="AY51" s="943"/>
      <c r="AZ51" s="943"/>
      <c r="BA51" s="943"/>
      <c r="BB51" s="943"/>
      <c r="BC51" s="943"/>
      <c r="BD51" s="943"/>
      <c r="BE51" s="943"/>
      <c r="BF51" s="943"/>
      <c r="BG51" s="943"/>
      <c r="BH51" s="943"/>
    </row>
    <row r="52" spans="1:60" x14ac:dyDescent="0.2">
      <c r="A52" s="943"/>
      <c r="B52" s="943"/>
      <c r="C52" s="943"/>
      <c r="D52" s="943"/>
      <c r="E52" s="943"/>
      <c r="G52" s="943"/>
      <c r="AN52" s="943"/>
      <c r="AO52" s="943"/>
      <c r="AP52" s="943"/>
      <c r="AQ52" s="943"/>
      <c r="AR52" s="943"/>
      <c r="AS52" s="943"/>
      <c r="AT52" s="943"/>
      <c r="AU52" s="943"/>
      <c r="AV52" s="943"/>
      <c r="AW52" s="943"/>
      <c r="AX52" s="943"/>
      <c r="AY52" s="943"/>
      <c r="AZ52" s="943"/>
      <c r="BA52" s="943"/>
      <c r="BB52" s="943"/>
      <c r="BC52" s="943"/>
      <c r="BD52" s="943"/>
      <c r="BE52" s="943"/>
      <c r="BF52" s="943"/>
      <c r="BG52" s="943"/>
      <c r="BH52" s="943"/>
    </row>
    <row r="53" spans="1:60" x14ac:dyDescent="0.2">
      <c r="A53" s="943"/>
      <c r="B53" s="943"/>
      <c r="C53" s="943"/>
      <c r="D53" s="943"/>
      <c r="E53" s="943"/>
      <c r="G53" s="943"/>
      <c r="AN53" s="943"/>
      <c r="AO53" s="943"/>
      <c r="AP53" s="943"/>
      <c r="AQ53" s="943"/>
      <c r="AR53" s="943"/>
      <c r="AS53" s="943"/>
      <c r="AT53" s="943"/>
      <c r="AU53" s="943"/>
      <c r="AV53" s="943"/>
      <c r="AW53" s="943"/>
      <c r="AX53" s="943"/>
      <c r="AY53" s="943"/>
      <c r="AZ53" s="943"/>
      <c r="BA53" s="943"/>
      <c r="BB53" s="943"/>
      <c r="BC53" s="943"/>
      <c r="BD53" s="943"/>
      <c r="BE53" s="943"/>
      <c r="BF53" s="943"/>
      <c r="BG53" s="943"/>
      <c r="BH53" s="943"/>
    </row>
    <row r="54" spans="1:60" x14ac:dyDescent="0.2">
      <c r="A54" s="943"/>
      <c r="B54" s="943"/>
      <c r="C54" s="943"/>
      <c r="D54" s="943"/>
      <c r="E54" s="943"/>
      <c r="G54" s="943"/>
      <c r="AN54" s="943"/>
      <c r="AO54" s="943"/>
      <c r="AP54" s="943"/>
      <c r="AQ54" s="943"/>
      <c r="AR54" s="943"/>
      <c r="AS54" s="943"/>
      <c r="AT54" s="943"/>
      <c r="AU54" s="943"/>
      <c r="AV54" s="943"/>
      <c r="AW54" s="943"/>
      <c r="AX54" s="943"/>
      <c r="AY54" s="943"/>
      <c r="AZ54" s="943"/>
      <c r="BA54" s="943"/>
      <c r="BB54" s="943"/>
      <c r="BC54" s="943"/>
      <c r="BD54" s="943"/>
      <c r="BE54" s="943"/>
      <c r="BF54" s="943"/>
      <c r="BG54" s="943"/>
      <c r="BH54" s="943"/>
    </row>
    <row r="55" spans="1:60" x14ac:dyDescent="0.2">
      <c r="A55" s="943"/>
      <c r="B55" s="943"/>
      <c r="C55" s="943"/>
      <c r="D55" s="943"/>
      <c r="E55" s="943"/>
      <c r="G55" s="943"/>
      <c r="AN55" s="943"/>
      <c r="AO55" s="943"/>
      <c r="AP55" s="943"/>
      <c r="AQ55" s="943"/>
      <c r="AR55" s="943"/>
      <c r="AS55" s="943"/>
      <c r="AT55" s="943"/>
      <c r="AU55" s="943"/>
      <c r="AV55" s="943"/>
      <c r="AW55" s="943"/>
      <c r="AX55" s="943"/>
      <c r="AY55" s="943"/>
      <c r="AZ55" s="943"/>
      <c r="BA55" s="943"/>
      <c r="BB55" s="943"/>
      <c r="BC55" s="943"/>
      <c r="BD55" s="943"/>
      <c r="BE55" s="943"/>
      <c r="BF55" s="943"/>
      <c r="BG55" s="943"/>
      <c r="BH55" s="943"/>
    </row>
    <row r="56" spans="1:60" x14ac:dyDescent="0.2">
      <c r="A56" s="943"/>
      <c r="B56" s="943"/>
      <c r="C56" s="943"/>
      <c r="D56" s="943"/>
      <c r="E56" s="943"/>
      <c r="G56" s="943"/>
      <c r="AN56" s="943"/>
      <c r="AO56" s="943"/>
      <c r="AP56" s="943"/>
      <c r="AQ56" s="943"/>
      <c r="AR56" s="943"/>
      <c r="AS56" s="943"/>
      <c r="AT56" s="943"/>
      <c r="AU56" s="943"/>
      <c r="AV56" s="943"/>
      <c r="AW56" s="943"/>
      <c r="AX56" s="943"/>
      <c r="AY56" s="943"/>
      <c r="AZ56" s="943"/>
      <c r="BA56" s="943"/>
      <c r="BB56" s="943"/>
      <c r="BC56" s="943"/>
      <c r="BD56" s="943"/>
      <c r="BE56" s="943"/>
      <c r="BF56" s="943"/>
      <c r="BG56" s="943"/>
      <c r="BH56" s="943"/>
    </row>
    <row r="57" spans="1:60" x14ac:dyDescent="0.2">
      <c r="A57" s="943"/>
      <c r="B57" s="943"/>
      <c r="C57" s="943"/>
      <c r="D57" s="943"/>
      <c r="E57" s="943"/>
      <c r="G57" s="943"/>
      <c r="AN57" s="943"/>
      <c r="AO57" s="943"/>
      <c r="AP57" s="943"/>
      <c r="AQ57" s="943"/>
      <c r="AR57" s="943"/>
      <c r="AS57" s="943"/>
      <c r="AT57" s="943"/>
      <c r="AU57" s="943"/>
      <c r="AV57" s="943"/>
      <c r="AW57" s="943"/>
      <c r="AX57" s="943"/>
      <c r="AY57" s="943"/>
      <c r="AZ57" s="943"/>
      <c r="BA57" s="943"/>
      <c r="BB57" s="943"/>
      <c r="BC57" s="943"/>
      <c r="BD57" s="943"/>
      <c r="BE57" s="943"/>
      <c r="BF57" s="943"/>
      <c r="BG57" s="943"/>
      <c r="BH57" s="943"/>
    </row>
    <row r="58" spans="1:60" x14ac:dyDescent="0.2">
      <c r="A58" s="943"/>
      <c r="B58" s="943"/>
      <c r="C58" s="943"/>
      <c r="D58" s="943"/>
      <c r="E58" s="943"/>
      <c r="G58" s="943"/>
      <c r="AN58" s="943"/>
      <c r="AO58" s="943"/>
      <c r="AP58" s="943"/>
      <c r="AQ58" s="943"/>
      <c r="AR58" s="943"/>
      <c r="AS58" s="943"/>
      <c r="AT58" s="943"/>
      <c r="AU58" s="943"/>
      <c r="AV58" s="943"/>
      <c r="AW58" s="943"/>
      <c r="AX58" s="943"/>
      <c r="AY58" s="943"/>
      <c r="AZ58" s="943"/>
      <c r="BA58" s="943"/>
      <c r="BB58" s="943"/>
      <c r="BC58" s="943"/>
      <c r="BD58" s="943"/>
      <c r="BE58" s="943"/>
      <c r="BF58" s="943"/>
      <c r="BG58" s="943"/>
      <c r="BH58" s="943"/>
    </row>
    <row r="59" spans="1:60" x14ac:dyDescent="0.2">
      <c r="A59" s="943"/>
      <c r="B59" s="943"/>
      <c r="C59" s="943"/>
      <c r="D59" s="943"/>
      <c r="E59" s="943"/>
      <c r="G59" s="943"/>
      <c r="AN59" s="943"/>
      <c r="AO59" s="943"/>
      <c r="AP59" s="943"/>
      <c r="AQ59" s="943"/>
      <c r="AR59" s="943"/>
      <c r="AS59" s="943"/>
      <c r="AT59" s="943"/>
      <c r="AU59" s="943"/>
      <c r="AV59" s="943"/>
      <c r="AW59" s="943"/>
      <c r="AX59" s="943"/>
      <c r="AY59" s="943"/>
      <c r="AZ59" s="943"/>
      <c r="BA59" s="943"/>
      <c r="BB59" s="943"/>
      <c r="BC59" s="943"/>
      <c r="BD59" s="943"/>
      <c r="BE59" s="943"/>
      <c r="BF59" s="943"/>
      <c r="BG59" s="943"/>
      <c r="BH59" s="943"/>
    </row>
    <row r="60" spans="1:60" x14ac:dyDescent="0.2">
      <c r="A60" s="943"/>
      <c r="B60" s="943"/>
      <c r="C60" s="943"/>
      <c r="D60" s="943"/>
      <c r="E60" s="943"/>
      <c r="G60" s="943"/>
      <c r="AN60" s="943"/>
      <c r="AO60" s="943"/>
      <c r="AP60" s="943"/>
      <c r="AQ60" s="943"/>
      <c r="AR60" s="943"/>
      <c r="AS60" s="943"/>
      <c r="AT60" s="943"/>
      <c r="AU60" s="943"/>
      <c r="AV60" s="943"/>
      <c r="AW60" s="943"/>
      <c r="AX60" s="943"/>
      <c r="AY60" s="943"/>
      <c r="AZ60" s="943"/>
      <c r="BA60" s="943"/>
      <c r="BB60" s="943"/>
      <c r="BC60" s="943"/>
      <c r="BD60" s="943"/>
      <c r="BE60" s="943"/>
      <c r="BF60" s="943"/>
      <c r="BG60" s="943"/>
      <c r="BH60" s="943"/>
    </row>
    <row r="61" spans="1:60" x14ac:dyDescent="0.2">
      <c r="A61" s="943"/>
      <c r="B61" s="943"/>
      <c r="C61" s="943"/>
      <c r="D61" s="943"/>
      <c r="E61" s="943"/>
      <c r="G61" s="943"/>
      <c r="AN61" s="943"/>
      <c r="AO61" s="943"/>
      <c r="AP61" s="943"/>
      <c r="AQ61" s="943"/>
      <c r="AR61" s="943"/>
      <c r="AS61" s="943"/>
      <c r="AT61" s="943"/>
      <c r="AU61" s="943"/>
      <c r="AV61" s="943"/>
      <c r="AW61" s="943"/>
      <c r="AX61" s="943"/>
      <c r="AY61" s="943"/>
      <c r="AZ61" s="943"/>
      <c r="BA61" s="943"/>
      <c r="BB61" s="943"/>
      <c r="BC61" s="943"/>
      <c r="BD61" s="943"/>
      <c r="BE61" s="943"/>
      <c r="BF61" s="943"/>
      <c r="BG61" s="943"/>
      <c r="BH61" s="943"/>
    </row>
    <row r="62" spans="1:60" x14ac:dyDescent="0.2">
      <c r="A62" s="943"/>
      <c r="B62" s="943"/>
      <c r="C62" s="943"/>
      <c r="D62" s="943"/>
      <c r="E62" s="943"/>
      <c r="G62" s="943"/>
      <c r="AN62" s="943"/>
      <c r="AO62" s="943"/>
      <c r="AP62" s="943"/>
      <c r="AQ62" s="943"/>
      <c r="AR62" s="943"/>
      <c r="AS62" s="943"/>
      <c r="AT62" s="943"/>
      <c r="AU62" s="943"/>
      <c r="AV62" s="943"/>
      <c r="AW62" s="943"/>
      <c r="AX62" s="943"/>
      <c r="AY62" s="943"/>
      <c r="AZ62" s="943"/>
      <c r="BA62" s="943"/>
      <c r="BB62" s="943"/>
      <c r="BC62" s="943"/>
      <c r="BD62" s="943"/>
      <c r="BE62" s="943"/>
      <c r="BF62" s="943"/>
      <c r="BG62" s="943"/>
      <c r="BH62" s="943"/>
    </row>
    <row r="63" spans="1:60" x14ac:dyDescent="0.2">
      <c r="A63" s="943"/>
      <c r="B63" s="943"/>
      <c r="C63" s="943"/>
      <c r="D63" s="943"/>
      <c r="E63" s="943"/>
      <c r="G63" s="943"/>
      <c r="AN63" s="943"/>
      <c r="AO63" s="943"/>
      <c r="AP63" s="943"/>
      <c r="AQ63" s="943"/>
      <c r="AR63" s="943"/>
      <c r="AS63" s="943"/>
      <c r="AT63" s="943"/>
      <c r="AU63" s="943"/>
      <c r="AV63" s="943"/>
      <c r="AW63" s="943"/>
      <c r="AX63" s="943"/>
      <c r="AY63" s="943"/>
      <c r="AZ63" s="943"/>
      <c r="BA63" s="943"/>
      <c r="BB63" s="943"/>
      <c r="BC63" s="943"/>
      <c r="BD63" s="943"/>
      <c r="BE63" s="943"/>
      <c r="BF63" s="943"/>
      <c r="BG63" s="943"/>
      <c r="BH63" s="943"/>
    </row>
    <row r="64" spans="1:60" x14ac:dyDescent="0.2">
      <c r="A64" s="943"/>
      <c r="B64" s="943"/>
      <c r="C64" s="943"/>
      <c r="D64" s="943"/>
      <c r="E64" s="943"/>
      <c r="G64" s="943"/>
      <c r="AN64" s="943"/>
      <c r="AO64" s="943"/>
      <c r="AP64" s="943"/>
      <c r="AQ64" s="943"/>
      <c r="AR64" s="943"/>
      <c r="AS64" s="943"/>
      <c r="AT64" s="943"/>
      <c r="AU64" s="943"/>
      <c r="AV64" s="943"/>
      <c r="AW64" s="943"/>
      <c r="AX64" s="943"/>
      <c r="AY64" s="943"/>
      <c r="AZ64" s="943"/>
      <c r="BA64" s="943"/>
      <c r="BB64" s="943"/>
      <c r="BC64" s="943"/>
      <c r="BD64" s="943"/>
      <c r="BE64" s="943"/>
      <c r="BF64" s="943"/>
      <c r="BG64" s="943"/>
      <c r="BH64" s="943"/>
    </row>
    <row r="65" spans="1:60" x14ac:dyDescent="0.2">
      <c r="A65" s="943"/>
      <c r="B65" s="943"/>
      <c r="C65" s="943"/>
      <c r="D65" s="943"/>
      <c r="E65" s="943"/>
      <c r="G65" s="943"/>
      <c r="AN65" s="943"/>
      <c r="AO65" s="943"/>
      <c r="AP65" s="943"/>
      <c r="AQ65" s="943"/>
      <c r="AR65" s="943"/>
      <c r="AS65" s="943"/>
      <c r="AT65" s="943"/>
      <c r="AU65" s="943"/>
      <c r="AV65" s="943"/>
      <c r="AW65" s="943"/>
      <c r="AX65" s="943"/>
      <c r="AY65" s="943"/>
      <c r="AZ65" s="943"/>
      <c r="BA65" s="943"/>
      <c r="BB65" s="943"/>
      <c r="BC65" s="943"/>
      <c r="BD65" s="943"/>
      <c r="BE65" s="943"/>
      <c r="BF65" s="943"/>
      <c r="BG65" s="943"/>
      <c r="BH65" s="943"/>
    </row>
    <row r="66" spans="1:60" x14ac:dyDescent="0.2">
      <c r="A66" s="943"/>
      <c r="B66" s="943"/>
      <c r="C66" s="943"/>
      <c r="D66" s="943"/>
      <c r="E66" s="943"/>
      <c r="G66" s="943"/>
      <c r="AN66" s="943"/>
      <c r="AO66" s="943"/>
      <c r="AP66" s="943"/>
      <c r="AQ66" s="943"/>
      <c r="AR66" s="943"/>
      <c r="AS66" s="943"/>
      <c r="AT66" s="943"/>
      <c r="AU66" s="943"/>
      <c r="AV66" s="943"/>
      <c r="AW66" s="943"/>
      <c r="AX66" s="943"/>
      <c r="AY66" s="943"/>
      <c r="AZ66" s="943"/>
      <c r="BA66" s="943"/>
      <c r="BB66" s="943"/>
      <c r="BC66" s="943"/>
      <c r="BD66" s="943"/>
      <c r="BE66" s="943"/>
      <c r="BF66" s="943"/>
      <c r="BG66" s="943"/>
      <c r="BH66" s="943"/>
    </row>
    <row r="67" spans="1:60" x14ac:dyDescent="0.2">
      <c r="A67" s="943"/>
      <c r="B67" s="943"/>
      <c r="C67" s="943"/>
      <c r="D67" s="943"/>
      <c r="E67" s="943"/>
      <c r="G67" s="943"/>
      <c r="AN67" s="943"/>
      <c r="AO67" s="943"/>
      <c r="AP67" s="943"/>
      <c r="AQ67" s="943"/>
      <c r="AR67" s="943"/>
      <c r="AS67" s="943"/>
      <c r="AT67" s="943"/>
      <c r="AU67" s="943"/>
      <c r="AV67" s="943"/>
      <c r="AW67" s="943"/>
      <c r="AX67" s="943"/>
      <c r="AY67" s="943"/>
      <c r="AZ67" s="943"/>
      <c r="BA67" s="943"/>
      <c r="BB67" s="943"/>
      <c r="BC67" s="943"/>
      <c r="BD67" s="943"/>
      <c r="BE67" s="943"/>
      <c r="BF67" s="943"/>
      <c r="BG67" s="943"/>
      <c r="BH67" s="943"/>
    </row>
    <row r="68" spans="1:60" x14ac:dyDescent="0.2">
      <c r="A68" s="943"/>
      <c r="B68" s="943"/>
      <c r="C68" s="943"/>
      <c r="D68" s="943"/>
      <c r="E68" s="943"/>
      <c r="G68" s="943"/>
      <c r="AN68" s="943"/>
      <c r="AO68" s="943"/>
      <c r="AP68" s="943"/>
      <c r="AQ68" s="943"/>
      <c r="AR68" s="943"/>
      <c r="AS68" s="943"/>
      <c r="AT68" s="943"/>
      <c r="AU68" s="943"/>
      <c r="AV68" s="943"/>
      <c r="AW68" s="943"/>
      <c r="AX68" s="943"/>
      <c r="AY68" s="943"/>
      <c r="AZ68" s="943"/>
      <c r="BA68" s="943"/>
      <c r="BB68" s="943"/>
      <c r="BC68" s="943"/>
      <c r="BD68" s="943"/>
      <c r="BE68" s="943"/>
      <c r="BF68" s="943"/>
      <c r="BG68" s="943"/>
      <c r="BH68" s="943"/>
    </row>
    <row r="69" spans="1:60" x14ac:dyDescent="0.2">
      <c r="A69" s="943"/>
      <c r="B69" s="943"/>
      <c r="C69" s="943"/>
      <c r="D69" s="943"/>
      <c r="E69" s="943"/>
      <c r="G69" s="943"/>
      <c r="AN69" s="943"/>
      <c r="AO69" s="943"/>
      <c r="AP69" s="943"/>
      <c r="AQ69" s="943"/>
      <c r="AR69" s="943"/>
      <c r="AS69" s="943"/>
      <c r="AT69" s="943"/>
      <c r="AU69" s="943"/>
      <c r="AV69" s="943"/>
      <c r="AW69" s="943"/>
      <c r="AX69" s="943"/>
      <c r="AY69" s="943"/>
      <c r="AZ69" s="943"/>
      <c r="BA69" s="943"/>
      <c r="BB69" s="943"/>
      <c r="BC69" s="943"/>
      <c r="BD69" s="943"/>
      <c r="BE69" s="943"/>
      <c r="BF69" s="943"/>
      <c r="BG69" s="943"/>
      <c r="BH69" s="943"/>
    </row>
    <row r="70" spans="1:60" x14ac:dyDescent="0.2">
      <c r="A70" s="943"/>
      <c r="B70" s="943"/>
      <c r="C70" s="943"/>
      <c r="D70" s="943"/>
      <c r="E70" s="943"/>
      <c r="G70" s="943"/>
      <c r="AN70" s="943"/>
      <c r="AO70" s="943"/>
      <c r="AP70" s="943"/>
      <c r="AQ70" s="943"/>
      <c r="AR70" s="943"/>
      <c r="AS70" s="943"/>
      <c r="AT70" s="943"/>
      <c r="AU70" s="943"/>
      <c r="AV70" s="943"/>
      <c r="AW70" s="943"/>
      <c r="AX70" s="943"/>
      <c r="AY70" s="943"/>
      <c r="AZ70" s="943"/>
      <c r="BA70" s="943"/>
      <c r="BB70" s="943"/>
      <c r="BC70" s="943"/>
      <c r="BD70" s="943"/>
      <c r="BE70" s="943"/>
      <c r="BF70" s="943"/>
      <c r="BG70" s="943"/>
      <c r="BH70" s="943"/>
    </row>
    <row r="71" spans="1:60" x14ac:dyDescent="0.2">
      <c r="A71" s="943"/>
      <c r="B71" s="943"/>
      <c r="C71" s="943"/>
      <c r="D71" s="943"/>
      <c r="E71" s="943"/>
      <c r="G71" s="943"/>
      <c r="AN71" s="943"/>
      <c r="AO71" s="943"/>
      <c r="AP71" s="943"/>
      <c r="AQ71" s="943"/>
      <c r="AR71" s="943"/>
      <c r="AS71" s="943"/>
      <c r="AT71" s="943"/>
      <c r="AU71" s="943"/>
      <c r="AV71" s="943"/>
      <c r="AW71" s="943"/>
      <c r="AX71" s="943"/>
      <c r="AY71" s="943"/>
      <c r="AZ71" s="943"/>
      <c r="BA71" s="943"/>
      <c r="BB71" s="943"/>
      <c r="BC71" s="943"/>
      <c r="BD71" s="943"/>
      <c r="BE71" s="943"/>
      <c r="BF71" s="943"/>
      <c r="BG71" s="943"/>
      <c r="BH71" s="943"/>
    </row>
    <row r="72" spans="1:60" x14ac:dyDescent="0.2">
      <c r="A72" s="943"/>
      <c r="B72" s="943"/>
      <c r="C72" s="943"/>
      <c r="D72" s="943"/>
      <c r="E72" s="943"/>
      <c r="G72" s="943"/>
      <c r="AN72" s="943"/>
      <c r="AO72" s="943"/>
      <c r="AP72" s="943"/>
      <c r="AQ72" s="943"/>
      <c r="AR72" s="943"/>
      <c r="AS72" s="943"/>
      <c r="AT72" s="943"/>
      <c r="AU72" s="943"/>
      <c r="AV72" s="943"/>
      <c r="AW72" s="943"/>
      <c r="AX72" s="943"/>
      <c r="AY72" s="943"/>
      <c r="AZ72" s="943"/>
      <c r="BA72" s="943"/>
      <c r="BB72" s="943"/>
      <c r="BC72" s="943"/>
      <c r="BD72" s="943"/>
      <c r="BE72" s="943"/>
      <c r="BF72" s="943"/>
      <c r="BG72" s="943"/>
      <c r="BH72" s="943"/>
    </row>
    <row r="73" spans="1:60" x14ac:dyDescent="0.2">
      <c r="A73" s="943"/>
      <c r="B73" s="943"/>
      <c r="C73" s="943"/>
      <c r="D73" s="943"/>
      <c r="E73" s="943"/>
      <c r="G73" s="943"/>
      <c r="AN73" s="943"/>
      <c r="AO73" s="943"/>
      <c r="AP73" s="943"/>
      <c r="AQ73" s="943"/>
      <c r="AR73" s="943"/>
      <c r="AS73" s="943"/>
      <c r="AT73" s="943"/>
      <c r="AU73" s="943"/>
      <c r="AV73" s="943"/>
      <c r="AW73" s="943"/>
      <c r="AX73" s="943"/>
      <c r="AY73" s="943"/>
      <c r="AZ73" s="943"/>
      <c r="BA73" s="943"/>
      <c r="BB73" s="943"/>
      <c r="BC73" s="943"/>
      <c r="BD73" s="943"/>
      <c r="BE73" s="943"/>
      <c r="BF73" s="943"/>
      <c r="BG73" s="943"/>
      <c r="BH73" s="943"/>
    </row>
  </sheetData>
  <customSheetViews>
    <customSheetView guid="{E0C60316-4586-4AAF-92CB-FA82BB1EB755}">
      <selection activeCell="D17" sqref="D17"/>
      <pageMargins left="0" right="0" top="0" bottom="0" header="0" footer="0"/>
      <printOptions horizontalCentered="1"/>
      <pageSetup scale="86" firstPageNumber="140" fitToHeight="0" orientation="portrait" useFirstPageNumber="1" r:id="rId1"/>
      <headerFooter alignWithMargins="0"/>
    </customSheetView>
    <customSheetView guid="{A8748736-0722-49EB-85B6-C9B52DDCFE0E}">
      <selection activeCell="G52" sqref="A2:G52"/>
      <pageMargins left="0.75" right="0.75" top="1" bottom="1" header="0.5" footer="0.5"/>
      <printOptions horizontalCentered="1"/>
      <pageSetup scale="86" firstPageNumber="140" fitToHeight="0" orientation="portrait" useFirstPageNumber="1" r:id="rId2"/>
      <headerFooter alignWithMargins="0"/>
    </customSheetView>
  </customSheetViews>
  <mergeCells count="1">
    <mergeCell ref="A26:G28"/>
  </mergeCells>
  <phoneticPr fontId="0" type="noConversion"/>
  <printOptions horizontalCentered="1"/>
  <pageMargins left="0.75" right="0.75" top="1" bottom="1" header="0.5" footer="0.5"/>
  <pageSetup scale="86" firstPageNumber="140" fitToHeight="0" orientation="portrait" useFirstPageNumber="1" r:id="rId3"/>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ransitionEvaluation="1" codeName="Sheet34">
    <tabColor theme="7" tint="0.39997558519241921"/>
  </sheetPr>
  <dimension ref="A1:BS33"/>
  <sheetViews>
    <sheetView workbookViewId="0">
      <selection activeCell="C5" sqref="C5"/>
    </sheetView>
  </sheetViews>
  <sheetFormatPr defaultColWidth="8.42578125" defaultRowHeight="14.25" x14ac:dyDescent="0.2"/>
  <cols>
    <col min="1" max="2" width="2.42578125" style="944" customWidth="1"/>
    <col min="3" max="3" width="25.5703125" style="944" customWidth="1"/>
    <col min="4" max="4" width="1.5703125" style="944" customWidth="1"/>
    <col min="5" max="5" width="12.5703125" style="944" customWidth="1"/>
    <col min="6" max="6" width="4.140625" style="944" customWidth="1"/>
    <col min="7" max="7" width="1.5703125" style="944" customWidth="1"/>
    <col min="8" max="8" width="14.5703125" style="944" customWidth="1"/>
    <col min="9" max="9" width="4.140625" style="944" customWidth="1"/>
    <col min="10" max="10" width="1.5703125" style="944" customWidth="1"/>
    <col min="11" max="11" width="17.28515625" style="944" customWidth="1"/>
    <col min="12" max="12" width="26.42578125" style="944" customWidth="1"/>
    <col min="13" max="13" width="20.42578125" style="944" customWidth="1"/>
    <col min="14" max="14" width="3" style="944" customWidth="1"/>
    <col min="15" max="15" width="13.28515625" style="944" customWidth="1"/>
    <col min="16" max="16" width="5" style="943" customWidth="1"/>
    <col min="17" max="17" width="7.140625" style="944" customWidth="1"/>
    <col min="18" max="18" width="3.28515625" style="944" customWidth="1"/>
    <col min="19" max="50" width="8.42578125" style="943"/>
    <col min="51" max="16384" width="8.42578125" style="944"/>
  </cols>
  <sheetData>
    <row r="1" spans="1:71" ht="15" x14ac:dyDescent="0.25">
      <c r="A1" s="941" t="s">
        <v>0</v>
      </c>
      <c r="B1" s="942"/>
      <c r="C1" s="942"/>
      <c r="D1" s="942"/>
      <c r="E1" s="942"/>
      <c r="F1" s="942"/>
      <c r="G1" s="942"/>
      <c r="H1" s="942"/>
      <c r="I1" s="942"/>
      <c r="J1" s="942"/>
      <c r="K1" s="942"/>
      <c r="L1" s="943"/>
      <c r="M1" s="943"/>
      <c r="N1" s="943"/>
      <c r="O1" s="943"/>
      <c r="Q1" s="943"/>
      <c r="R1" s="943"/>
      <c r="AY1" s="943"/>
      <c r="AZ1" s="943"/>
      <c r="BA1" s="943"/>
      <c r="BB1" s="943"/>
      <c r="BC1" s="943"/>
      <c r="BD1" s="943"/>
      <c r="BE1" s="943"/>
      <c r="BF1" s="943"/>
      <c r="BG1" s="943"/>
      <c r="BH1" s="943"/>
      <c r="BI1" s="943"/>
      <c r="BJ1" s="943"/>
      <c r="BK1" s="943"/>
      <c r="BL1" s="943"/>
      <c r="BM1" s="943"/>
      <c r="BN1" s="943"/>
      <c r="BO1" s="943"/>
      <c r="BP1" s="943"/>
      <c r="BQ1" s="943"/>
      <c r="BR1" s="943"/>
      <c r="BS1" s="943"/>
    </row>
    <row r="2" spans="1:71" ht="15" x14ac:dyDescent="0.25">
      <c r="A2" s="941" t="s">
        <v>802</v>
      </c>
      <c r="B2" s="942"/>
      <c r="C2" s="942"/>
      <c r="D2" s="942"/>
      <c r="E2" s="942"/>
      <c r="F2" s="942"/>
      <c r="G2" s="942"/>
      <c r="H2" s="942"/>
      <c r="I2" s="942"/>
      <c r="J2" s="942"/>
      <c r="K2" s="942"/>
      <c r="L2" s="943"/>
      <c r="M2" s="943"/>
      <c r="N2" s="943"/>
      <c r="O2" s="943"/>
      <c r="Q2" s="943"/>
      <c r="R2" s="943"/>
      <c r="AY2" s="943"/>
      <c r="AZ2" s="943"/>
      <c r="BA2" s="943"/>
      <c r="BB2" s="943"/>
      <c r="BC2" s="943"/>
      <c r="BD2" s="943"/>
      <c r="BE2" s="943"/>
      <c r="BF2" s="943"/>
      <c r="BG2" s="943"/>
      <c r="BH2" s="943"/>
      <c r="BI2" s="943"/>
      <c r="BJ2" s="943"/>
      <c r="BK2" s="943"/>
      <c r="BL2" s="943"/>
      <c r="BM2" s="943"/>
      <c r="BN2" s="943"/>
      <c r="BO2" s="943"/>
      <c r="BP2" s="943"/>
      <c r="BQ2" s="943"/>
      <c r="BR2" s="943"/>
      <c r="BS2" s="943"/>
    </row>
    <row r="3" spans="1:71" ht="15" x14ac:dyDescent="0.25">
      <c r="A3" s="941" t="s">
        <v>989</v>
      </c>
      <c r="B3" s="942"/>
      <c r="C3" s="942"/>
      <c r="D3" s="942"/>
      <c r="E3" s="942"/>
      <c r="F3" s="942"/>
      <c r="G3" s="942"/>
      <c r="H3" s="942"/>
      <c r="I3" s="942"/>
      <c r="J3" s="942"/>
      <c r="K3" s="942"/>
      <c r="L3" s="943"/>
      <c r="M3" s="943"/>
      <c r="N3" s="943"/>
      <c r="O3" s="943"/>
      <c r="Q3" s="943"/>
      <c r="R3" s="943"/>
      <c r="AY3" s="943"/>
      <c r="AZ3" s="943"/>
      <c r="BA3" s="943"/>
      <c r="BB3" s="943"/>
      <c r="BC3" s="943"/>
      <c r="BD3" s="943"/>
      <c r="BE3" s="943"/>
      <c r="BF3" s="943"/>
      <c r="BG3" s="943"/>
      <c r="BH3" s="943"/>
      <c r="BI3" s="943"/>
      <c r="BJ3" s="943"/>
      <c r="BK3" s="943"/>
      <c r="BL3" s="943"/>
      <c r="BM3" s="943"/>
      <c r="BN3" s="943"/>
      <c r="BO3" s="943"/>
      <c r="BP3" s="943"/>
      <c r="BQ3" s="943"/>
      <c r="BR3" s="943"/>
      <c r="BS3" s="943"/>
    </row>
    <row r="4" spans="1:71" ht="15" x14ac:dyDescent="0.25">
      <c r="A4" s="941" t="str">
        <f>'GWNetPos 68 Exh 1'!A3</f>
        <v>June 30, 2025</v>
      </c>
      <c r="B4" s="942"/>
      <c r="C4" s="942"/>
      <c r="D4" s="942"/>
      <c r="E4" s="942"/>
      <c r="F4" s="942"/>
      <c r="G4" s="942"/>
      <c r="H4" s="942"/>
      <c r="I4" s="942"/>
      <c r="J4" s="942"/>
      <c r="K4" s="942"/>
      <c r="L4" s="943"/>
      <c r="M4" s="943"/>
      <c r="N4" s="943"/>
      <c r="O4" s="943"/>
      <c r="Q4" s="943"/>
      <c r="R4" s="943"/>
      <c r="AY4" s="943"/>
      <c r="AZ4" s="943"/>
      <c r="BA4" s="943"/>
      <c r="BB4" s="943"/>
      <c r="BC4" s="943"/>
      <c r="BD4" s="943"/>
      <c r="BE4" s="943"/>
      <c r="BF4" s="943"/>
      <c r="BG4" s="943"/>
      <c r="BH4" s="943"/>
      <c r="BI4" s="943"/>
      <c r="BJ4" s="943"/>
      <c r="BK4" s="943"/>
      <c r="BL4" s="943"/>
      <c r="BM4" s="943"/>
      <c r="BN4" s="943"/>
      <c r="BO4" s="943"/>
      <c r="BP4" s="943"/>
      <c r="BQ4" s="943"/>
      <c r="BR4" s="943"/>
      <c r="BS4" s="943"/>
    </row>
    <row r="5" spans="1:71" x14ac:dyDescent="0.2">
      <c r="L5" s="943"/>
      <c r="M5" s="943"/>
      <c r="N5" s="943"/>
      <c r="O5" s="943"/>
      <c r="Q5" s="943"/>
      <c r="R5" s="943"/>
      <c r="AY5" s="943"/>
      <c r="AZ5" s="943"/>
      <c r="BA5" s="943"/>
      <c r="BB5" s="943"/>
      <c r="BC5" s="943"/>
      <c r="BD5" s="943"/>
      <c r="BE5" s="943"/>
      <c r="BF5" s="943"/>
      <c r="BG5" s="943"/>
      <c r="BH5" s="943"/>
      <c r="BI5" s="943"/>
      <c r="BJ5" s="943"/>
      <c r="BK5" s="943"/>
      <c r="BL5" s="943"/>
      <c r="BM5" s="943"/>
      <c r="BN5" s="943"/>
      <c r="BO5" s="943"/>
      <c r="BP5" s="943"/>
      <c r="BQ5" s="943"/>
      <c r="BR5" s="943"/>
      <c r="BS5" s="943"/>
    </row>
    <row r="6" spans="1:71" x14ac:dyDescent="0.2">
      <c r="K6" s="945"/>
      <c r="L6" s="943"/>
      <c r="M6" s="943"/>
      <c r="N6" s="943"/>
      <c r="O6" s="943"/>
      <c r="Q6" s="943"/>
      <c r="R6" s="943"/>
      <c r="AY6" s="943"/>
      <c r="AZ6" s="943"/>
      <c r="BA6" s="943"/>
      <c r="BB6" s="943"/>
      <c r="BC6" s="943"/>
      <c r="BD6" s="943"/>
      <c r="BE6" s="943"/>
      <c r="BF6" s="943"/>
      <c r="BG6" s="943"/>
      <c r="BH6" s="943"/>
      <c r="BI6" s="943"/>
      <c r="BJ6" s="943"/>
      <c r="BK6" s="943"/>
      <c r="BL6" s="943"/>
      <c r="BM6" s="943"/>
      <c r="BN6" s="943"/>
      <c r="BO6" s="943"/>
      <c r="BP6" s="943"/>
      <c r="BQ6" s="943"/>
      <c r="BR6" s="943"/>
      <c r="BS6" s="943"/>
    </row>
    <row r="7" spans="1:71" x14ac:dyDescent="0.2">
      <c r="K7" s="945"/>
      <c r="L7" s="943"/>
      <c r="M7" s="943"/>
      <c r="N7" s="943"/>
      <c r="O7" s="943"/>
      <c r="Q7" s="943"/>
      <c r="R7" s="943"/>
      <c r="AY7" s="943"/>
      <c r="AZ7" s="943"/>
      <c r="BA7" s="943"/>
      <c r="BB7" s="943"/>
      <c r="BC7" s="943"/>
      <c r="BD7" s="943"/>
      <c r="BE7" s="943"/>
      <c r="BF7" s="943"/>
      <c r="BG7" s="943"/>
      <c r="BH7" s="943"/>
      <c r="BI7" s="943"/>
      <c r="BJ7" s="943"/>
      <c r="BK7" s="943"/>
      <c r="BL7" s="943"/>
      <c r="BM7" s="943"/>
      <c r="BN7" s="943"/>
      <c r="BO7" s="943"/>
      <c r="BP7" s="943"/>
      <c r="BQ7" s="943"/>
      <c r="BR7" s="943"/>
      <c r="BS7" s="943"/>
    </row>
    <row r="8" spans="1:71" ht="15" x14ac:dyDescent="0.25">
      <c r="A8" s="946" t="s">
        <v>986</v>
      </c>
      <c r="B8" s="946"/>
      <c r="C8" s="946"/>
      <c r="L8" s="943"/>
      <c r="M8" s="943"/>
      <c r="N8" s="943"/>
      <c r="O8" s="943"/>
      <c r="Q8" s="943"/>
      <c r="R8" s="943"/>
      <c r="AY8" s="943"/>
      <c r="AZ8" s="943"/>
      <c r="BA8" s="943"/>
      <c r="BB8" s="943"/>
      <c r="BC8" s="943"/>
      <c r="BD8" s="943"/>
      <c r="BE8" s="943"/>
      <c r="BF8" s="943"/>
      <c r="BG8" s="943"/>
      <c r="BH8" s="943"/>
      <c r="BI8" s="943"/>
      <c r="BJ8" s="943"/>
      <c r="BK8" s="943"/>
      <c r="BL8" s="943"/>
      <c r="BM8" s="943"/>
      <c r="BN8" s="943"/>
      <c r="BO8" s="943"/>
      <c r="BP8" s="943"/>
      <c r="BQ8" s="943"/>
      <c r="BR8" s="943"/>
      <c r="BS8" s="943"/>
    </row>
    <row r="9" spans="1:71" ht="15" thickBot="1" x14ac:dyDescent="0.25">
      <c r="A9" s="947" t="s">
        <v>112</v>
      </c>
      <c r="B9" s="947"/>
      <c r="C9" s="947"/>
      <c r="D9" s="947"/>
      <c r="E9" s="947"/>
      <c r="F9" s="947"/>
      <c r="G9" s="947"/>
      <c r="H9" s="947"/>
      <c r="I9" s="947"/>
      <c r="J9" s="947"/>
      <c r="K9" s="947"/>
      <c r="L9" s="943"/>
      <c r="M9" s="943"/>
      <c r="N9" s="943"/>
      <c r="O9" s="943"/>
      <c r="Q9" s="943"/>
      <c r="R9" s="943"/>
      <c r="AY9" s="943"/>
      <c r="AZ9" s="943"/>
      <c r="BA9" s="943"/>
      <c r="BB9" s="943"/>
      <c r="BC9" s="943"/>
      <c r="BD9" s="943"/>
      <c r="BE9" s="943"/>
      <c r="BF9" s="943"/>
      <c r="BG9" s="943"/>
      <c r="BH9" s="943"/>
      <c r="BI9" s="943"/>
      <c r="BJ9" s="943"/>
      <c r="BK9" s="943"/>
      <c r="BL9" s="943"/>
      <c r="BM9" s="943"/>
      <c r="BN9" s="943"/>
      <c r="BO9" s="943"/>
      <c r="BP9" s="943"/>
      <c r="BQ9" s="943"/>
      <c r="BR9" s="943"/>
      <c r="BS9" s="943"/>
    </row>
    <row r="10" spans="1:71" x14ac:dyDescent="0.2">
      <c r="A10" s="944" t="s">
        <v>827</v>
      </c>
      <c r="L10" s="943"/>
      <c r="M10" s="943"/>
      <c r="N10" s="943"/>
      <c r="O10" s="943"/>
      <c r="Q10" s="943"/>
      <c r="R10" s="943"/>
      <c r="AY10" s="943"/>
      <c r="AZ10" s="943"/>
      <c r="BA10" s="943"/>
      <c r="BB10" s="943"/>
      <c r="BC10" s="943"/>
      <c r="BD10" s="943"/>
      <c r="BE10" s="943"/>
      <c r="BF10" s="943"/>
      <c r="BG10" s="943"/>
      <c r="BH10" s="943"/>
      <c r="BI10" s="943"/>
      <c r="BJ10" s="943"/>
      <c r="BK10" s="943"/>
      <c r="BL10" s="943"/>
      <c r="BM10" s="943"/>
      <c r="BN10" s="943"/>
      <c r="BO10" s="943"/>
      <c r="BP10" s="943"/>
      <c r="BQ10" s="943"/>
      <c r="BR10" s="943"/>
      <c r="BS10" s="943"/>
    </row>
    <row r="11" spans="1:71" x14ac:dyDescent="0.2">
      <c r="A11" s="944" t="s">
        <v>112</v>
      </c>
      <c r="C11" s="944" t="s">
        <v>828</v>
      </c>
      <c r="E11" s="944" t="s">
        <v>112</v>
      </c>
      <c r="I11" s="944" t="s">
        <v>112</v>
      </c>
      <c r="K11" s="948">
        <v>1</v>
      </c>
      <c r="L11" s="943"/>
      <c r="M11" s="943"/>
      <c r="N11" s="943"/>
      <c r="O11" s="943"/>
      <c r="Q11" s="943"/>
      <c r="R11" s="943"/>
      <c r="AY11" s="943"/>
      <c r="AZ11" s="943"/>
      <c r="BA11" s="943"/>
      <c r="BB11" s="943"/>
      <c r="BC11" s="943"/>
      <c r="BD11" s="943"/>
      <c r="BE11" s="943"/>
      <c r="BF11" s="943"/>
      <c r="BG11" s="943"/>
      <c r="BH11" s="943"/>
      <c r="BI11" s="943"/>
      <c r="BJ11" s="943"/>
      <c r="BK11" s="943"/>
      <c r="BL11" s="943"/>
      <c r="BM11" s="943"/>
      <c r="BN11" s="943"/>
      <c r="BO11" s="943"/>
      <c r="BP11" s="943"/>
      <c r="BQ11" s="943"/>
      <c r="BR11" s="943"/>
      <c r="BS11" s="943"/>
    </row>
    <row r="12" spans="1:71" x14ac:dyDescent="0.2">
      <c r="C12" s="949" t="s">
        <v>829</v>
      </c>
      <c r="K12" s="950">
        <f>4227108581.52+71989498</f>
        <v>4299098079.5200005</v>
      </c>
      <c r="L12" s="943"/>
      <c r="M12" s="943"/>
      <c r="N12" s="943"/>
      <c r="O12" s="943"/>
      <c r="Q12" s="943"/>
      <c r="R12" s="943"/>
      <c r="AY12" s="943"/>
      <c r="AZ12" s="943"/>
      <c r="BA12" s="943"/>
      <c r="BB12" s="943"/>
      <c r="BC12" s="943"/>
      <c r="BD12" s="943"/>
      <c r="BE12" s="943"/>
      <c r="BF12" s="943"/>
      <c r="BG12" s="943"/>
      <c r="BH12" s="943"/>
      <c r="BI12" s="943"/>
      <c r="BJ12" s="943"/>
      <c r="BK12" s="943"/>
      <c r="BL12" s="943"/>
      <c r="BM12" s="943"/>
      <c r="BN12" s="943"/>
      <c r="BO12" s="943"/>
      <c r="BP12" s="943"/>
      <c r="BQ12" s="943"/>
      <c r="BR12" s="943"/>
      <c r="BS12" s="943"/>
    </row>
    <row r="13" spans="1:71" x14ac:dyDescent="0.2">
      <c r="C13" s="944" t="s">
        <v>830</v>
      </c>
      <c r="K13" s="945">
        <v>1447738458.28</v>
      </c>
      <c r="L13" s="943"/>
      <c r="M13" s="943"/>
      <c r="N13" s="943"/>
      <c r="O13" s="943"/>
      <c r="Q13" s="943"/>
      <c r="R13" s="943"/>
      <c r="AY13" s="943"/>
      <c r="AZ13" s="943"/>
      <c r="BA13" s="943"/>
      <c r="BB13" s="943"/>
      <c r="BC13" s="943"/>
      <c r="BD13" s="943"/>
      <c r="BE13" s="943"/>
      <c r="BF13" s="943"/>
      <c r="BG13" s="943"/>
      <c r="BH13" s="943"/>
      <c r="BI13" s="943"/>
      <c r="BJ13" s="943"/>
      <c r="BK13" s="943"/>
      <c r="BL13" s="943"/>
      <c r="BM13" s="943"/>
      <c r="BN13" s="943"/>
      <c r="BO13" s="943"/>
      <c r="BP13" s="943"/>
      <c r="BQ13" s="943"/>
      <c r="BR13" s="943"/>
      <c r="BS13" s="943"/>
    </row>
    <row r="14" spans="1:71" x14ac:dyDescent="0.2">
      <c r="C14" s="944" t="s">
        <v>831</v>
      </c>
      <c r="K14" s="951">
        <v>735128064.93999994</v>
      </c>
      <c r="L14" s="952"/>
      <c r="M14" s="943"/>
      <c r="N14" s="943"/>
      <c r="O14" s="943"/>
      <c r="Q14" s="943"/>
      <c r="R14" s="943"/>
      <c r="AY14" s="943"/>
      <c r="AZ14" s="943"/>
      <c r="BA14" s="943"/>
      <c r="BB14" s="943"/>
      <c r="BC14" s="943"/>
      <c r="BD14" s="943"/>
      <c r="BE14" s="943"/>
      <c r="BF14" s="943"/>
      <c r="BG14" s="943"/>
      <c r="BH14" s="943"/>
      <c r="BI14" s="943"/>
      <c r="BJ14" s="943"/>
      <c r="BK14" s="943"/>
      <c r="BL14" s="943"/>
      <c r="BM14" s="943"/>
      <c r="BN14" s="943"/>
      <c r="BO14" s="943"/>
      <c r="BP14" s="943"/>
      <c r="BQ14" s="943"/>
      <c r="BR14" s="943"/>
      <c r="BS14" s="943"/>
    </row>
    <row r="15" spans="1:71" x14ac:dyDescent="0.2">
      <c r="A15" s="944" t="s">
        <v>832</v>
      </c>
      <c r="E15" s="945" t="s">
        <v>112</v>
      </c>
      <c r="K15" s="950">
        <f>SUM(K12:K14)</f>
        <v>6481964602.7399998</v>
      </c>
      <c r="L15" s="952"/>
      <c r="M15" s="943"/>
      <c r="N15" s="943"/>
      <c r="O15" s="943"/>
      <c r="Q15" s="943"/>
      <c r="R15" s="943"/>
      <c r="AY15" s="943"/>
      <c r="AZ15" s="943"/>
      <c r="BA15" s="943"/>
      <c r="BB15" s="943"/>
      <c r="BC15" s="943"/>
      <c r="BD15" s="943"/>
      <c r="BE15" s="943"/>
      <c r="BF15" s="943"/>
      <c r="BG15" s="943"/>
      <c r="BH15" s="943"/>
      <c r="BI15" s="943"/>
      <c r="BJ15" s="943"/>
      <c r="BK15" s="943"/>
      <c r="BL15" s="943"/>
      <c r="BM15" s="943"/>
      <c r="BN15" s="943"/>
      <c r="BO15" s="943"/>
      <c r="BP15" s="943"/>
      <c r="BQ15" s="943"/>
      <c r="BR15" s="943"/>
      <c r="BS15" s="943"/>
    </row>
    <row r="16" spans="1:71" x14ac:dyDescent="0.2">
      <c r="A16" s="944" t="s">
        <v>833</v>
      </c>
      <c r="E16" s="944" t="s">
        <v>112</v>
      </c>
      <c r="K16" s="944">
        <v>0.86</v>
      </c>
      <c r="L16" s="952"/>
    </row>
    <row r="17" spans="1:50" x14ac:dyDescent="0.2">
      <c r="A17" s="944" t="s">
        <v>987</v>
      </c>
      <c r="E17" s="945"/>
      <c r="K17" s="950">
        <f>K15/100*K16</f>
        <v>55744895.583563991</v>
      </c>
      <c r="L17" s="952"/>
    </row>
    <row r="18" spans="1:50" x14ac:dyDescent="0.2">
      <c r="L18" s="953"/>
    </row>
    <row r="19" spans="1:50" x14ac:dyDescent="0.2">
      <c r="L19" s="953"/>
    </row>
    <row r="20" spans="1:50" ht="26.25" customHeight="1" x14ac:dyDescent="0.2">
      <c r="A20" s="1216" t="s">
        <v>834</v>
      </c>
      <c r="B20" s="1217"/>
      <c r="C20" s="1217"/>
      <c r="D20" s="1217"/>
      <c r="E20" s="1217"/>
      <c r="F20" s="1217"/>
      <c r="G20" s="1217"/>
      <c r="H20" s="1217"/>
      <c r="I20" s="1217"/>
      <c r="J20" s="1217"/>
      <c r="K20" s="1217"/>
      <c r="L20" s="953"/>
    </row>
    <row r="21" spans="1:50" x14ac:dyDescent="0.2">
      <c r="A21" s="944" t="s">
        <v>835</v>
      </c>
      <c r="K21" s="954">
        <v>10980000</v>
      </c>
    </row>
    <row r="23" spans="1:50" s="545" customFormat="1" ht="12.75" x14ac:dyDescent="0.2">
      <c r="A23" s="545" t="s">
        <v>1189</v>
      </c>
      <c r="P23" s="420"/>
      <c r="S23" s="420"/>
      <c r="T23" s="420"/>
      <c r="U23" s="420"/>
      <c r="V23" s="420"/>
      <c r="W23" s="420"/>
      <c r="X23" s="420"/>
      <c r="Y23" s="420"/>
      <c r="Z23" s="420"/>
      <c r="AA23" s="420"/>
      <c r="AB23" s="420"/>
      <c r="AC23" s="420"/>
      <c r="AD23" s="420"/>
      <c r="AE23" s="420"/>
      <c r="AF23" s="420"/>
      <c r="AG23" s="420"/>
      <c r="AH23" s="420"/>
      <c r="AI23" s="420"/>
      <c r="AJ23" s="420"/>
      <c r="AK23" s="420"/>
      <c r="AL23" s="420"/>
      <c r="AM23" s="420"/>
      <c r="AN23" s="420"/>
      <c r="AO23" s="420"/>
      <c r="AP23" s="420"/>
      <c r="AQ23" s="420"/>
      <c r="AR23" s="420"/>
      <c r="AS23" s="420"/>
      <c r="AT23" s="420"/>
      <c r="AU23" s="420"/>
      <c r="AV23" s="420"/>
      <c r="AW23" s="420"/>
      <c r="AX23" s="420"/>
    </row>
    <row r="24" spans="1:50" s="545" customFormat="1" ht="12.75" x14ac:dyDescent="0.2">
      <c r="A24" s="545" t="s">
        <v>1192</v>
      </c>
      <c r="P24" s="420"/>
      <c r="S24" s="420"/>
      <c r="T24" s="420"/>
      <c r="U24" s="420"/>
      <c r="V24" s="420"/>
      <c r="W24" s="420"/>
      <c r="X24" s="420"/>
      <c r="Y24" s="420"/>
      <c r="Z24" s="420"/>
      <c r="AA24" s="420"/>
      <c r="AB24" s="420"/>
      <c r="AC24" s="420"/>
      <c r="AD24" s="420"/>
      <c r="AE24" s="420"/>
      <c r="AF24" s="420"/>
      <c r="AG24" s="420"/>
      <c r="AH24" s="420"/>
      <c r="AI24" s="420"/>
      <c r="AJ24" s="420"/>
      <c r="AK24" s="420"/>
      <c r="AL24" s="420"/>
      <c r="AM24" s="420"/>
      <c r="AN24" s="420"/>
      <c r="AO24" s="420"/>
      <c r="AP24" s="420"/>
      <c r="AQ24" s="420"/>
      <c r="AR24" s="420"/>
      <c r="AS24" s="420"/>
      <c r="AT24" s="420"/>
      <c r="AU24" s="420"/>
      <c r="AV24" s="420"/>
      <c r="AW24" s="420"/>
      <c r="AX24" s="420"/>
    </row>
    <row r="25" spans="1:50" s="545" customFormat="1" ht="12.75" x14ac:dyDescent="0.2">
      <c r="A25" s="545" t="s">
        <v>1193</v>
      </c>
      <c r="P25" s="420"/>
      <c r="S25" s="420"/>
      <c r="T25" s="420"/>
      <c r="U25" s="420"/>
      <c r="V25" s="420"/>
      <c r="W25" s="420"/>
      <c r="X25" s="420"/>
      <c r="Y25" s="420"/>
      <c r="Z25" s="420"/>
      <c r="AA25" s="420"/>
      <c r="AB25" s="420"/>
      <c r="AC25" s="420"/>
      <c r="AD25" s="420"/>
      <c r="AE25" s="420"/>
      <c r="AF25" s="420"/>
      <c r="AG25" s="420"/>
      <c r="AH25" s="420"/>
      <c r="AI25" s="420"/>
      <c r="AJ25" s="420"/>
      <c r="AK25" s="420"/>
      <c r="AL25" s="420"/>
      <c r="AM25" s="420"/>
      <c r="AN25" s="420"/>
      <c r="AO25" s="420"/>
      <c r="AP25" s="420"/>
      <c r="AQ25" s="420"/>
      <c r="AR25" s="420"/>
      <c r="AS25" s="420"/>
      <c r="AT25" s="420"/>
      <c r="AU25" s="420"/>
      <c r="AV25" s="420"/>
      <c r="AW25" s="420"/>
      <c r="AX25" s="420"/>
    </row>
    <row r="26" spans="1:50" s="545" customFormat="1" ht="12.75" x14ac:dyDescent="0.2">
      <c r="A26" s="545" t="s">
        <v>1190</v>
      </c>
      <c r="P26" s="420"/>
      <c r="S26" s="420"/>
      <c r="T26" s="420"/>
      <c r="U26" s="420"/>
      <c r="V26" s="420"/>
      <c r="W26" s="420"/>
      <c r="X26" s="420"/>
      <c r="Y26" s="420"/>
      <c r="Z26" s="420"/>
      <c r="AA26" s="420"/>
      <c r="AB26" s="420"/>
      <c r="AC26" s="420"/>
      <c r="AD26" s="420"/>
      <c r="AE26" s="420"/>
      <c r="AF26" s="420"/>
      <c r="AG26" s="420"/>
      <c r="AH26" s="420"/>
      <c r="AI26" s="420"/>
      <c r="AJ26" s="420"/>
      <c r="AK26" s="420"/>
      <c r="AL26" s="420"/>
      <c r="AM26" s="420"/>
      <c r="AN26" s="420"/>
      <c r="AO26" s="420"/>
      <c r="AP26" s="420"/>
      <c r="AQ26" s="420"/>
      <c r="AR26" s="420"/>
      <c r="AS26" s="420"/>
      <c r="AT26" s="420"/>
      <c r="AU26" s="420"/>
      <c r="AV26" s="420"/>
      <c r="AW26" s="420"/>
      <c r="AX26" s="420"/>
    </row>
    <row r="29" spans="1:50" ht="15" thickBot="1" x14ac:dyDescent="0.25"/>
    <row r="30" spans="1:50" ht="15" thickTop="1" x14ac:dyDescent="0.2">
      <c r="A30" s="1208" t="s">
        <v>1191</v>
      </c>
      <c r="B30" s="1209"/>
      <c r="C30" s="1209"/>
      <c r="D30" s="1209"/>
      <c r="E30" s="1209"/>
      <c r="F30" s="1209"/>
      <c r="G30" s="1209"/>
      <c r="H30" s="1209"/>
      <c r="I30" s="1209"/>
      <c r="J30" s="1209"/>
      <c r="K30" s="1210"/>
    </row>
    <row r="31" spans="1:50" x14ac:dyDescent="0.2">
      <c r="A31" s="1211"/>
      <c r="B31" s="1203"/>
      <c r="C31" s="1203"/>
      <c r="D31" s="1203"/>
      <c r="E31" s="1203"/>
      <c r="F31" s="1203"/>
      <c r="G31" s="1203"/>
      <c r="H31" s="1203"/>
      <c r="I31" s="1203"/>
      <c r="J31" s="1203"/>
      <c r="K31" s="1212"/>
    </row>
    <row r="32" spans="1:50" ht="40.5" customHeight="1" thickBot="1" x14ac:dyDescent="0.25">
      <c r="A32" s="1213"/>
      <c r="B32" s="1214"/>
      <c r="C32" s="1214"/>
      <c r="D32" s="1214"/>
      <c r="E32" s="1214"/>
      <c r="F32" s="1214"/>
      <c r="G32" s="1214"/>
      <c r="H32" s="1214"/>
      <c r="I32" s="1214"/>
      <c r="J32" s="1214"/>
      <c r="K32" s="1215"/>
    </row>
    <row r="33" ht="15" thickTop="1" x14ac:dyDescent="0.2"/>
  </sheetData>
  <customSheetViews>
    <customSheetView guid="{E0C60316-4586-4AAF-92CB-FA82BB1EB755}">
      <selection activeCell="F26" sqref="F26"/>
      <colBreaks count="1" manualBreakCount="1">
        <brk id="12" max="1048575" man="1"/>
      </colBreaks>
      <pageMargins left="0" right="0" top="0" bottom="0" header="0" footer="0"/>
      <printOptions horizontalCentered="1"/>
      <pageSetup scale="86" firstPageNumber="139" fitToHeight="0" orientation="portrait" useFirstPageNumber="1" r:id="rId1"/>
      <headerFooter alignWithMargins="0"/>
    </customSheetView>
    <customSheetView guid="{A8748736-0722-49EB-85B6-C9B52DDCFE0E}">
      <selection activeCell="G52" sqref="A2:K52"/>
      <colBreaks count="1" manualBreakCount="1">
        <brk id="12" max="1048575" man="1"/>
      </colBreaks>
      <pageMargins left="0.75" right="0.75" top="1" bottom="1" header="0.5" footer="0.5"/>
      <printOptions horizontalCentered="1"/>
      <pageSetup scale="86" firstPageNumber="139" fitToHeight="0" orientation="portrait" useFirstPageNumber="1" r:id="rId2"/>
      <headerFooter alignWithMargins="0"/>
    </customSheetView>
  </customSheetViews>
  <mergeCells count="2">
    <mergeCell ref="A30:K32"/>
    <mergeCell ref="A20:K20"/>
  </mergeCells>
  <phoneticPr fontId="0" type="noConversion"/>
  <printOptions horizontalCentered="1"/>
  <pageMargins left="0.75" right="0.75" top="1" bottom="1" header="0.5" footer="0.5"/>
  <pageSetup scale="86" firstPageNumber="139" fitToHeight="0" orientation="portrait" useFirstPageNumber="1" r:id="rId3"/>
  <headerFooter alignWithMargins="0"/>
  <colBreaks count="1" manualBreakCount="1">
    <brk id="11"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46"/>
  <sheetViews>
    <sheetView workbookViewId="0">
      <selection sqref="A1:E1"/>
    </sheetView>
  </sheetViews>
  <sheetFormatPr defaultColWidth="9.140625" defaultRowHeight="12.75" x14ac:dyDescent="0.2"/>
  <cols>
    <col min="1" max="1" width="29.42578125" style="63" customWidth="1"/>
    <col min="2" max="2" width="13.42578125" style="63" customWidth="1"/>
    <col min="3" max="3" width="18" style="63" customWidth="1"/>
    <col min="4" max="4" width="14.5703125" style="63" customWidth="1"/>
    <col min="5" max="5" width="15.7109375" style="63" customWidth="1"/>
    <col min="6" max="11" width="9.140625" style="63"/>
    <col min="12" max="12" width="10" style="63" bestFit="1" customWidth="1"/>
    <col min="13" max="16384" width="9.140625" style="63"/>
  </cols>
  <sheetData>
    <row r="1" spans="1:12" x14ac:dyDescent="0.2">
      <c r="A1" s="1019" t="s">
        <v>0</v>
      </c>
      <c r="B1" s="1019"/>
      <c r="C1" s="1019"/>
      <c r="D1" s="1019"/>
      <c r="E1" s="1019"/>
    </row>
    <row r="2" spans="1:12" x14ac:dyDescent="0.2">
      <c r="A2" s="1019" t="s">
        <v>858</v>
      </c>
      <c r="B2" s="1019"/>
      <c r="C2" s="1019"/>
      <c r="D2" s="1019"/>
      <c r="E2" s="1019"/>
    </row>
    <row r="3" spans="1:12" x14ac:dyDescent="0.2">
      <c r="A3" s="1019" t="s">
        <v>859</v>
      </c>
      <c r="B3" s="1019"/>
      <c r="C3" s="1019"/>
      <c r="D3" s="1019"/>
      <c r="E3" s="1019"/>
    </row>
    <row r="4" spans="1:12" x14ac:dyDescent="0.2">
      <c r="A4" s="1220" t="str">
        <f>TaxesRec!A4</f>
        <v>For the Year Ended June 30, 2025</v>
      </c>
      <c r="B4" s="1019"/>
      <c r="C4" s="1019"/>
      <c r="D4" s="1019"/>
      <c r="E4" s="1019"/>
    </row>
    <row r="6" spans="1:12" ht="43.5" customHeight="1" x14ac:dyDescent="0.25">
      <c r="A6" s="1221" t="s">
        <v>860</v>
      </c>
      <c r="B6" s="1222"/>
      <c r="C6" s="1222"/>
      <c r="I6" s="75"/>
      <c r="J6" s="65"/>
      <c r="K6" s="65"/>
      <c r="L6" s="76"/>
    </row>
    <row r="7" spans="1:12" ht="18.75" customHeight="1" x14ac:dyDescent="0.25">
      <c r="A7" s="1221" t="s">
        <v>861</v>
      </c>
      <c r="B7" s="1221"/>
      <c r="C7" s="1221"/>
      <c r="E7" s="80">
        <v>-8550</v>
      </c>
      <c r="I7" s="75"/>
      <c r="J7" s="65"/>
      <c r="K7" s="65"/>
      <c r="L7" s="76"/>
    </row>
    <row r="8" spans="1:12" ht="27.75" customHeight="1" x14ac:dyDescent="0.25">
      <c r="A8" s="1218" t="s">
        <v>862</v>
      </c>
      <c r="B8" s="1219"/>
      <c r="C8" s="1219"/>
      <c r="D8" s="475"/>
      <c r="E8" s="72">
        <v>0</v>
      </c>
      <c r="I8" s="75"/>
      <c r="J8" s="65"/>
      <c r="K8" s="65"/>
      <c r="L8" s="76"/>
    </row>
    <row r="9" spans="1:12" ht="20.25" customHeight="1" x14ac:dyDescent="0.25">
      <c r="A9" s="1218" t="s">
        <v>863</v>
      </c>
      <c r="B9" s="1218"/>
      <c r="C9" s="1218"/>
      <c r="D9" s="474"/>
      <c r="E9" s="74">
        <v>1720</v>
      </c>
      <c r="I9" s="75"/>
      <c r="J9" s="65"/>
      <c r="K9" s="65"/>
      <c r="L9" s="73"/>
    </row>
    <row r="10" spans="1:12" ht="30.75" customHeight="1" x14ac:dyDescent="0.25">
      <c r="A10" s="1218" t="s">
        <v>864</v>
      </c>
      <c r="B10" s="1219"/>
      <c r="C10" s="1219"/>
      <c r="D10" s="475"/>
      <c r="E10" s="72">
        <v>-20177</v>
      </c>
      <c r="I10" s="75"/>
      <c r="J10" s="65"/>
      <c r="K10" s="65"/>
      <c r="L10" s="76"/>
    </row>
    <row r="11" spans="1:12" ht="15.75" customHeight="1" x14ac:dyDescent="0.25">
      <c r="A11" s="64" t="s">
        <v>865</v>
      </c>
      <c r="B11" s="64"/>
      <c r="C11" s="64"/>
      <c r="D11" s="475"/>
      <c r="E11" s="72">
        <v>2000</v>
      </c>
      <c r="I11" s="75"/>
      <c r="J11" s="65"/>
      <c r="K11" s="65"/>
      <c r="L11" s="76"/>
    </row>
    <row r="12" spans="1:12" ht="17.25" customHeight="1" x14ac:dyDescent="0.25">
      <c r="A12" s="1223" t="s">
        <v>866</v>
      </c>
      <c r="B12" s="1222"/>
      <c r="C12" s="1222"/>
      <c r="E12" s="78">
        <v>30000</v>
      </c>
      <c r="I12" s="75"/>
      <c r="J12" s="65"/>
      <c r="K12" s="65"/>
      <c r="L12" s="77"/>
    </row>
    <row r="13" spans="1:12" ht="18.75" customHeight="1" thickBot="1" x14ac:dyDescent="0.3">
      <c r="A13" s="1223" t="s">
        <v>867</v>
      </c>
      <c r="B13" s="1222"/>
      <c r="C13" s="1222"/>
      <c r="E13" s="267">
        <f>SUM(E7:E12)</f>
        <v>4993</v>
      </c>
      <c r="I13" s="75"/>
      <c r="J13" s="65"/>
      <c r="K13" s="65"/>
      <c r="L13" s="77"/>
    </row>
    <row r="14" spans="1:12" ht="15" thickTop="1" thickBot="1" x14ac:dyDescent="0.3">
      <c r="I14" s="75"/>
      <c r="J14" s="65"/>
      <c r="K14" s="65"/>
      <c r="L14" s="77"/>
    </row>
    <row r="15" spans="1:12" ht="13.5" x14ac:dyDescent="0.25">
      <c r="A15" s="1230" t="s">
        <v>868</v>
      </c>
      <c r="B15" s="1231"/>
      <c r="C15" s="1231"/>
      <c r="D15" s="1231"/>
      <c r="E15" s="1232"/>
      <c r="I15" s="75"/>
      <c r="J15" s="65"/>
      <c r="K15" s="65"/>
      <c r="L15" s="77"/>
    </row>
    <row r="16" spans="1:12" x14ac:dyDescent="0.2">
      <c r="A16" s="1233"/>
      <c r="B16" s="1234"/>
      <c r="C16" s="1234"/>
      <c r="D16" s="1234"/>
      <c r="E16" s="1235"/>
    </row>
    <row r="17" spans="1:5" ht="51.75" customHeight="1" thickBot="1" x14ac:dyDescent="0.25">
      <c r="A17" s="1236"/>
      <c r="B17" s="1237"/>
      <c r="C17" s="1237"/>
      <c r="D17" s="1237"/>
      <c r="E17" s="1238"/>
    </row>
    <row r="18" spans="1:5" ht="13.5" thickBot="1" x14ac:dyDescent="0.25"/>
    <row r="19" spans="1:5" x14ac:dyDescent="0.2">
      <c r="A19" s="1224" t="s">
        <v>869</v>
      </c>
      <c r="B19" s="1225"/>
      <c r="C19" s="1225"/>
      <c r="D19" s="1225"/>
      <c r="E19" s="1226"/>
    </row>
    <row r="20" spans="1:5" x14ac:dyDescent="0.2">
      <c r="A20" s="1227"/>
      <c r="B20" s="1228"/>
      <c r="C20" s="1228"/>
      <c r="D20" s="1228"/>
      <c r="E20" s="1229"/>
    </row>
    <row r="21" spans="1:5" x14ac:dyDescent="0.2">
      <c r="A21" s="1227"/>
      <c r="B21" s="1228"/>
      <c r="C21" s="1228"/>
      <c r="D21" s="1228"/>
      <c r="E21" s="1229"/>
    </row>
    <row r="22" spans="1:5" x14ac:dyDescent="0.2">
      <c r="A22" s="1227"/>
      <c r="B22" s="1228"/>
      <c r="C22" s="1228"/>
      <c r="D22" s="1228"/>
      <c r="E22" s="1229"/>
    </row>
    <row r="23" spans="1:5" ht="13.5" thickBot="1" x14ac:dyDescent="0.25">
      <c r="A23" s="1130"/>
      <c r="B23" s="1131"/>
      <c r="C23" s="1131"/>
      <c r="D23" s="1131"/>
      <c r="E23" s="1132"/>
    </row>
    <row r="24" spans="1:5" ht="13.5" thickBot="1" x14ac:dyDescent="0.25"/>
    <row r="25" spans="1:5" x14ac:dyDescent="0.2">
      <c r="A25" s="1224" t="s">
        <v>870</v>
      </c>
      <c r="B25" s="1225"/>
      <c r="C25" s="1225"/>
      <c r="D25" s="1225"/>
      <c r="E25" s="1226"/>
    </row>
    <row r="26" spans="1:5" x14ac:dyDescent="0.2">
      <c r="A26" s="1227"/>
      <c r="B26" s="1228"/>
      <c r="C26" s="1228"/>
      <c r="D26" s="1228"/>
      <c r="E26" s="1229"/>
    </row>
    <row r="27" spans="1:5" x14ac:dyDescent="0.2">
      <c r="A27" s="1227"/>
      <c r="B27" s="1228"/>
      <c r="C27" s="1228"/>
      <c r="D27" s="1228"/>
      <c r="E27" s="1229"/>
    </row>
    <row r="28" spans="1:5" x14ac:dyDescent="0.2">
      <c r="A28" s="1227"/>
      <c r="B28" s="1228"/>
      <c r="C28" s="1228"/>
      <c r="D28" s="1228"/>
      <c r="E28" s="1229"/>
    </row>
    <row r="29" spans="1:5" x14ac:dyDescent="0.2">
      <c r="A29" s="1227"/>
      <c r="B29" s="1228"/>
      <c r="C29" s="1228"/>
      <c r="D29" s="1228"/>
      <c r="E29" s="1229"/>
    </row>
    <row r="30" spans="1:5" ht="13.5" thickBot="1" x14ac:dyDescent="0.25">
      <c r="A30" s="1130"/>
      <c r="B30" s="1131"/>
      <c r="C30" s="1131"/>
      <c r="D30" s="1131"/>
      <c r="E30" s="1132"/>
    </row>
    <row r="31" spans="1:5" ht="17.25" customHeight="1" x14ac:dyDescent="0.2"/>
    <row r="32" spans="1:5" ht="14.25" customHeight="1" x14ac:dyDescent="0.2"/>
    <row r="33" ht="12.75" customHeight="1" x14ac:dyDescent="0.2"/>
    <row r="34" ht="13.5" customHeight="1" x14ac:dyDescent="0.2"/>
    <row r="35" ht="12" customHeight="1" x14ac:dyDescent="0.2"/>
    <row r="36" ht="9" customHeight="1" x14ac:dyDescent="0.2"/>
    <row r="37" ht="26.25" customHeight="1" x14ac:dyDescent="0.2"/>
    <row r="38" ht="16.5" customHeight="1" x14ac:dyDescent="0.2"/>
    <row r="39" ht="41.25" customHeight="1" x14ac:dyDescent="0.2"/>
    <row r="40" ht="18" customHeight="1" x14ac:dyDescent="0.2"/>
    <row r="41" ht="25.5" customHeight="1" x14ac:dyDescent="0.2"/>
    <row r="42" ht="26.25" customHeight="1" x14ac:dyDescent="0.2"/>
    <row r="43" ht="15.75" customHeight="1" x14ac:dyDescent="0.2"/>
    <row r="44" ht="39" customHeight="1" x14ac:dyDescent="0.2"/>
    <row r="45" ht="20.100000000000001" customHeight="1" x14ac:dyDescent="0.2"/>
    <row r="46" ht="9" customHeight="1" x14ac:dyDescent="0.2"/>
  </sheetData>
  <customSheetViews>
    <customSheetView guid="{E0C60316-4586-4AAF-92CB-FA82BB1EB755}" state="hidden">
      <selection sqref="A1:E1"/>
      <pageMargins left="0" right="0" top="0" bottom="0" header="0" footer="0"/>
      <printOptions horizontalCentered="1"/>
      <pageSetup scale="86" firstPageNumber="31" fitToHeight="0" orientation="portrait" useFirstPageNumber="1" r:id="rId1"/>
      <headerFooter alignWithMargins="0"/>
    </customSheetView>
    <customSheetView guid="{A8748736-0722-49EB-85B6-C9B52DDCFE0E}" showPageBreaks="1" printArea="1" state="hidden">
      <selection sqref="A1:E1"/>
      <pageMargins left="0.75" right="0.75" top="1" bottom="1" header="0.5" footer="0.5"/>
      <printOptions horizontalCentered="1"/>
      <pageSetup scale="86" firstPageNumber="31" fitToHeight="0" orientation="portrait" useFirstPageNumber="1" r:id="rId2"/>
      <headerFooter alignWithMargins="0"/>
    </customSheetView>
  </customSheetViews>
  <mergeCells count="14">
    <mergeCell ref="A9:C9"/>
    <mergeCell ref="A10:C10"/>
    <mergeCell ref="A12:C12"/>
    <mergeCell ref="A13:C13"/>
    <mergeCell ref="A25:E30"/>
    <mergeCell ref="A19:E23"/>
    <mergeCell ref="A15:E17"/>
    <mergeCell ref="A8:C8"/>
    <mergeCell ref="A1:E1"/>
    <mergeCell ref="A2:E2"/>
    <mergeCell ref="A3:E3"/>
    <mergeCell ref="A4:E4"/>
    <mergeCell ref="A6:C6"/>
    <mergeCell ref="A7:C7"/>
  </mergeCells>
  <printOptions horizontalCentered="1"/>
  <pageMargins left="0.75" right="0.75" top="1" bottom="1" header="0.5" footer="0.5"/>
  <pageSetup scale="86" firstPageNumber="31" fitToHeight="0" orientation="portrait" useFirstPageNumber="1" r:id="rId3"/>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FFFF00"/>
    <pageSetUpPr fitToPage="1"/>
  </sheetPr>
  <dimension ref="A1:P60"/>
  <sheetViews>
    <sheetView workbookViewId="0">
      <selection activeCell="A4" sqref="A4"/>
    </sheetView>
  </sheetViews>
  <sheetFormatPr defaultColWidth="10" defaultRowHeight="11.25" x14ac:dyDescent="0.2"/>
  <cols>
    <col min="1" max="1" width="32.28515625" style="10" customWidth="1"/>
    <col min="2" max="2" width="9.85546875" style="10" bestFit="1" customWidth="1"/>
    <col min="3" max="3" width="7.5703125" style="10" bestFit="1" customWidth="1"/>
    <col min="4" max="4" width="7.5703125" style="10" customWidth="1"/>
    <col min="5" max="5" width="9.85546875" style="10" bestFit="1" customWidth="1"/>
    <col min="6" max="6" width="7.5703125" style="10" bestFit="1" customWidth="1"/>
    <col min="7" max="7" width="7.5703125" style="10" customWidth="1"/>
    <col min="8" max="8" width="9.85546875" style="10" bestFit="1" customWidth="1"/>
    <col min="9" max="9" width="7.5703125" style="10" bestFit="1" customWidth="1"/>
    <col min="10" max="10" width="8.140625" style="10" customWidth="1"/>
    <col min="11" max="11" width="10.140625" style="10" customWidth="1"/>
    <col min="12" max="12" width="7.5703125" style="10" bestFit="1" customWidth="1"/>
    <col min="13" max="13" width="7.7109375" style="10" customWidth="1"/>
    <col min="14" max="14" width="1.140625" style="10" customWidth="1"/>
    <col min="15" max="15" width="26.42578125" style="10" bestFit="1" customWidth="1"/>
    <col min="16" max="16384" width="10" style="10"/>
  </cols>
  <sheetData>
    <row r="1" spans="1:16" x14ac:dyDescent="0.2">
      <c r="A1" s="10" t="s">
        <v>0</v>
      </c>
    </row>
    <row r="2" spans="1:16" x14ac:dyDescent="0.2">
      <c r="A2" s="10" t="s">
        <v>871</v>
      </c>
    </row>
    <row r="3" spans="1:16" x14ac:dyDescent="0.2">
      <c r="A3" s="16" t="str">
        <f>'GWNetPos 68 Exh 1'!A3:J3</f>
        <v>June 30, 2025</v>
      </c>
    </row>
    <row r="5" spans="1:16" x14ac:dyDescent="0.2">
      <c r="A5" s="10" t="s">
        <v>872</v>
      </c>
    </row>
    <row r="8" spans="1:16" x14ac:dyDescent="0.2">
      <c r="C8" s="1239" t="s">
        <v>873</v>
      </c>
      <c r="D8" s="1240"/>
      <c r="F8" s="1239" t="s">
        <v>873</v>
      </c>
      <c r="G8" s="1240"/>
      <c r="I8" s="1239" t="s">
        <v>873</v>
      </c>
      <c r="J8" s="1240"/>
      <c r="L8" s="1239" t="s">
        <v>873</v>
      </c>
      <c r="M8" s="1240"/>
      <c r="N8" s="17"/>
      <c r="O8" s="476" t="s">
        <v>874</v>
      </c>
    </row>
    <row r="9" spans="1:16" x14ac:dyDescent="0.2">
      <c r="K9" s="17"/>
      <c r="O9" s="18" t="s">
        <v>875</v>
      </c>
    </row>
    <row r="10" spans="1:16" ht="45" x14ac:dyDescent="0.2">
      <c r="A10" s="19" t="s">
        <v>876</v>
      </c>
      <c r="B10" s="79" t="s">
        <v>877</v>
      </c>
      <c r="C10" s="20" t="s">
        <v>878</v>
      </c>
      <c r="D10" s="20" t="s">
        <v>879</v>
      </c>
      <c r="E10" s="79" t="s">
        <v>880</v>
      </c>
      <c r="F10" s="20" t="s">
        <v>878</v>
      </c>
      <c r="G10" s="20" t="s">
        <v>879</v>
      </c>
      <c r="H10" s="19" t="s">
        <v>881</v>
      </c>
      <c r="I10" s="20" t="s">
        <v>878</v>
      </c>
      <c r="J10" s="20" t="s">
        <v>879</v>
      </c>
      <c r="K10" s="79" t="s">
        <v>882</v>
      </c>
      <c r="L10" s="20" t="s">
        <v>878</v>
      </c>
      <c r="M10" s="20" t="s">
        <v>879</v>
      </c>
      <c r="N10" s="20"/>
      <c r="O10" s="20" t="s">
        <v>883</v>
      </c>
    </row>
    <row r="12" spans="1:16" x14ac:dyDescent="0.2">
      <c r="A12" s="10" t="s">
        <v>884</v>
      </c>
      <c r="B12" s="55">
        <f>'Balance Sheet Exh 3'!B17</f>
        <v>22789002</v>
      </c>
      <c r="C12" s="56" t="s">
        <v>885</v>
      </c>
      <c r="D12" s="56" t="s">
        <v>885</v>
      </c>
      <c r="E12" s="55">
        <f>'Balance Sheet Exh 3'!B26+'Balance Sheet Exh 3'!B28</f>
        <v>7021698</v>
      </c>
      <c r="F12" s="56" t="s">
        <v>885</v>
      </c>
      <c r="G12" s="56" t="s">
        <v>885</v>
      </c>
      <c r="H12" s="55">
        <f>'Rev, exp, chgs in fb Exh 4'!B20</f>
        <v>86273994</v>
      </c>
      <c r="I12" s="56" t="s">
        <v>885</v>
      </c>
      <c r="J12" s="56" t="s">
        <v>885</v>
      </c>
      <c r="K12" s="55">
        <f>'Rev, exp, chgs in fb Exh 4'!B39</f>
        <v>86317339</v>
      </c>
      <c r="L12" s="18" t="s">
        <v>885</v>
      </c>
      <c r="M12" s="18" t="s">
        <v>885</v>
      </c>
      <c r="O12" s="21" t="s">
        <v>886</v>
      </c>
      <c r="P12" s="10" t="s">
        <v>1080</v>
      </c>
    </row>
    <row r="13" spans="1:16" x14ac:dyDescent="0.2">
      <c r="B13" s="55"/>
      <c r="C13" s="55"/>
      <c r="D13" s="55"/>
      <c r="E13" s="55"/>
      <c r="F13" s="55"/>
      <c r="G13" s="55"/>
      <c r="H13" s="55"/>
      <c r="I13" s="55"/>
      <c r="J13" s="55"/>
      <c r="K13" s="55"/>
    </row>
    <row r="14" spans="1:16" x14ac:dyDescent="0.2">
      <c r="A14" s="16" t="s">
        <v>887</v>
      </c>
      <c r="B14" s="55"/>
      <c r="C14" s="55"/>
      <c r="D14" s="55"/>
      <c r="E14" s="55"/>
      <c r="F14" s="55"/>
      <c r="G14" s="55"/>
      <c r="H14" s="55"/>
      <c r="I14" s="55"/>
      <c r="J14" s="55"/>
      <c r="K14" s="55"/>
    </row>
    <row r="15" spans="1:16" x14ac:dyDescent="0.2">
      <c r="A15" s="22" t="s">
        <v>572</v>
      </c>
      <c r="B15" s="55">
        <f>+'Comb BS-Nonmajor'!B15</f>
        <v>6928</v>
      </c>
      <c r="C15" s="57" t="str">
        <f>IF(B15&gt;B$31,"X","-")</f>
        <v>-</v>
      </c>
      <c r="D15" s="57" t="str">
        <f>IF(B15&gt;B$46,"X","-")</f>
        <v>-</v>
      </c>
      <c r="E15" s="55">
        <f>+'Comb BS-Nonmajor'!B21+'Comb BS-Nonmajor'!B26</f>
        <v>4478</v>
      </c>
      <c r="F15" s="57" t="str">
        <f>IF(E15&gt;E$31,"X","-")</f>
        <v>-</v>
      </c>
      <c r="G15" s="57" t="str">
        <f>IF(E15&gt;E$46,"X","-")</f>
        <v>-</v>
      </c>
      <c r="H15" s="55">
        <f>+'Com Rev, Exp-Nonmajor'!B17</f>
        <v>57136</v>
      </c>
      <c r="I15" s="57" t="str">
        <f>IF(H15&gt;H$31,"X","-")</f>
        <v>-</v>
      </c>
      <c r="J15" s="57" t="str">
        <f>IF(H15&gt;H$46,"X","-")</f>
        <v>-</v>
      </c>
      <c r="K15" s="55">
        <f>+'Com Rev, Exp-Nonmajor'!B26</f>
        <v>55686</v>
      </c>
      <c r="L15" s="54" t="str">
        <f>IF(K15&gt;K$31,"X","-")</f>
        <v>-</v>
      </c>
      <c r="M15" s="54" t="str">
        <f>IF(K15&gt;K$46,"X","-")</f>
        <v>-</v>
      </c>
      <c r="O15" s="54" t="str">
        <f>IF(OR(AND(C15="X",D15="X"),AND(F15="X",G15="X"),AND(I15="X",J15="X"),AND(L15="X",M15="X")),"MAJOR","-")</f>
        <v>-</v>
      </c>
    </row>
    <row r="16" spans="1:16" x14ac:dyDescent="0.2">
      <c r="A16" s="22" t="s">
        <v>580</v>
      </c>
      <c r="B16" s="55">
        <f>+'Comb BS-Nonmajor'!D15</f>
        <v>3128</v>
      </c>
      <c r="C16" s="57" t="str">
        <f>IF(B16&gt;B$31,"X","-")</f>
        <v>-</v>
      </c>
      <c r="D16" s="57" t="str">
        <f>IF(B16&gt;B$46,"X","-")</f>
        <v>-</v>
      </c>
      <c r="E16" s="55">
        <f>+'Comb BS-Nonmajor'!D21+'Comb BS-Nonmajor'!D26</f>
        <v>1345</v>
      </c>
      <c r="F16" s="57" t="str">
        <f>IF(E16&gt;E$31,"X","-")</f>
        <v>-</v>
      </c>
      <c r="G16" s="57" t="str">
        <f>IF(E16&gt;E$46,"X","-")</f>
        <v>-</v>
      </c>
      <c r="H16" s="55">
        <f>+'Com Rev, Exp-Nonmajor'!D17</f>
        <v>20960</v>
      </c>
      <c r="I16" s="57" t="str">
        <f>IF(H16&gt;H$31,"X","-")</f>
        <v>-</v>
      </c>
      <c r="J16" s="57" t="str">
        <f>IF(H16&gt;H$46,"X","-")</f>
        <v>-</v>
      </c>
      <c r="K16" s="55">
        <f>+'Com Rev, Exp-Nonmajor'!D26</f>
        <v>20800</v>
      </c>
      <c r="L16" s="54" t="str">
        <f>IF(K16&gt;K$31,"X","-")</f>
        <v>-</v>
      </c>
      <c r="M16" s="54" t="str">
        <f>IF(K16&gt;K$46,"X","-")</f>
        <v>-</v>
      </c>
      <c r="O16" s="54" t="str">
        <f>IF(OR(AND(C16="X",D16="X"),AND(F16="X",G16="X"),AND(I16="X",J16="X"),AND(L16="X",M16="X")),"MAJOR","-")</f>
        <v>-</v>
      </c>
    </row>
    <row r="17" spans="1:15" x14ac:dyDescent="0.2">
      <c r="A17" s="22" t="s">
        <v>553</v>
      </c>
      <c r="B17" s="55">
        <f>+'Comb BS-Nonmajor'!F15</f>
        <v>53478</v>
      </c>
      <c r="C17" s="57" t="str">
        <f>IF(B17&gt;B$31,"X","-")</f>
        <v>-</v>
      </c>
      <c r="D17" s="57" t="str">
        <f>IF(B17&gt;B$46,"X","-")</f>
        <v>-</v>
      </c>
      <c r="E17" s="55">
        <f>+'Comb BS-Nonmajor'!F21+'Comb BS-Nonmajor'!F26</f>
        <v>7132</v>
      </c>
      <c r="F17" s="57" t="str">
        <f>IF(E17&gt;E$31,"X","-")</f>
        <v>-</v>
      </c>
      <c r="G17" s="57" t="str">
        <f>IF(E17&gt;E$46,"X","-")</f>
        <v>-</v>
      </c>
      <c r="H17" s="55">
        <f>+'Com Rev, Exp-Nonmajor'!F17</f>
        <v>566632</v>
      </c>
      <c r="I17" s="57" t="str">
        <f>IF(H17&gt;H$31,"X","-")</f>
        <v>-</v>
      </c>
      <c r="J17" s="57" t="str">
        <f>IF(H17&gt;H$46,"X","-")</f>
        <v>-</v>
      </c>
      <c r="K17" s="55">
        <f>+'Com Rev, Exp-Nonmajor'!F26</f>
        <v>532637</v>
      </c>
      <c r="L17" s="54" t="str">
        <f>IF(K17&gt;K$31,"X","-")</f>
        <v>-</v>
      </c>
      <c r="M17" s="54" t="str">
        <f>IF(K17&gt;K$46,"X","-")</f>
        <v>-</v>
      </c>
      <c r="O17" s="54" t="str">
        <f>IF(OR(AND(C17="X",D17="X"),AND(F17="X",G17="X"),AND(I17="X",J17="X"),AND(L17="X",M17="X")),"MAJOR","-")</f>
        <v>-</v>
      </c>
    </row>
    <row r="18" spans="1:15" x14ac:dyDescent="0.2">
      <c r="A18" s="22" t="s">
        <v>554</v>
      </c>
      <c r="B18" s="55">
        <f>+'Comb BS-Nonmajor'!H10</f>
        <v>2724</v>
      </c>
      <c r="C18" s="57" t="str">
        <f>IF(B18&gt;B$31,"X","-")</f>
        <v>-</v>
      </c>
      <c r="D18" s="57" t="str">
        <f>IF(B18&gt;B$46,"X","-")</f>
        <v>-</v>
      </c>
      <c r="E18" s="55">
        <f>+'Comb BS-Nonmajor'!H21+'Comb BS-Nonmajor'!H26</f>
        <v>2724</v>
      </c>
      <c r="F18" s="57" t="str">
        <f>IF(E18&gt;E$31,"X","-")</f>
        <v>-</v>
      </c>
      <c r="G18" s="57" t="str">
        <f>IF(E18&gt;E$46,"X","-")</f>
        <v>-</v>
      </c>
      <c r="H18" s="55">
        <f>+'Com Rev, Exp-Nonmajor'!H17</f>
        <v>12600</v>
      </c>
      <c r="I18" s="57" t="str">
        <f>IF(H18&gt;H$31,"X","-")</f>
        <v>-</v>
      </c>
      <c r="J18" s="57" t="str">
        <f>IF(H18&gt;H$46,"X","-")</f>
        <v>-</v>
      </c>
      <c r="K18" s="55">
        <f>+'Com Rev, Exp-Nonmajor'!H26</f>
        <v>12600</v>
      </c>
      <c r="L18" s="54" t="str">
        <f>IF(K18&gt;K$31,"X","-")</f>
        <v>-</v>
      </c>
      <c r="M18" s="54" t="str">
        <f>IF(K18&gt;K$46,"X","-")</f>
        <v>-</v>
      </c>
      <c r="O18" s="54" t="str">
        <f>IF(OR(AND(C18="X",D18="X"),AND(F18="X",G18="X"),AND(I18="X",J18="X"),AND(L18="X",M18="X")),"MAJOR","-")</f>
        <v>-</v>
      </c>
    </row>
    <row r="19" spans="1:15" x14ac:dyDescent="0.2">
      <c r="A19" s="22" t="s">
        <v>555</v>
      </c>
      <c r="B19" s="55">
        <f>+'Comb BS-Nonmajor'!J15</f>
        <v>74866</v>
      </c>
      <c r="C19" s="57" t="str">
        <f>IF(B19&gt;B$31,"X","-")</f>
        <v>-</v>
      </c>
      <c r="D19" s="57" t="str">
        <f>IF(B19&gt;B$46,"X","-")</f>
        <v>-</v>
      </c>
      <c r="E19" s="55">
        <f>+'Comb BS-Nonmajor'!J21+'Comb BS-Nonmajor'!J26</f>
        <v>72179</v>
      </c>
      <c r="F19" s="57" t="str">
        <f>IF(E19&gt;E$31,"X","-")</f>
        <v>-</v>
      </c>
      <c r="G19" s="57" t="str">
        <f>IF(E19&gt;E$46,"X","-")</f>
        <v>-</v>
      </c>
      <c r="H19" s="55">
        <f>+'Com Rev, Exp-Nonmajor'!J17</f>
        <v>481900</v>
      </c>
      <c r="I19" s="57" t="str">
        <f>IF(H19&gt;H$31,"X","-")</f>
        <v>-</v>
      </c>
      <c r="J19" s="57" t="str">
        <f>IF(H19&gt;H$46,"X","-")</f>
        <v>-</v>
      </c>
      <c r="K19" s="55">
        <f>+'Com Rev, Exp-Nonmajor'!J26</f>
        <v>482577</v>
      </c>
      <c r="L19" s="54" t="str">
        <f>IF(K19&gt;K$31,"X","-")</f>
        <v>-</v>
      </c>
      <c r="M19" s="54" t="str">
        <f>IF(K19&gt;K$46,"X","-")</f>
        <v>-</v>
      </c>
      <c r="O19" s="54" t="str">
        <f>IF(OR(AND(C19="X",D19="X"),AND(F19="X",G19="X"),AND(I19="X",J19="X"),AND(L19="X",M19="X")),"MAJOR","-")</f>
        <v>-</v>
      </c>
    </row>
    <row r="20" spans="1:15" x14ac:dyDescent="0.2">
      <c r="A20" s="22"/>
      <c r="B20" s="55"/>
      <c r="C20" s="57"/>
      <c r="D20" s="57"/>
      <c r="E20" s="55"/>
      <c r="F20" s="57"/>
      <c r="G20" s="57"/>
      <c r="H20" s="55"/>
      <c r="I20" s="57"/>
      <c r="J20" s="57"/>
      <c r="K20" s="55"/>
      <c r="L20" s="54"/>
      <c r="M20" s="54"/>
      <c r="O20" s="54"/>
    </row>
    <row r="21" spans="1:15" x14ac:dyDescent="0.2">
      <c r="A21" s="16" t="s">
        <v>917</v>
      </c>
      <c r="B21" s="55"/>
      <c r="C21" s="57"/>
      <c r="D21" s="57"/>
      <c r="E21" s="55"/>
      <c r="F21" s="57"/>
      <c r="G21" s="57"/>
      <c r="H21" s="55"/>
      <c r="I21" s="57"/>
      <c r="J21" s="57"/>
      <c r="K21" s="55"/>
      <c r="L21" s="54"/>
      <c r="M21" s="54"/>
      <c r="O21" s="54"/>
    </row>
    <row r="22" spans="1:15" x14ac:dyDescent="0.2">
      <c r="A22" s="22" t="s">
        <v>960</v>
      </c>
      <c r="B22" s="55">
        <f>+'Balance Sheet Exh 3'!D17</f>
        <v>0</v>
      </c>
      <c r="C22" s="57" t="str">
        <f>IF(B22&gt;B$31,"X","-")</f>
        <v>-</v>
      </c>
      <c r="D22" s="57" t="str">
        <f>IF(B22&gt;B$46,"X","-")</f>
        <v>-</v>
      </c>
      <c r="E22" s="55">
        <f>+'Balance Sheet Exh 3'!D26+'Balance Sheet Exh 3'!D28</f>
        <v>0</v>
      </c>
      <c r="F22" s="57" t="str">
        <f>IF(E22&gt;E$31,"X","-")</f>
        <v>-</v>
      </c>
      <c r="G22" s="57" t="str">
        <f>IF(E22&gt;E$46,"X","-")</f>
        <v>-</v>
      </c>
      <c r="H22" s="55">
        <f>+'Rev, exp, chgs in fb Exh 4'!D20</f>
        <v>2260000</v>
      </c>
      <c r="I22" s="57" t="str">
        <f>IF(H22&gt;H$31,"X","-")</f>
        <v>-</v>
      </c>
      <c r="J22" s="57" t="str">
        <f>IF(H22&gt;H$46,"X","-")</f>
        <v>-</v>
      </c>
      <c r="K22" s="55">
        <f>+'Rev, exp, chgs in fb Exh 4'!D39</f>
        <v>2260000</v>
      </c>
      <c r="L22" s="54" t="str">
        <f>IF(K22&gt;K$31,"X","-")</f>
        <v>-</v>
      </c>
      <c r="M22" s="54" t="str">
        <f>IF(K22&gt;K$46,"X","-")</f>
        <v>-</v>
      </c>
      <c r="O22" s="54" t="s">
        <v>919</v>
      </c>
    </row>
    <row r="23" spans="1:15" x14ac:dyDescent="0.2">
      <c r="A23" s="22" t="s">
        <v>913</v>
      </c>
      <c r="B23" s="55">
        <f>+'Balance Sheet Exh 3'!F17</f>
        <v>2268038</v>
      </c>
      <c r="C23" s="57" t="str">
        <f>IF(B23&gt;B$31,"X","-")</f>
        <v>-</v>
      </c>
      <c r="D23" s="57" t="str">
        <f>IF(B23&gt;B$46,"X","-")</f>
        <v>X</v>
      </c>
      <c r="E23" s="55">
        <f>+'Balance Sheet Exh 3'!F26+'Balance Sheet Exh 3'!F28</f>
        <v>1938038</v>
      </c>
      <c r="F23" s="57" t="str">
        <f>IF(E23&gt;E$31,"X","-")</f>
        <v>X</v>
      </c>
      <c r="G23" s="57" t="str">
        <f>IF(E23&gt;E$46,"X","-")</f>
        <v>X</v>
      </c>
      <c r="H23" s="55">
        <f>+'SR-BA7 (Opioid) Annual'!H15</f>
        <v>540000</v>
      </c>
      <c r="I23" s="57" t="str">
        <f>IF(H23&gt;H$31,"X","-")</f>
        <v>-</v>
      </c>
      <c r="J23" s="57" t="str">
        <f>IF(H23&gt;H$46,"X","-")</f>
        <v>-</v>
      </c>
      <c r="K23" s="55">
        <f>+'SR-BA7 (Opioid) Annual'!H32</f>
        <v>500000</v>
      </c>
      <c r="L23" s="54" t="str">
        <f>IF(K23&gt;K$31,"X","-")</f>
        <v>-</v>
      </c>
      <c r="M23" s="54" t="str">
        <f>IF(K23&gt;K$46,"X","-")</f>
        <v>-</v>
      </c>
      <c r="O23" s="860" t="str">
        <f>IF(OR(AND(C23="X",D23="X"),AND(F23="X",G23="X"),AND(I23="X",J23="X"),AND(L23="X",M23="X")),"MAJOR","-")</f>
        <v>MAJOR</v>
      </c>
    </row>
    <row r="24" spans="1:15" x14ac:dyDescent="0.2">
      <c r="B24" s="55"/>
      <c r="C24" s="55"/>
      <c r="D24" s="55"/>
      <c r="E24" s="55"/>
      <c r="F24" s="55"/>
      <c r="G24" s="55"/>
      <c r="H24" s="55"/>
      <c r="I24" s="55"/>
      <c r="J24" s="55"/>
      <c r="K24" s="55"/>
    </row>
    <row r="25" spans="1:15" x14ac:dyDescent="0.2">
      <c r="A25" s="10" t="s">
        <v>888</v>
      </c>
      <c r="B25" s="55"/>
      <c r="C25" s="55"/>
      <c r="D25" s="55"/>
      <c r="E25" s="55"/>
      <c r="F25" s="55"/>
      <c r="G25" s="55"/>
      <c r="H25" s="55"/>
      <c r="I25" s="55"/>
      <c r="J25" s="55"/>
      <c r="K25" s="55"/>
    </row>
    <row r="26" spans="1:15" x14ac:dyDescent="0.2">
      <c r="A26" s="22" t="s">
        <v>889</v>
      </c>
      <c r="B26" s="55">
        <f>+'Comb BS-Nonmajor'!N15</f>
        <v>11337</v>
      </c>
      <c r="C26" s="57" t="str">
        <f>IF(B26&gt;B$31,"X","-")</f>
        <v>-</v>
      </c>
      <c r="D26" s="57" t="str">
        <f>IF(B26&gt;B$46,"X","-")</f>
        <v>-</v>
      </c>
      <c r="E26" s="55">
        <f>+'Comb BS-Nonmajor'!N21+'Comb BS-Nonmajor'!N26</f>
        <v>3368</v>
      </c>
      <c r="F26" s="57" t="str">
        <f>IF(E26&gt;E$31,"X","-")</f>
        <v>-</v>
      </c>
      <c r="G26" s="57" t="str">
        <f>IF(E26&gt;E$46,"X","-")</f>
        <v>-</v>
      </c>
      <c r="H26" s="55">
        <f>+'Com Rev, Exp-Nonmajor'!N17</f>
        <v>116432</v>
      </c>
      <c r="I26" s="57" t="str">
        <f>IF(H26&gt;H$31,"X","-")</f>
        <v>-</v>
      </c>
      <c r="J26" s="57" t="str">
        <f>IF(H26&gt;H$46,"X","-")</f>
        <v>-</v>
      </c>
      <c r="K26" s="55">
        <f>+'Com Rev, Exp-Nonmajor'!N26</f>
        <v>146096</v>
      </c>
      <c r="L26" s="54" t="str">
        <f>IF(K26&gt;K$31,"X","-")</f>
        <v>-</v>
      </c>
      <c r="M26" s="54" t="str">
        <f>IF(K26&gt;K$46,"X","-")</f>
        <v>-</v>
      </c>
      <c r="O26" s="54" t="str">
        <f>IF(OR(AND(C26="X",D26="X"),AND(F26="X",G26="X"),AND(I26="X",J26="X"),AND(L26="X",M26="X")),"MAJOR","-")</f>
        <v>-</v>
      </c>
    </row>
    <row r="27" spans="1:15" x14ac:dyDescent="0.2">
      <c r="A27" s="22" t="s">
        <v>890</v>
      </c>
      <c r="B27" s="55">
        <f>+'Comb BS-Nonmajor'!P15</f>
        <v>659350</v>
      </c>
      <c r="C27" s="57" t="str">
        <f>IF(B27&gt;B$31,"X","-")</f>
        <v>-</v>
      </c>
      <c r="D27" s="57" t="str">
        <f>IF(B27&gt;B$46,"X","-")</f>
        <v>-</v>
      </c>
      <c r="E27" s="55">
        <f>+'Comb BS-Nonmajor'!P21+'Comb BS-Nonmajor'!P26</f>
        <v>90530</v>
      </c>
      <c r="F27" s="57" t="str">
        <f>IF(E27&gt;E$31,"X","-")</f>
        <v>-</v>
      </c>
      <c r="G27" s="57" t="str">
        <f>IF(E27&gt;E$46,"X","-")</f>
        <v>-</v>
      </c>
      <c r="H27" s="55">
        <f>+'Com Rev, Exp-Nonmajor'!P17</f>
        <v>1081479</v>
      </c>
      <c r="I27" s="57" t="str">
        <f>IF(H27&gt;H$31,"X","-")</f>
        <v>-</v>
      </c>
      <c r="J27" s="57" t="str">
        <f>IF(H27&gt;H$46,"X","-")</f>
        <v>-</v>
      </c>
      <c r="K27" s="55">
        <f>+'Com Rev, Exp-Nonmajor'!P26</f>
        <v>1700600</v>
      </c>
      <c r="L27" s="54" t="str">
        <f>IF(K27&gt;K$31,"X","-")</f>
        <v>-</v>
      </c>
      <c r="M27" s="54" t="str">
        <f>IF(K27&gt;K$46,"X","-")</f>
        <v>-</v>
      </c>
      <c r="O27" s="54" t="str">
        <f>IF(OR(AND(C27="X",D27="X"),AND(F27="X",G27="X"),AND(I27="X",J27="X"),AND(L27="X",M27="X")),"MAJOR","-")</f>
        <v>-</v>
      </c>
    </row>
    <row r="28" spans="1:15" x14ac:dyDescent="0.2">
      <c r="A28" s="22"/>
      <c r="B28" s="55"/>
      <c r="C28" s="55"/>
      <c r="D28" s="55"/>
      <c r="E28" s="55"/>
      <c r="F28" s="55"/>
      <c r="G28" s="55"/>
      <c r="H28" s="55"/>
      <c r="I28" s="55"/>
      <c r="J28" s="55"/>
      <c r="K28" s="55"/>
    </row>
    <row r="29" spans="1:15" ht="12" thickBot="1" x14ac:dyDescent="0.25">
      <c r="A29" s="23" t="s">
        <v>891</v>
      </c>
      <c r="B29" s="58">
        <f>SUM(B12:B28)</f>
        <v>25868851</v>
      </c>
      <c r="C29" s="55"/>
      <c r="D29" s="55"/>
      <c r="E29" s="58">
        <f>SUM(E12:E28)</f>
        <v>9141492</v>
      </c>
      <c r="F29" s="55"/>
      <c r="G29" s="55"/>
      <c r="H29" s="58">
        <f>SUM(H12:H28)</f>
        <v>91411133</v>
      </c>
      <c r="I29" s="55"/>
      <c r="J29" s="55"/>
      <c r="K29" s="58">
        <f>SUM(K12:K28)</f>
        <v>92028335</v>
      </c>
    </row>
    <row r="30" spans="1:15" ht="12" thickTop="1" x14ac:dyDescent="0.2">
      <c r="A30" s="22"/>
      <c r="B30" s="55"/>
      <c r="C30" s="55"/>
      <c r="D30" s="55"/>
      <c r="E30" s="55"/>
      <c r="F30" s="55"/>
      <c r="G30" s="55"/>
      <c r="H30" s="55"/>
      <c r="I30" s="55"/>
      <c r="J30" s="55"/>
      <c r="K30" s="55"/>
    </row>
    <row r="31" spans="1:15" ht="12" thickBot="1" x14ac:dyDescent="0.25">
      <c r="A31" s="16" t="s">
        <v>892</v>
      </c>
      <c r="B31" s="59">
        <f>+B29*0.1</f>
        <v>2586885.1</v>
      </c>
      <c r="C31" s="55"/>
      <c r="D31" s="55"/>
      <c r="E31" s="59">
        <f>+E29*0.1</f>
        <v>914149.20000000007</v>
      </c>
      <c r="F31" s="55"/>
      <c r="G31" s="55"/>
      <c r="H31" s="59">
        <f>+H29*0.1</f>
        <v>9141113.3000000007</v>
      </c>
      <c r="I31" s="55"/>
      <c r="J31" s="55"/>
      <c r="K31" s="59">
        <f>+K29*0.1</f>
        <v>9202833.5</v>
      </c>
    </row>
    <row r="32" spans="1:15" ht="12" thickTop="1" x14ac:dyDescent="0.2">
      <c r="A32" s="24"/>
      <c r="B32" s="55"/>
      <c r="C32" s="55"/>
      <c r="D32" s="55"/>
      <c r="E32" s="55"/>
      <c r="F32" s="55"/>
      <c r="G32" s="55"/>
      <c r="H32" s="55"/>
      <c r="I32" s="55"/>
      <c r="J32" s="55"/>
      <c r="K32" s="55"/>
    </row>
    <row r="33" spans="1:15" x14ac:dyDescent="0.2">
      <c r="A33" s="24"/>
      <c r="B33" s="55"/>
      <c r="C33" s="55"/>
      <c r="D33" s="55"/>
      <c r="E33" s="55"/>
      <c r="F33" s="55"/>
      <c r="G33" s="55"/>
      <c r="H33" s="55"/>
      <c r="I33" s="55"/>
      <c r="J33" s="55"/>
      <c r="K33" s="55"/>
    </row>
    <row r="34" spans="1:15" x14ac:dyDescent="0.2">
      <c r="A34" s="23" t="s">
        <v>893</v>
      </c>
      <c r="B34" s="55"/>
      <c r="C34" s="55"/>
      <c r="D34" s="55"/>
      <c r="E34" s="55"/>
      <c r="F34" s="55"/>
      <c r="G34" s="55"/>
      <c r="H34" s="55"/>
      <c r="I34" s="55"/>
      <c r="J34" s="55"/>
      <c r="K34" s="55"/>
    </row>
    <row r="35" spans="1:15" x14ac:dyDescent="0.2">
      <c r="A35" s="22" t="s">
        <v>639</v>
      </c>
      <c r="B35" s="55">
        <f>+'Net Pos-Prop Exh 9'!B24+'Net Pos-Prop Exh 9'!B26</f>
        <v>2256983.7119999998</v>
      </c>
      <c r="C35" s="57" t="str">
        <f>IF(B35&gt;B$41,"X","-")</f>
        <v>X</v>
      </c>
      <c r="D35" s="57" t="str">
        <f>IF(B35&gt;B$46,"X","-")</f>
        <v>X</v>
      </c>
      <c r="E35" s="55">
        <f>'Net Pos-Prop Exh 9'!B46+'Net Pos-Prop Exh 9'!B48</f>
        <v>477017.06200000003</v>
      </c>
      <c r="F35" s="57" t="str">
        <f>IF(E35&gt;E$41,"X","-")</f>
        <v>X</v>
      </c>
      <c r="G35" s="57" t="str">
        <f>IF(E35&gt;E$46,"X","-")</f>
        <v>-</v>
      </c>
      <c r="H35" s="55">
        <f>'Rev, exp-Prop Exh 10'!B13+'Rev, exp-Prop Exh 10'!B36</f>
        <v>328012</v>
      </c>
      <c r="I35" s="57" t="str">
        <f>IF(H35&gt;H$41,"X","-")</f>
        <v>X</v>
      </c>
      <c r="J35" s="57" t="str">
        <f>IF(H35&gt;H$46,"X","-")</f>
        <v>-</v>
      </c>
      <c r="K35" s="55">
        <f>'Rev, exp-Prop Exh 10'!B28</f>
        <v>340558.52</v>
      </c>
      <c r="L35" s="54" t="str">
        <f>IF(K35&gt;K$41,"X","-")</f>
        <v>X</v>
      </c>
      <c r="M35" s="54" t="str">
        <f>IF(K35&gt;K$46,"X","-")</f>
        <v>-</v>
      </c>
      <c r="O35" s="54" t="str">
        <f>IF(OR(AND(C35="X",D35="X"),AND(F35="X",G35="X"),AND(I35="X",J35="X"),AND(L35="X",M35="X")),"MAJOR","-")</f>
        <v>MAJOR</v>
      </c>
    </row>
    <row r="36" spans="1:15" x14ac:dyDescent="0.2">
      <c r="A36" s="9" t="s">
        <v>894</v>
      </c>
      <c r="B36" s="60">
        <f>+'Net Pos-Prop Exh 9'!D24+'Net Pos-Prop Exh 9'!D26</f>
        <v>8125631.1469999999</v>
      </c>
      <c r="C36" s="57" t="str">
        <f>IF(B36&gt;B$41,"X","-")</f>
        <v>X</v>
      </c>
      <c r="D36" s="57" t="str">
        <f>IF(B36&gt;B$46,"X","-")</f>
        <v>X</v>
      </c>
      <c r="E36" s="60">
        <f>'Net Pos-Prop Exh 9'!D46+'Net Pos-Prop Exh 9'!D48</f>
        <v>3309796.8990000002</v>
      </c>
      <c r="F36" s="57" t="str">
        <f>IF(E36&gt;E$41,"X","-")</f>
        <v>X</v>
      </c>
      <c r="G36" s="57" t="str">
        <f>IF(E36&gt;E$46,"X","-")</f>
        <v>X</v>
      </c>
      <c r="H36" s="60">
        <f>'Rev, exp-Prop Exh 10'!D13+'Rev, exp-Prop Exh 10'!D36</f>
        <v>823834</v>
      </c>
      <c r="I36" s="57" t="str">
        <f>IF(H36&gt;H$41,"X","-")</f>
        <v>X</v>
      </c>
      <c r="J36" s="57" t="str">
        <f>IF(H36&gt;H$46,"X","-")</f>
        <v>-</v>
      </c>
      <c r="K36" s="55">
        <f>'Rev, exp-Prop Exh 10'!D28</f>
        <v>594520.48</v>
      </c>
      <c r="L36" s="54" t="str">
        <f>IF(K36&gt;K$41,"X","-")</f>
        <v>X</v>
      </c>
      <c r="M36" s="54" t="str">
        <f>IF(K36&gt;K$46,"X","-")</f>
        <v>-</v>
      </c>
      <c r="O36" s="54" t="str">
        <f>IF(OR(AND(C36="X",D36="X"),AND(F36="X",G36="X"),AND(I36="X",J36="X"),AND(L36="X",M36="X")),"MAJOR","-")</f>
        <v>MAJOR</v>
      </c>
    </row>
    <row r="37" spans="1:15" x14ac:dyDescent="0.2">
      <c r="A37" s="9" t="s">
        <v>895</v>
      </c>
      <c r="B37" s="60">
        <f>+'Net Pos-Prop Exh 9'!F24+'Net Pos-Prop Exh 9'!F26</f>
        <v>315696.24099999998</v>
      </c>
      <c r="C37" s="57" t="str">
        <f>IF(B37&gt;B$41,"X","-")</f>
        <v>-</v>
      </c>
      <c r="D37" s="57" t="str">
        <f>IF(B37&gt;B$46,"X","-")</f>
        <v>-</v>
      </c>
      <c r="E37" s="60">
        <f>'Net Pos-Prop Exh 9'!F46+'Net Pos-Prop Exh 9'!F48</f>
        <v>308330.08899999998</v>
      </c>
      <c r="F37" s="57" t="str">
        <f>IF(E37&gt;E$41,"X","-")</f>
        <v>-</v>
      </c>
      <c r="G37" s="57" t="str">
        <f>IF(E37&gt;E$46,"X","-")</f>
        <v>-</v>
      </c>
      <c r="H37" s="60">
        <f>'Rev, exp-Prop Exh 10'!F13+'Rev, exp-Prop Exh 10'!F36</f>
        <v>6110</v>
      </c>
      <c r="I37" s="57" t="str">
        <f>IF(H37&gt;H$41,"X","-")</f>
        <v>-</v>
      </c>
      <c r="J37" s="57" t="str">
        <f>IF(H37&gt;H$46,"X","-")</f>
        <v>-</v>
      </c>
      <c r="K37" s="55">
        <f>'Rev, exp-Prop Exh 10'!F28</f>
        <v>2744</v>
      </c>
      <c r="L37" s="54" t="str">
        <f>IF(K37&gt;K$41,"X","-")</f>
        <v>-</v>
      </c>
      <c r="M37" s="54" t="str">
        <f>IF(K37&gt;K$46,"X","-")</f>
        <v>-</v>
      </c>
      <c r="O37" s="54" t="str">
        <f>IF(OR(AND(C37="X",D37="X"),AND(F37="X",G37="X"),AND(I37="X",J37="X"),AND(L37="X",M37="X")),"MAJOR","-")</f>
        <v>-</v>
      </c>
    </row>
    <row r="38" spans="1:15" x14ac:dyDescent="0.2">
      <c r="A38" s="24"/>
      <c r="B38" s="55"/>
      <c r="C38" s="55"/>
      <c r="D38" s="55"/>
      <c r="E38" s="55"/>
      <c r="F38" s="55"/>
      <c r="G38" s="55"/>
      <c r="H38" s="55"/>
      <c r="I38" s="55"/>
      <c r="J38" s="55"/>
      <c r="K38" s="55"/>
    </row>
    <row r="39" spans="1:15" ht="12" thickBot="1" x14ac:dyDescent="0.25">
      <c r="A39" s="23" t="s">
        <v>896</v>
      </c>
      <c r="B39" s="58">
        <f>SUM(B35:B38)</f>
        <v>10698311.1</v>
      </c>
      <c r="C39" s="55"/>
      <c r="D39" s="55"/>
      <c r="E39" s="58">
        <f>SUM(E35:E38)</f>
        <v>4095144.0500000003</v>
      </c>
      <c r="F39" s="55"/>
      <c r="G39" s="55"/>
      <c r="H39" s="58">
        <f>SUM(H35:H38)</f>
        <v>1157956</v>
      </c>
      <c r="I39" s="55"/>
      <c r="J39" s="55"/>
      <c r="K39" s="58">
        <f>SUM(K35:K38)</f>
        <v>937823</v>
      </c>
    </row>
    <row r="40" spans="1:15" ht="12" thickTop="1" x14ac:dyDescent="0.2">
      <c r="A40" s="16"/>
      <c r="B40" s="55"/>
      <c r="C40" s="55"/>
      <c r="D40" s="55"/>
      <c r="E40" s="55"/>
      <c r="F40" s="55"/>
      <c r="G40" s="55"/>
      <c r="H40" s="55"/>
      <c r="I40" s="55"/>
      <c r="J40" s="55"/>
      <c r="K40" s="55"/>
    </row>
    <row r="41" spans="1:15" ht="12" thickBot="1" x14ac:dyDescent="0.25">
      <c r="A41" s="16" t="s">
        <v>897</v>
      </c>
      <c r="B41" s="59">
        <f>+B39*0.1</f>
        <v>1069831.1100000001</v>
      </c>
      <c r="C41" s="55"/>
      <c r="D41" s="55"/>
      <c r="E41" s="59">
        <f>+E39*0.1</f>
        <v>409514.40500000003</v>
      </c>
      <c r="F41" s="55"/>
      <c r="G41" s="55"/>
      <c r="H41" s="59">
        <f>+H39*0.1</f>
        <v>115795.6</v>
      </c>
      <c r="I41" s="55"/>
      <c r="J41" s="55"/>
      <c r="K41" s="59">
        <f>+K39*0.1</f>
        <v>93782.3</v>
      </c>
    </row>
    <row r="42" spans="1:15" ht="12" thickTop="1" x14ac:dyDescent="0.2">
      <c r="A42" s="24"/>
      <c r="B42" s="55"/>
      <c r="C42" s="55"/>
      <c r="D42" s="55"/>
      <c r="E42" s="55"/>
      <c r="F42" s="55"/>
      <c r="G42" s="55"/>
      <c r="H42" s="55"/>
      <c r="I42" s="55"/>
      <c r="J42" s="55"/>
      <c r="K42" s="55"/>
    </row>
    <row r="43" spans="1:15" x14ac:dyDescent="0.2">
      <c r="A43" s="24"/>
      <c r="B43" s="55"/>
      <c r="C43" s="55"/>
      <c r="D43" s="55"/>
      <c r="E43" s="55"/>
      <c r="F43" s="55"/>
      <c r="G43" s="55"/>
      <c r="H43" s="55"/>
      <c r="I43" s="55"/>
      <c r="J43" s="55"/>
      <c r="K43" s="55"/>
    </row>
    <row r="44" spans="1:15" ht="12" thickBot="1" x14ac:dyDescent="0.25">
      <c r="A44" s="16" t="s">
        <v>898</v>
      </c>
      <c r="B44" s="58">
        <f>B39+B29</f>
        <v>36567162.100000001</v>
      </c>
      <c r="C44" s="55"/>
      <c r="D44" s="55"/>
      <c r="E44" s="58">
        <f>E39+E29</f>
        <v>13236636.050000001</v>
      </c>
      <c r="F44" s="55"/>
      <c r="G44" s="55"/>
      <c r="H44" s="58">
        <f>H39+H29</f>
        <v>92569089</v>
      </c>
      <c r="I44" s="55"/>
      <c r="J44" s="55"/>
      <c r="K44" s="58">
        <f>K39+K29</f>
        <v>92966158</v>
      </c>
    </row>
    <row r="45" spans="1:15" ht="12" thickTop="1" x14ac:dyDescent="0.2">
      <c r="A45" s="16"/>
      <c r="B45" s="55"/>
      <c r="C45" s="55"/>
      <c r="D45" s="55"/>
      <c r="E45" s="55"/>
      <c r="F45" s="55"/>
      <c r="G45" s="55"/>
      <c r="H45" s="55"/>
      <c r="I45" s="55"/>
      <c r="J45" s="55"/>
      <c r="K45" s="55"/>
    </row>
    <row r="46" spans="1:15" ht="12" thickBot="1" x14ac:dyDescent="0.25">
      <c r="A46" s="16" t="s">
        <v>899</v>
      </c>
      <c r="B46" s="59">
        <f>+B44*0.05</f>
        <v>1828358.1050000002</v>
      </c>
      <c r="C46" s="55"/>
      <c r="D46" s="55"/>
      <c r="E46" s="59">
        <f>+E44*0.05</f>
        <v>661831.80250000011</v>
      </c>
      <c r="F46" s="55"/>
      <c r="G46" s="55"/>
      <c r="H46" s="59">
        <f>+H44*0.05</f>
        <v>4628454.45</v>
      </c>
      <c r="I46" s="55"/>
      <c r="J46" s="55"/>
      <c r="K46" s="59">
        <f>+K44*0.05</f>
        <v>4648307.9000000004</v>
      </c>
    </row>
    <row r="47" spans="1:15" ht="12" thickTop="1" x14ac:dyDescent="0.2">
      <c r="A47" s="24"/>
    </row>
    <row r="48" spans="1:15" x14ac:dyDescent="0.2">
      <c r="A48" s="24"/>
    </row>
    <row r="49" spans="1:1" x14ac:dyDescent="0.2">
      <c r="A49" s="23"/>
    </row>
    <row r="52" spans="1:1" x14ac:dyDescent="0.2">
      <c r="A52" s="22"/>
    </row>
    <row r="53" spans="1:1" x14ac:dyDescent="0.2">
      <c r="A53" s="25"/>
    </row>
    <row r="54" spans="1:1" x14ac:dyDescent="0.2">
      <c r="A54" s="22"/>
    </row>
    <row r="55" spans="1:1" x14ac:dyDescent="0.2">
      <c r="A55" s="25"/>
    </row>
    <row r="56" spans="1:1" x14ac:dyDescent="0.2">
      <c r="A56" s="25"/>
    </row>
    <row r="57" spans="1:1" x14ac:dyDescent="0.2">
      <c r="A57" s="25"/>
    </row>
    <row r="60" spans="1:1" x14ac:dyDescent="0.2">
      <c r="A60" s="22"/>
    </row>
  </sheetData>
  <customSheetViews>
    <customSheetView guid="{E0C60316-4586-4AAF-92CB-FA82BB1EB755}">
      <pane xSplit="1" ySplit="10" topLeftCell="B11" activePane="bottomRight" state="frozen"/>
      <selection pane="bottomRight" activeCell="B28" sqref="B28"/>
      <rowBreaks count="1" manualBreakCount="1">
        <brk id="40" max="14" man="1"/>
      </rowBreaks>
      <pageMargins left="0" right="0" top="0" bottom="0" header="0" footer="0"/>
      <printOptions horizontalCentered="1"/>
      <pageSetup scale="86" firstPageNumber="127" orientation="landscape" useFirstPageNumber="1" r:id="rId1"/>
      <headerFooter alignWithMargins="0"/>
    </customSheetView>
    <customSheetView guid="{A8748736-0722-49EB-85B6-C9B52DDCFE0E}" showPageBreaks="1" fitToPage="1" printArea="1" topLeftCell="A4">
      <selection activeCell="B22" sqref="B22"/>
      <rowBreaks count="1" manualBreakCount="1">
        <brk id="47" max="14" man="1"/>
      </rowBreaks>
      <pageMargins left="0.75" right="0.75" top="1" bottom="1" header="0.5" footer="0.5"/>
      <printOptions horizontalCentered="1"/>
      <pageSetup scale="75" firstPageNumber="127" orientation="landscape" useFirstPageNumber="1" r:id="rId2"/>
      <headerFooter alignWithMargins="0"/>
    </customSheetView>
  </customSheetViews>
  <mergeCells count="4">
    <mergeCell ref="C8:D8"/>
    <mergeCell ref="F8:G8"/>
    <mergeCell ref="I8:J8"/>
    <mergeCell ref="L8:M8"/>
  </mergeCells>
  <phoneticPr fontId="0" type="noConversion"/>
  <printOptions horizontalCentered="1"/>
  <pageMargins left="0.75" right="0.75" top="1" bottom="1" header="0.5" footer="0.5"/>
  <pageSetup scale="75" firstPageNumber="127" orientation="landscape" useFirstPageNumber="1" r:id="rId3"/>
  <headerFooter alignWithMargins="0"/>
  <rowBreaks count="1" manualBreakCount="1">
    <brk id="47" max="14"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3CBB5-FC5E-4FE4-8687-4002A51F1956}">
  <dimension ref="B2:H16"/>
  <sheetViews>
    <sheetView workbookViewId="0"/>
  </sheetViews>
  <sheetFormatPr defaultRowHeight="12.75" x14ac:dyDescent="0.2"/>
  <cols>
    <col min="2" max="2" width="45.42578125" style="310" customWidth="1"/>
    <col min="3" max="3" width="39.42578125" style="88" customWidth="1"/>
    <col min="4" max="4" width="16" bestFit="1" customWidth="1"/>
    <col min="6" max="6" width="66.85546875" style="88" customWidth="1"/>
    <col min="7" max="7" width="30.5703125" customWidth="1"/>
    <col min="8" max="8" width="16.85546875" customWidth="1"/>
  </cols>
  <sheetData>
    <row r="2" spans="2:8" ht="15" x14ac:dyDescent="0.2">
      <c r="B2" s="577" t="s">
        <v>920</v>
      </c>
    </row>
    <row r="3" spans="2:8" ht="15" x14ac:dyDescent="0.2">
      <c r="B3" s="577"/>
    </row>
    <row r="4" spans="2:8" ht="57" x14ac:dyDescent="0.2">
      <c r="B4" s="578" t="s">
        <v>928</v>
      </c>
      <c r="C4" s="583" t="s">
        <v>922</v>
      </c>
      <c r="D4" s="293">
        <f>+'GWNetPos 68 Exh 1'!F56</f>
        <v>20964496.199999999</v>
      </c>
      <c r="F4" s="588" t="s">
        <v>941</v>
      </c>
      <c r="G4" s="589" t="s">
        <v>939</v>
      </c>
    </row>
    <row r="5" spans="2:8" ht="28.5" x14ac:dyDescent="0.25">
      <c r="B5" s="578" t="s">
        <v>929</v>
      </c>
      <c r="C5" s="584" t="s">
        <v>921</v>
      </c>
      <c r="D5" s="293">
        <f>+'GWStmtAct 68 Exh 2'!N45</f>
        <v>-4305117</v>
      </c>
      <c r="F5" s="588" t="s">
        <v>943</v>
      </c>
      <c r="G5" s="584" t="s">
        <v>921</v>
      </c>
      <c r="H5" s="293">
        <f>+'GWStmtAct 68 Exh 2'!N45</f>
        <v>-4305117</v>
      </c>
    </row>
    <row r="6" spans="2:8" ht="42.75" x14ac:dyDescent="0.2">
      <c r="B6" s="578" t="s">
        <v>931</v>
      </c>
      <c r="C6" s="585" t="s">
        <v>925</v>
      </c>
      <c r="D6" s="293">
        <f>+'Rev, exp, chgs in fb Exh 4'!J58</f>
        <v>16727359</v>
      </c>
      <c r="F6" s="588" t="s">
        <v>942</v>
      </c>
    </row>
    <row r="7" spans="2:8" ht="28.5" x14ac:dyDescent="0.2">
      <c r="B7" s="578" t="s">
        <v>930</v>
      </c>
      <c r="D7" s="293">
        <f>+'Rev, exp, chgs in fb Exh 4'!J53</f>
        <v>904816</v>
      </c>
      <c r="F7" s="588" t="s">
        <v>940</v>
      </c>
    </row>
    <row r="8" spans="2:8" ht="14.25" x14ac:dyDescent="0.2">
      <c r="B8" s="578" t="s">
        <v>932</v>
      </c>
      <c r="D8" s="581">
        <f>(+'Balance Sheet Exh 3'!J35+'Balance Sheet Exh 3'!J36+'Balance Sheet Exh 3'!J37+'Balance Sheet Exh 3'!J38+'Balance Sheet Exh 3'!J39+'Balance Sheet Exh 3'!J42+'Balance Sheet Exh 3'!J32+'Balance Sheet Exh 3'!J33)/'Rev, exp, chgs in fb Exh 4'!J58</f>
        <v>0.43909615379211986</v>
      </c>
    </row>
    <row r="9" spans="2:8" ht="63.75" x14ac:dyDescent="0.2">
      <c r="B9" s="578" t="s">
        <v>933</v>
      </c>
      <c r="C9" s="586" t="s">
        <v>936</v>
      </c>
      <c r="D9" s="580">
        <f>+'Balance Sheet Exh 3'!J35+'Balance Sheet Exh 3'!J36+'Balance Sheet Exh 3'!J37+'Balance Sheet Exh 3'!J38+'Balance Sheet Exh 3'!J39+'Balance Sheet Exh 3'!J42+'Balance Sheet Exh 3'!J32+'Balance Sheet Exh 3'!J33</f>
        <v>7344919</v>
      </c>
    </row>
    <row r="10" spans="2:8" ht="42.75" x14ac:dyDescent="0.2">
      <c r="B10" s="578" t="s">
        <v>935</v>
      </c>
      <c r="C10" s="585" t="s">
        <v>937</v>
      </c>
      <c r="D10" s="293">
        <f>+'Balance Sheet Exh 3'!J50</f>
        <v>7279211</v>
      </c>
    </row>
    <row r="11" spans="2:8" ht="28.5" x14ac:dyDescent="0.2">
      <c r="B11" s="578" t="s">
        <v>934</v>
      </c>
      <c r="C11" s="587" t="s">
        <v>938</v>
      </c>
      <c r="D11" s="582">
        <f>+'Balance Sheet Exh 3'!J50/('Rev, exp, chgs in fb Exh 4'!J39-'Rev, exp, chgs in fb Exh 4'!J44)</f>
        <v>7.7006364948556602E-2</v>
      </c>
    </row>
    <row r="12" spans="2:8" x14ac:dyDescent="0.2">
      <c r="B12" s="579" t="s">
        <v>923</v>
      </c>
    </row>
    <row r="13" spans="2:8" x14ac:dyDescent="0.2">
      <c r="B13" s="579" t="s">
        <v>924</v>
      </c>
    </row>
    <row r="15" spans="2:8" x14ac:dyDescent="0.2">
      <c r="B15" s="579" t="s">
        <v>926</v>
      </c>
    </row>
    <row r="16" spans="2:8" x14ac:dyDescent="0.2">
      <c r="B16" s="579" t="s">
        <v>927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V39"/>
  <sheetViews>
    <sheetView workbookViewId="0">
      <selection activeCell="D6" sqref="D6"/>
    </sheetView>
  </sheetViews>
  <sheetFormatPr defaultColWidth="9.140625" defaultRowHeight="12.75" x14ac:dyDescent="0.2"/>
  <cols>
    <col min="1" max="3" width="2.7109375" style="310" customWidth="1"/>
    <col min="4" max="4" width="45.7109375" style="310" customWidth="1"/>
    <col min="5" max="5" width="10.7109375" style="310" customWidth="1"/>
    <col min="6" max="6" width="16.140625" style="310" bestFit="1" customWidth="1"/>
    <col min="7" max="7" width="12.85546875" style="310" hidden="1" customWidth="1"/>
    <col min="8" max="8" width="13.140625" style="310" hidden="1" customWidth="1"/>
    <col min="9" max="9" width="13.7109375" style="310" hidden="1" customWidth="1"/>
    <col min="10" max="10" width="0" style="310" hidden="1" customWidth="1"/>
    <col min="11" max="11" width="10.28515625" style="310" hidden="1" customWidth="1"/>
    <col min="12" max="15" width="0" style="310" hidden="1" customWidth="1"/>
    <col min="16" max="16384" width="9.140625" style="310"/>
  </cols>
  <sheetData>
    <row r="1" spans="1:13" x14ac:dyDescent="0.2">
      <c r="A1" s="29" t="str">
        <f>'GWNetPos 68 Exh 1'!A1:J1</f>
        <v>Carolina County, North Carolina</v>
      </c>
      <c r="B1" s="29"/>
      <c r="C1" s="29"/>
      <c r="D1" s="29"/>
      <c r="E1" s="29"/>
      <c r="F1" s="344"/>
    </row>
    <row r="2" spans="1:13" x14ac:dyDescent="0.2">
      <c r="A2" s="990" t="s">
        <v>139</v>
      </c>
      <c r="B2" s="990"/>
      <c r="C2" s="990"/>
      <c r="D2" s="990"/>
      <c r="E2" s="990"/>
      <c r="F2" s="990"/>
      <c r="I2" s="322"/>
    </row>
    <row r="3" spans="1:13" x14ac:dyDescent="0.2">
      <c r="A3" s="990" t="s">
        <v>102</v>
      </c>
      <c r="B3" s="990"/>
      <c r="C3" s="990"/>
      <c r="D3" s="990"/>
      <c r="E3" s="990"/>
      <c r="F3" s="990"/>
      <c r="H3" s="745"/>
    </row>
    <row r="4" spans="1:13" x14ac:dyDescent="0.2">
      <c r="A4" s="990" t="str">
        <f>'GWStmtAct 68 Exh 2'!A3</f>
        <v>For the Year Ended June 30, 2025</v>
      </c>
      <c r="B4" s="990"/>
      <c r="C4" s="990"/>
      <c r="D4" s="990"/>
      <c r="E4" s="990"/>
      <c r="F4" s="990"/>
      <c r="H4" s="745"/>
    </row>
    <row r="5" spans="1:13" x14ac:dyDescent="0.2">
      <c r="A5" s="34"/>
      <c r="B5" s="34"/>
      <c r="C5" s="34"/>
      <c r="D5" s="34"/>
      <c r="E5" s="34"/>
      <c r="F5" s="434" t="s">
        <v>179</v>
      </c>
      <c r="H5" s="745"/>
      <c r="I5" s="834" t="s">
        <v>1106</v>
      </c>
    </row>
    <row r="6" spans="1:13" ht="13.5" thickBot="1" x14ac:dyDescent="0.25">
      <c r="A6" s="677"/>
      <c r="B6" s="677"/>
      <c r="C6" s="677"/>
      <c r="D6" s="677"/>
      <c r="E6" s="677"/>
      <c r="F6" s="677"/>
      <c r="H6" s="745"/>
    </row>
    <row r="7" spans="1:13" x14ac:dyDescent="0.2">
      <c r="A7" s="310" t="s">
        <v>180</v>
      </c>
      <c r="H7" s="745"/>
    </row>
    <row r="8" spans="1:13" x14ac:dyDescent="0.2">
      <c r="B8" s="310" t="s">
        <v>181</v>
      </c>
      <c r="H8" s="745"/>
    </row>
    <row r="9" spans="1:13" x14ac:dyDescent="0.2">
      <c r="H9" s="745"/>
    </row>
    <row r="10" spans="1:13" x14ac:dyDescent="0.2">
      <c r="C10" s="310" t="s">
        <v>182</v>
      </c>
      <c r="F10" s="861">
        <f>'Rev, exp, chgs in fb Exh 4'!J53</f>
        <v>904816</v>
      </c>
      <c r="H10" s="745" t="s">
        <v>1080</v>
      </c>
    </row>
    <row r="11" spans="1:13" x14ac:dyDescent="0.2">
      <c r="C11" s="310" t="s">
        <v>183</v>
      </c>
      <c r="F11" s="299">
        <f>+'Rev, exp, chgs in fb Exh 4'!J57</f>
        <v>122974</v>
      </c>
      <c r="H11" s="861" t="s">
        <v>1080</v>
      </c>
    </row>
    <row r="12" spans="1:13" ht="51.75" customHeight="1" x14ac:dyDescent="0.2">
      <c r="D12" s="460" t="s">
        <v>1175</v>
      </c>
      <c r="E12" s="745"/>
      <c r="F12" s="613">
        <v>-1023466</v>
      </c>
      <c r="H12" s="902"/>
      <c r="I12" s="902">
        <f>+'Rev, exp, chgs in fb Exh 4'!J33</f>
        <v>1826519</v>
      </c>
      <c r="J12" s="310" t="s">
        <v>1129</v>
      </c>
      <c r="K12" s="310" t="s">
        <v>1080</v>
      </c>
    </row>
    <row r="13" spans="1:13" ht="12.75" customHeight="1" x14ac:dyDescent="0.2">
      <c r="D13" s="460" t="s">
        <v>1173</v>
      </c>
      <c r="E13" s="745"/>
      <c r="F13" s="613">
        <v>-4000000</v>
      </c>
      <c r="H13" s="902"/>
      <c r="I13" s="902"/>
    </row>
    <row r="14" spans="1:13" x14ac:dyDescent="0.2">
      <c r="D14" s="745"/>
      <c r="E14" s="745"/>
      <c r="F14" s="902"/>
      <c r="H14" s="745"/>
      <c r="I14" s="902">
        <v>1148385</v>
      </c>
      <c r="J14" s="310" t="s">
        <v>1128</v>
      </c>
      <c r="K14" s="310" t="s">
        <v>1130</v>
      </c>
      <c r="L14" s="310">
        <v>1000</v>
      </c>
      <c r="M14" s="324">
        <f>+I12-I14-L14</f>
        <v>677134</v>
      </c>
    </row>
    <row r="15" spans="1:13" ht="38.25" x14ac:dyDescent="0.2">
      <c r="D15" s="756" t="s">
        <v>966</v>
      </c>
      <c r="E15" s="745"/>
      <c r="F15" s="902"/>
      <c r="H15" s="745"/>
    </row>
    <row r="16" spans="1:13" x14ac:dyDescent="0.2">
      <c r="D16" s="839" t="s">
        <v>963</v>
      </c>
      <c r="E16" s="613">
        <f>+'Balance Sheet Exh 3'!J70</f>
        <v>950950</v>
      </c>
      <c r="F16" s="745"/>
      <c r="H16" s="745" t="s">
        <v>1080</v>
      </c>
    </row>
    <row r="17" spans="4:22" ht="15" customHeight="1" x14ac:dyDescent="0.2">
      <c r="D17" s="839" t="s">
        <v>964</v>
      </c>
      <c r="E17" s="850">
        <f>+'Balance Sheet Exh 3'!J72</f>
        <v>17279</v>
      </c>
      <c r="F17" s="745"/>
      <c r="H17" s="745" t="s">
        <v>1080</v>
      </c>
    </row>
    <row r="18" spans="4:22" x14ac:dyDescent="0.2">
      <c r="D18" s="839" t="s">
        <v>962</v>
      </c>
      <c r="E18" s="613">
        <f>+'Balance Sheet Exh 3'!J71</f>
        <v>3200</v>
      </c>
      <c r="F18" s="745"/>
      <c r="H18" s="745" t="s">
        <v>1080</v>
      </c>
    </row>
    <row r="19" spans="4:22" x14ac:dyDescent="0.2">
      <c r="D19" s="839" t="s">
        <v>965</v>
      </c>
      <c r="E19" s="901">
        <f>+'Balance Sheet Exh 3'!J73</f>
        <v>40850</v>
      </c>
      <c r="F19" s="613">
        <f>SUM(E16:E19)</f>
        <v>1012279</v>
      </c>
      <c r="G19" s="324"/>
      <c r="H19" s="745" t="s">
        <v>1080</v>
      </c>
    </row>
    <row r="20" spans="4:22" x14ac:dyDescent="0.2">
      <c r="D20" s="745"/>
      <c r="E20" s="745"/>
      <c r="F20" s="902"/>
      <c r="H20" s="745"/>
    </row>
    <row r="21" spans="4:22" ht="65.25" customHeight="1" x14ac:dyDescent="0.2">
      <c r="D21" s="460" t="s">
        <v>1177</v>
      </c>
      <c r="E21" s="745"/>
      <c r="F21" s="613">
        <v>-1811126</v>
      </c>
      <c r="H21" s="902"/>
      <c r="I21" s="834" t="s">
        <v>1131</v>
      </c>
      <c r="K21" s="310" t="s">
        <v>1132</v>
      </c>
    </row>
    <row r="22" spans="4:22" x14ac:dyDescent="0.2">
      <c r="D22" s="745"/>
      <c r="E22" s="745"/>
      <c r="F22" s="902"/>
      <c r="H22" s="745"/>
    </row>
    <row r="23" spans="4:22" ht="102.75" customHeight="1" x14ac:dyDescent="0.2">
      <c r="D23" s="460" t="s">
        <v>1174</v>
      </c>
      <c r="E23" s="745"/>
      <c r="F23" s="613">
        <v>-942612</v>
      </c>
      <c r="H23" s="902"/>
      <c r="I23" s="324" t="s">
        <v>1133</v>
      </c>
      <c r="K23" s="902">
        <f>-'Rev, exp, chgs in fb Exh 4'!J49+'Rev, exp, chgs in fb Exh 4'!J35+'Rev, exp, chgs in fb Exh 4'!J36+'Rev, exp, chgs in fb Exh 4'!J37</f>
        <v>4725482</v>
      </c>
      <c r="L23" s="310" t="s">
        <v>1134</v>
      </c>
      <c r="N23" s="902">
        <f>4893536-K23</f>
        <v>168054</v>
      </c>
      <c r="O23" s="310" t="s">
        <v>1135</v>
      </c>
      <c r="Q23" s="745"/>
    </row>
    <row r="24" spans="4:22" ht="12.6" customHeight="1" x14ac:dyDescent="0.2">
      <c r="D24" s="756"/>
      <c r="E24" s="745"/>
      <c r="F24" s="902"/>
      <c r="H24" s="902"/>
      <c r="I24" s="324"/>
    </row>
    <row r="25" spans="4:22" ht="66" customHeight="1" x14ac:dyDescent="0.2">
      <c r="D25" s="756" t="s">
        <v>1176</v>
      </c>
      <c r="E25" s="745"/>
      <c r="F25" s="613">
        <v>-112516</v>
      </c>
      <c r="H25" s="902"/>
      <c r="I25" s="324" t="s">
        <v>1136</v>
      </c>
      <c r="Q25" s="745"/>
    </row>
    <row r="26" spans="4:22" ht="12" customHeight="1" x14ac:dyDescent="0.2">
      <c r="D26" s="756"/>
      <c r="E26" s="745"/>
      <c r="F26" s="902"/>
      <c r="H26" s="902"/>
      <c r="I26" s="324"/>
    </row>
    <row r="27" spans="4:22" ht="79.5" customHeight="1" x14ac:dyDescent="0.2">
      <c r="D27" s="756" t="s">
        <v>967</v>
      </c>
      <c r="E27" s="745"/>
      <c r="F27" s="902">
        <f>19163+15000</f>
        <v>34163</v>
      </c>
      <c r="H27" s="902"/>
      <c r="I27" s="324" t="s">
        <v>1137</v>
      </c>
      <c r="Q27" s="745"/>
      <c r="R27" s="745"/>
      <c r="S27" s="745"/>
      <c r="T27" s="745"/>
      <c r="U27" s="745"/>
      <c r="V27" s="745"/>
    </row>
    <row r="28" spans="4:22" x14ac:dyDescent="0.2">
      <c r="D28" s="756"/>
      <c r="E28" s="745"/>
      <c r="F28" s="902"/>
      <c r="H28" s="910"/>
      <c r="I28" s="326"/>
      <c r="Q28" s="745"/>
      <c r="R28" s="745"/>
      <c r="S28" s="745"/>
      <c r="T28" s="745"/>
      <c r="U28" s="745"/>
      <c r="V28" s="745"/>
    </row>
    <row r="29" spans="4:22" ht="51" x14ac:dyDescent="0.2">
      <c r="D29" s="756" t="s">
        <v>184</v>
      </c>
      <c r="E29" s="745"/>
      <c r="F29" s="614">
        <v>1064890</v>
      </c>
      <c r="G29" s="299"/>
      <c r="H29" s="902"/>
      <c r="I29" s="324" t="s">
        <v>1138</v>
      </c>
      <c r="Q29" s="745"/>
      <c r="R29" s="745"/>
      <c r="S29" s="745"/>
      <c r="T29" s="745"/>
      <c r="U29" s="745"/>
      <c r="V29" s="745"/>
    </row>
    <row r="30" spans="4:22" x14ac:dyDescent="0.2">
      <c r="F30" s="324"/>
      <c r="H30" s="745"/>
      <c r="O30" s="357"/>
    </row>
    <row r="31" spans="4:22" ht="13.5" thickBot="1" x14ac:dyDescent="0.25">
      <c r="D31" s="310" t="s">
        <v>185</v>
      </c>
      <c r="F31" s="345">
        <f>SUM(F10:F30)</f>
        <v>-4750598</v>
      </c>
      <c r="G31" s="328">
        <f>F31-'GWStmtAct 68 Exh 2'!J45</f>
        <v>0</v>
      </c>
      <c r="H31" s="861"/>
      <c r="I31" s="302"/>
    </row>
    <row r="32" spans="4:22" ht="13.5" thickTop="1" x14ac:dyDescent="0.2">
      <c r="F32" s="328"/>
      <c r="G32" s="328"/>
      <c r="H32" s="861"/>
      <c r="I32" s="302"/>
    </row>
    <row r="33" spans="1:8" x14ac:dyDescent="0.2">
      <c r="F33" s="902"/>
      <c r="G33" s="328"/>
      <c r="H33" s="861"/>
    </row>
    <row r="34" spans="1:8" x14ac:dyDescent="0.2">
      <c r="A34" s="310" t="str">
        <f>'GWNetPos 68 Exh 1'!A59</f>
        <v>The notes to the financial statements are an integral part of this statement.</v>
      </c>
      <c r="F34" s="328"/>
      <c r="H34" s="745"/>
    </row>
    <row r="35" spans="1:8" x14ac:dyDescent="0.2">
      <c r="F35" s="328"/>
    </row>
    <row r="36" spans="1:8" x14ac:dyDescent="0.2">
      <c r="F36" s="328"/>
    </row>
    <row r="38" spans="1:8" x14ac:dyDescent="0.2">
      <c r="F38" s="328"/>
      <c r="G38" s="328"/>
    </row>
    <row r="39" spans="1:8" x14ac:dyDescent="0.2">
      <c r="F39" s="328"/>
      <c r="G39" s="328"/>
    </row>
  </sheetData>
  <customSheetViews>
    <customSheetView guid="{E0C60316-4586-4AAF-92CB-FA82BB1EB755}">
      <selection activeCell="N15" sqref="N15"/>
      <pageMargins left="0" right="0" top="0" bottom="0" header="0" footer="0"/>
      <printOptions horizontalCentered="1"/>
      <pageSetup scale="86" firstPageNumber="32" fitToHeight="0" orientation="portrait" useFirstPageNumber="1" r:id="rId1"/>
      <headerFooter alignWithMargins="0"/>
    </customSheetView>
    <customSheetView guid="{A8748736-0722-49EB-85B6-C9B52DDCFE0E}" showPageBreaks="1" printArea="1" hiddenColumns="1" topLeftCell="A28">
      <selection activeCell="D26" sqref="D26:D27"/>
      <pageMargins left="0.75" right="0.75" top="1" bottom="1" header="0.5" footer="0.5"/>
      <printOptions horizontalCentered="1"/>
      <pageSetup scale="86" firstPageNumber="32" fitToHeight="0" orientation="portrait" useFirstPageNumber="1" r:id="rId2"/>
      <headerFooter alignWithMargins="0"/>
    </customSheetView>
  </customSheetViews>
  <mergeCells count="3">
    <mergeCell ref="A2:F2"/>
    <mergeCell ref="A3:F3"/>
    <mergeCell ref="A4:F4"/>
  </mergeCells>
  <phoneticPr fontId="0" type="noConversion"/>
  <printOptions horizontalCentered="1"/>
  <pageMargins left="0.75" right="0.75" top="1" bottom="1" header="0.5" footer="0.5"/>
  <pageSetup scale="82" firstPageNumber="32" orientation="portrait" useFirstPageNumber="1" r:id="rId3"/>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B21"/>
  <sheetViews>
    <sheetView workbookViewId="0"/>
  </sheetViews>
  <sheetFormatPr defaultRowHeight="12.75" x14ac:dyDescent="0.2"/>
  <cols>
    <col min="1" max="1" width="24.7109375" customWidth="1"/>
    <col min="2" max="2" width="14" bestFit="1" customWidth="1"/>
  </cols>
  <sheetData>
    <row r="1" spans="1:2" x14ac:dyDescent="0.2">
      <c r="A1" t="s">
        <v>900</v>
      </c>
      <c r="B1" s="315" t="e">
        <f>#REF!</f>
        <v>#REF!</v>
      </c>
    </row>
    <row r="2" spans="1:2" x14ac:dyDescent="0.2">
      <c r="A2" t="s">
        <v>901</v>
      </c>
      <c r="B2">
        <v>0.08</v>
      </c>
    </row>
    <row r="3" spans="1:2" x14ac:dyDescent="0.2">
      <c r="A3" s="310" t="s">
        <v>902</v>
      </c>
      <c r="B3" s="67" t="e">
        <f>B1*B2</f>
        <v>#REF!</v>
      </c>
    </row>
    <row r="4" spans="1:2" x14ac:dyDescent="0.2">
      <c r="B4" s="67"/>
    </row>
    <row r="5" spans="1:2" x14ac:dyDescent="0.2">
      <c r="A5" s="46" t="s">
        <v>903</v>
      </c>
      <c r="B5" s="70">
        <f>'Rev, exp, chgs in fb Exh 4'!B58</f>
        <v>15767304</v>
      </c>
    </row>
    <row r="6" spans="1:2" x14ac:dyDescent="0.2">
      <c r="A6" t="s">
        <v>15</v>
      </c>
      <c r="B6" s="67">
        <f>'Balance Sheet Exh 3'!B32</f>
        <v>2551800</v>
      </c>
    </row>
    <row r="7" spans="1:2" x14ac:dyDescent="0.2">
      <c r="A7" t="s">
        <v>904</v>
      </c>
      <c r="B7" s="67">
        <f>'Balance Sheet Exh 3'!B35</f>
        <v>4155128</v>
      </c>
    </row>
    <row r="8" spans="1:2" x14ac:dyDescent="0.2">
      <c r="A8" s="310" t="s">
        <v>905</v>
      </c>
      <c r="B8" s="67">
        <f>'Balance Sheet Exh 3'!B49</f>
        <v>255000</v>
      </c>
    </row>
    <row r="9" spans="1:2" x14ac:dyDescent="0.2">
      <c r="A9" t="s">
        <v>43</v>
      </c>
      <c r="B9" s="67">
        <f>'Balance Sheet Exh 3'!B36</f>
        <v>17285</v>
      </c>
    </row>
    <row r="10" spans="1:2" x14ac:dyDescent="0.2">
      <c r="A10" t="s">
        <v>119</v>
      </c>
      <c r="B10" s="67">
        <f>'Balance Sheet Exh 3'!B44</f>
        <v>471723</v>
      </c>
    </row>
    <row r="11" spans="1:2" x14ac:dyDescent="0.2">
      <c r="A11" s="310" t="s">
        <v>906</v>
      </c>
      <c r="B11" s="299">
        <v>1028267</v>
      </c>
    </row>
    <row r="12" spans="1:2" x14ac:dyDescent="0.2">
      <c r="A12" t="s">
        <v>907</v>
      </c>
      <c r="B12" s="67" t="e">
        <f>B3</f>
        <v>#REF!</v>
      </c>
    </row>
    <row r="13" spans="1:2" x14ac:dyDescent="0.2">
      <c r="A13" s="68" t="s">
        <v>903</v>
      </c>
      <c r="B13" s="69" t="e">
        <f>SUM(B6:B12)</f>
        <v>#REF!</v>
      </c>
    </row>
    <row r="14" spans="1:2" x14ac:dyDescent="0.2">
      <c r="A14" t="s">
        <v>908</v>
      </c>
      <c r="B14" s="67" t="e">
        <f>B5-B13</f>
        <v>#REF!</v>
      </c>
    </row>
    <row r="19" spans="1:1" x14ac:dyDescent="0.2">
      <c r="A19" t="s">
        <v>909</v>
      </c>
    </row>
    <row r="20" spans="1:1" x14ac:dyDescent="0.2">
      <c r="A20" t="s">
        <v>910</v>
      </c>
    </row>
    <row r="21" spans="1:1" x14ac:dyDescent="0.2">
      <c r="A21" t="s">
        <v>911</v>
      </c>
    </row>
  </sheetData>
  <customSheetViews>
    <customSheetView guid="{E0C60316-4586-4AAF-92CB-FA82BB1EB755}">
      <selection activeCell="A22" sqref="A22"/>
      <pageMargins left="0" right="0" top="0" bottom="0" header="0" footer="0"/>
      <pageSetup orientation="portrait" horizontalDpi="1200" verticalDpi="1200" r:id="rId1"/>
    </customSheetView>
    <customSheetView guid="{A8748736-0722-49EB-85B6-C9B52DDCFE0E}" state="hidden">
      <pageMargins left="0.7" right="0.7" top="0.75" bottom="0.75" header="0.3" footer="0.3"/>
      <pageSetup orientation="portrait" horizontalDpi="1200" verticalDpi="1200" r:id="rId2"/>
    </customSheetView>
  </customSheetViews>
  <pageMargins left="0.7" right="0.7" top="0.75" bottom="0.75" header="0.3" footer="0.3"/>
  <pageSetup orientation="portrait" horizontalDpi="1200" verticalDpi="1200"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080C3-C3F5-4375-906C-1E75041B864C}">
  <sheetPr>
    <tabColor rgb="FF00FF00"/>
    <pageSetUpPr fitToPage="1"/>
  </sheetPr>
  <dimension ref="A1:O73"/>
  <sheetViews>
    <sheetView workbookViewId="0">
      <selection activeCell="K5" sqref="K5"/>
    </sheetView>
  </sheetViews>
  <sheetFormatPr defaultColWidth="9.140625" defaultRowHeight="12.75" x14ac:dyDescent="0.2"/>
  <cols>
    <col min="1" max="1" width="1" customWidth="1"/>
    <col min="2" max="3" width="1.7109375" customWidth="1"/>
    <col min="4" max="4" width="33" bestFit="1" customWidth="1"/>
    <col min="5" max="5" width="13.7109375" customWidth="1"/>
    <col min="6" max="6" width="1.7109375" customWidth="1"/>
    <col min="7" max="7" width="13.85546875" customWidth="1"/>
    <col min="8" max="8" width="1.7109375" customWidth="1"/>
    <col min="9" max="9" width="14.42578125" customWidth="1"/>
    <col min="10" max="10" width="1.7109375" customWidth="1"/>
    <col min="11" max="11" width="12.7109375" customWidth="1"/>
    <col min="12" max="12" width="12.42578125" customWidth="1"/>
    <col min="13" max="13" width="13" hidden="1" customWidth="1"/>
    <col min="15" max="15" width="12.140625" bestFit="1" customWidth="1"/>
  </cols>
  <sheetData>
    <row r="1" spans="1:14" x14ac:dyDescent="0.2">
      <c r="B1" s="111"/>
      <c r="D1" s="1016" t="s">
        <v>0</v>
      </c>
      <c r="E1" s="1016"/>
      <c r="F1" s="1016"/>
      <c r="G1" s="1016"/>
      <c r="H1" s="1016"/>
      <c r="I1" s="1016"/>
      <c r="J1" s="1016"/>
      <c r="K1" s="1016"/>
      <c r="L1" s="1016"/>
    </row>
    <row r="2" spans="1:14" x14ac:dyDescent="0.2">
      <c r="B2" s="111"/>
      <c r="D2" s="1016" t="s">
        <v>140</v>
      </c>
      <c r="E2" s="1016"/>
      <c r="F2" s="1016"/>
      <c r="G2" s="1016"/>
      <c r="H2" s="1016"/>
      <c r="I2" s="1016"/>
      <c r="J2" s="1016"/>
      <c r="K2" s="1016"/>
      <c r="L2" s="1016"/>
    </row>
    <row r="3" spans="1:14" x14ac:dyDescent="0.2">
      <c r="B3" s="111"/>
      <c r="D3" s="1016" t="s">
        <v>968</v>
      </c>
      <c r="E3" s="1016"/>
      <c r="F3" s="1016"/>
      <c r="G3" s="1016"/>
      <c r="H3" s="1016"/>
      <c r="I3" s="1016"/>
      <c r="J3" s="1016"/>
      <c r="K3" s="1016"/>
      <c r="L3" s="1016"/>
    </row>
    <row r="4" spans="1:14" s="310" customFormat="1" x14ac:dyDescent="0.2">
      <c r="B4" s="111"/>
      <c r="D4" s="990" t="str">
        <f>'GWStmtAct 68 Exh 2'!A3</f>
        <v>For the Year Ended June 30, 2025</v>
      </c>
      <c r="E4" s="990"/>
      <c r="F4" s="990"/>
      <c r="G4" s="990"/>
      <c r="H4" s="990"/>
      <c r="I4" s="990"/>
      <c r="J4" s="990"/>
      <c r="K4" s="990"/>
      <c r="L4" s="93"/>
    </row>
    <row r="5" spans="1:14" s="310" customFormat="1" x14ac:dyDescent="0.2">
      <c r="B5" s="111"/>
      <c r="D5" s="34"/>
      <c r="E5" s="34"/>
      <c r="F5" s="34"/>
      <c r="G5" s="34"/>
      <c r="H5" s="34"/>
      <c r="I5" s="34"/>
      <c r="J5" s="34"/>
      <c r="K5" s="616" t="s">
        <v>186</v>
      </c>
      <c r="L5" s="93"/>
    </row>
    <row r="6" spans="1:14" ht="13.5" thickBot="1" x14ac:dyDescent="0.25">
      <c r="A6" s="66"/>
      <c r="B6" s="680"/>
      <c r="C6" s="680"/>
      <c r="D6" s="680"/>
      <c r="E6" s="680"/>
      <c r="F6" s="680"/>
      <c r="G6" s="680"/>
      <c r="H6" s="680"/>
      <c r="I6" s="680"/>
      <c r="J6" s="680"/>
      <c r="K6" s="680"/>
      <c r="L6" s="26"/>
    </row>
    <row r="7" spans="1:14" x14ac:dyDescent="0.2">
      <c r="B7" s="26"/>
      <c r="C7" s="26"/>
      <c r="D7" s="26"/>
      <c r="E7" s="926" t="s">
        <v>140</v>
      </c>
      <c r="F7" s="926"/>
      <c r="G7" s="927"/>
      <c r="H7" s="927"/>
      <c r="I7" s="927"/>
      <c r="J7" s="111"/>
      <c r="K7" s="90"/>
      <c r="L7" s="113"/>
    </row>
    <row r="8" spans="1:14" ht="36" x14ac:dyDescent="0.2">
      <c r="B8" s="26"/>
      <c r="C8" s="26"/>
      <c r="D8" s="26"/>
      <c r="E8" s="925" t="s">
        <v>188</v>
      </c>
      <c r="F8" s="828"/>
      <c r="G8" s="925" t="s">
        <v>189</v>
      </c>
      <c r="H8" s="828"/>
      <c r="I8" s="925" t="s">
        <v>969</v>
      </c>
      <c r="J8" s="828"/>
      <c r="K8" s="625" t="s">
        <v>1072</v>
      </c>
      <c r="M8" s="828"/>
      <c r="N8" s="798"/>
    </row>
    <row r="9" spans="1:14" x14ac:dyDescent="0.2">
      <c r="B9" s="89" t="s">
        <v>192</v>
      </c>
      <c r="C9" s="26"/>
      <c r="D9" s="26"/>
      <c r="E9" s="26"/>
      <c r="F9" s="26"/>
      <c r="G9" s="26"/>
      <c r="H9" s="26"/>
      <c r="I9" s="26"/>
      <c r="J9" s="26"/>
      <c r="K9" s="26"/>
      <c r="M9" t="s">
        <v>1079</v>
      </c>
    </row>
    <row r="10" spans="1:14" x14ac:dyDescent="0.2">
      <c r="B10" s="26"/>
      <c r="C10" s="89" t="s">
        <v>142</v>
      </c>
      <c r="D10" s="89"/>
      <c r="E10" s="479">
        <v>54812398</v>
      </c>
      <c r="F10" s="479"/>
      <c r="G10" s="479">
        <f>54812398-620000+880000+300000</f>
        <v>55372398</v>
      </c>
      <c r="H10" s="479"/>
      <c r="I10" s="480">
        <f>+GFIS_BA!G15</f>
        <v>55132894</v>
      </c>
      <c r="J10" s="480"/>
      <c r="K10" s="621">
        <f>+I10-G10</f>
        <v>-239504</v>
      </c>
      <c r="M10" t="s">
        <v>1080</v>
      </c>
    </row>
    <row r="11" spans="1:14" x14ac:dyDescent="0.2">
      <c r="B11" s="26"/>
      <c r="C11" s="310" t="s">
        <v>143</v>
      </c>
      <c r="D11" s="89"/>
      <c r="E11" s="481">
        <f>12735000</f>
        <v>12735000</v>
      </c>
      <c r="F11" s="481"/>
      <c r="G11" s="481">
        <f>13235000-1012420+650000</f>
        <v>12872580</v>
      </c>
      <c r="H11" s="481"/>
      <c r="I11" s="482">
        <f>+GFIS_BA!G22</f>
        <v>12849824</v>
      </c>
      <c r="J11" s="482"/>
      <c r="K11" s="621">
        <f>+I11-G11</f>
        <v>-22756</v>
      </c>
      <c r="M11" t="s">
        <v>1080</v>
      </c>
    </row>
    <row r="12" spans="1:14" x14ac:dyDescent="0.2">
      <c r="B12" s="26"/>
      <c r="C12" s="89" t="s">
        <v>85</v>
      </c>
      <c r="D12" s="89"/>
      <c r="E12" s="481">
        <f>247500-45142</f>
        <v>202358</v>
      </c>
      <c r="F12" s="481"/>
      <c r="G12" s="481">
        <f>248469-46111</f>
        <v>202358</v>
      </c>
      <c r="H12" s="481"/>
      <c r="I12" s="481">
        <f>+GFIS_BA!G27</f>
        <v>230360</v>
      </c>
      <c r="J12" s="481"/>
      <c r="K12" s="481">
        <f t="shared" ref="K12:K18" si="0">+I12-G12</f>
        <v>28002</v>
      </c>
      <c r="M12" t="s">
        <v>1080</v>
      </c>
    </row>
    <row r="13" spans="1:14" x14ac:dyDescent="0.2">
      <c r="B13" s="26"/>
      <c r="C13" s="89" t="s">
        <v>144</v>
      </c>
      <c r="D13" s="89"/>
      <c r="E13" s="481">
        <v>60000</v>
      </c>
      <c r="F13" s="481"/>
      <c r="G13" s="481">
        <v>150642</v>
      </c>
      <c r="H13" s="481"/>
      <c r="I13" s="481">
        <f>+GFIS_BA!G33</f>
        <v>145522</v>
      </c>
      <c r="J13" s="481"/>
      <c r="K13" s="481">
        <f t="shared" si="0"/>
        <v>-5120</v>
      </c>
      <c r="M13" t="s">
        <v>1080</v>
      </c>
    </row>
    <row r="14" spans="1:14" x14ac:dyDescent="0.2">
      <c r="B14" s="26"/>
      <c r="C14" s="89" t="s">
        <v>145</v>
      </c>
      <c r="D14" s="89"/>
      <c r="E14" s="481">
        <v>14406151</v>
      </c>
      <c r="F14" s="481"/>
      <c r="G14" s="481">
        <f>13941456+81250</f>
        <v>14022706</v>
      </c>
      <c r="H14" s="481"/>
      <c r="I14" s="481">
        <f>+GFIS_BA!G43</f>
        <v>14057550</v>
      </c>
      <c r="J14" s="481"/>
      <c r="K14" s="481">
        <f t="shared" si="0"/>
        <v>34844</v>
      </c>
      <c r="M14" t="s">
        <v>1080</v>
      </c>
    </row>
    <row r="15" spans="1:14" x14ac:dyDescent="0.2">
      <c r="B15" s="26"/>
      <c r="C15" s="89" t="s">
        <v>146</v>
      </c>
      <c r="D15" s="89"/>
      <c r="E15" s="481">
        <f>354000+45142</f>
        <v>399142</v>
      </c>
      <c r="F15" s="481"/>
      <c r="G15" s="481">
        <f>354069+46111</f>
        <v>400180</v>
      </c>
      <c r="H15" s="481"/>
      <c r="I15" s="481">
        <f>+GFIS_BA!G50</f>
        <v>445049</v>
      </c>
      <c r="J15" s="481"/>
      <c r="K15" s="481">
        <f t="shared" si="0"/>
        <v>44869</v>
      </c>
      <c r="M15" t="s">
        <v>1080</v>
      </c>
    </row>
    <row r="16" spans="1:14" x14ac:dyDescent="0.2">
      <c r="B16" s="26"/>
      <c r="C16" s="89" t="s">
        <v>147</v>
      </c>
      <c r="D16" s="89"/>
      <c r="E16" s="481">
        <v>1038650</v>
      </c>
      <c r="F16" s="481"/>
      <c r="G16" s="481">
        <f>1038700+100000+4000</f>
        <v>1142700</v>
      </c>
      <c r="H16" s="481"/>
      <c r="I16" s="481">
        <f>+GFIS_BA!G59</f>
        <v>1165426</v>
      </c>
      <c r="J16" s="481"/>
      <c r="K16" s="481">
        <f t="shared" si="0"/>
        <v>22726</v>
      </c>
      <c r="M16" t="s">
        <v>1080</v>
      </c>
    </row>
    <row r="17" spans="2:13" x14ac:dyDescent="0.2">
      <c r="B17" s="26"/>
      <c r="C17" s="89" t="s">
        <v>148</v>
      </c>
      <c r="D17" s="89"/>
      <c r="E17" s="481">
        <v>1032500</v>
      </c>
      <c r="F17" s="481"/>
      <c r="G17" s="481">
        <f>1032500+12147+38984+350000+100000</f>
        <v>1533631</v>
      </c>
      <c r="H17" s="481"/>
      <c r="I17" s="481">
        <f>+GFIS_BA!G61</f>
        <v>1562149</v>
      </c>
      <c r="J17" s="481"/>
      <c r="K17" s="481">
        <f t="shared" si="0"/>
        <v>28518</v>
      </c>
      <c r="M17" t="s">
        <v>1080</v>
      </c>
    </row>
    <row r="18" spans="2:13" x14ac:dyDescent="0.2">
      <c r="B18" s="26"/>
      <c r="C18" s="89" t="s">
        <v>149</v>
      </c>
      <c r="D18" s="89"/>
      <c r="E18" s="483">
        <v>147703</v>
      </c>
      <c r="F18" s="482"/>
      <c r="G18" s="483">
        <f>500000+61703+100000</f>
        <v>661703</v>
      </c>
      <c r="H18" s="482"/>
      <c r="I18" s="485">
        <f>+GFIS_BA!G67</f>
        <v>632541</v>
      </c>
      <c r="J18" s="482"/>
      <c r="K18" s="485">
        <f t="shared" si="0"/>
        <v>-29162</v>
      </c>
      <c r="M18" t="s">
        <v>1080</v>
      </c>
    </row>
    <row r="19" spans="2:13" x14ac:dyDescent="0.2">
      <c r="B19" s="26"/>
      <c r="C19" s="26"/>
      <c r="D19" s="89" t="s">
        <v>150</v>
      </c>
      <c r="E19" s="154">
        <f>SUM(E10:E18)</f>
        <v>84833902</v>
      </c>
      <c r="F19" s="125"/>
      <c r="G19" s="154">
        <f>SUM(G10:G18)</f>
        <v>86358898</v>
      </c>
      <c r="H19" s="125"/>
      <c r="I19" s="154">
        <f>SUM(I10:I18)</f>
        <v>86221315</v>
      </c>
      <c r="J19" s="125"/>
      <c r="K19" s="483">
        <f>SUM(K10:K18)</f>
        <v>-137583</v>
      </c>
      <c r="M19" t="s">
        <v>1081</v>
      </c>
    </row>
    <row r="20" spans="2:13" x14ac:dyDescent="0.2">
      <c r="B20" s="26"/>
      <c r="C20" s="26"/>
      <c r="D20" s="26"/>
      <c r="E20" s="149"/>
      <c r="F20" s="149"/>
      <c r="G20" s="149"/>
      <c r="H20" s="149"/>
      <c r="I20" s="149"/>
      <c r="J20" s="149"/>
      <c r="K20" s="481"/>
    </row>
    <row r="21" spans="2:13" x14ac:dyDescent="0.2">
      <c r="B21" s="89" t="s">
        <v>439</v>
      </c>
      <c r="C21" s="26"/>
      <c r="D21" s="310"/>
      <c r="E21" s="149"/>
      <c r="F21" s="149"/>
      <c r="G21" s="149"/>
      <c r="H21" s="149"/>
      <c r="I21" s="149"/>
      <c r="J21" s="149"/>
      <c r="K21" s="481"/>
    </row>
    <row r="22" spans="2:13" x14ac:dyDescent="0.2">
      <c r="B22" s="26"/>
      <c r="C22" s="89" t="s">
        <v>152</v>
      </c>
      <c r="D22" s="352"/>
      <c r="E22" s="149"/>
      <c r="F22" s="149"/>
      <c r="G22" s="149"/>
      <c r="H22" s="149"/>
      <c r="I22" s="149"/>
      <c r="J22" s="149"/>
      <c r="K22" s="481"/>
    </row>
    <row r="23" spans="2:13" x14ac:dyDescent="0.2">
      <c r="B23" s="26"/>
      <c r="C23" s="26"/>
      <c r="D23" s="400" t="s">
        <v>65</v>
      </c>
      <c r="E23" s="816">
        <f>6325000-631</f>
        <v>6324369</v>
      </c>
      <c r="F23" s="816"/>
      <c r="G23" s="816">
        <f>6378901+100000+4000+12147+38984+880000+350000+500000+500000-631</f>
        <v>8763401</v>
      </c>
      <c r="H23" s="816"/>
      <c r="I23" s="817">
        <f>+GFIS_BA!G127</f>
        <v>8532878</v>
      </c>
      <c r="J23" s="817"/>
      <c r="K23" s="816">
        <f>+G23-I23</f>
        <v>230523</v>
      </c>
      <c r="M23" t="s">
        <v>1080</v>
      </c>
    </row>
    <row r="24" spans="2:13" x14ac:dyDescent="0.2">
      <c r="B24" s="26"/>
      <c r="C24" s="26"/>
      <c r="D24" s="400" t="s">
        <v>40</v>
      </c>
      <c r="E24" s="816">
        <v>7200000</v>
      </c>
      <c r="F24" s="816"/>
      <c r="G24" s="816">
        <f>7090414+500000+300000</f>
        <v>7890414</v>
      </c>
      <c r="H24" s="816"/>
      <c r="I24" s="816">
        <f>+GFIS_BA!G185</f>
        <v>7179720</v>
      </c>
      <c r="J24" s="816"/>
      <c r="K24" s="816">
        <f>+G24-I24</f>
        <v>710694</v>
      </c>
      <c r="M24" t="s">
        <v>1080</v>
      </c>
    </row>
    <row r="25" spans="2:13" x14ac:dyDescent="0.2">
      <c r="B25" s="26"/>
      <c r="C25" s="26"/>
      <c r="D25" s="400" t="s">
        <v>66</v>
      </c>
      <c r="E25" s="816">
        <v>1140000</v>
      </c>
      <c r="F25" s="816"/>
      <c r="G25" s="816">
        <f>1141516+200000+300000</f>
        <v>1641516</v>
      </c>
      <c r="H25" s="816"/>
      <c r="I25" s="816">
        <f>+GFIS_BA!G195</f>
        <v>1138578</v>
      </c>
      <c r="J25" s="816"/>
      <c r="K25" s="816">
        <f t="shared" ref="K25:K35" si="1">+G25-I25</f>
        <v>502938</v>
      </c>
      <c r="M25" t="s">
        <v>1080</v>
      </c>
    </row>
    <row r="26" spans="2:13" x14ac:dyDescent="0.2">
      <c r="B26" s="26"/>
      <c r="C26" s="26"/>
      <c r="D26" s="400" t="s">
        <v>153</v>
      </c>
      <c r="E26" s="816">
        <v>1315000</v>
      </c>
      <c r="F26" s="816"/>
      <c r="G26" s="816">
        <f>1316992+31250+300000</f>
        <v>1648242</v>
      </c>
      <c r="H26" s="816"/>
      <c r="I26" s="816">
        <f>+GFIS_BA!G236</f>
        <v>1316929</v>
      </c>
      <c r="J26" s="816"/>
      <c r="K26" s="816">
        <f t="shared" si="1"/>
        <v>331313</v>
      </c>
      <c r="M26" t="s">
        <v>1080</v>
      </c>
    </row>
    <row r="27" spans="2:13" x14ac:dyDescent="0.2">
      <c r="B27" s="26"/>
      <c r="C27" s="26"/>
      <c r="D27" s="400" t="s">
        <v>68</v>
      </c>
      <c r="E27" s="816">
        <f>23685000+238816</f>
        <v>23923816</v>
      </c>
      <c r="F27" s="816"/>
      <c r="G27" s="816">
        <f>23781178-1012420+200000-200000+300000</f>
        <v>23068758</v>
      </c>
      <c r="H27" s="816"/>
      <c r="I27" s="816">
        <f>+GFIS_BA!G353</f>
        <v>22419822</v>
      </c>
      <c r="J27" s="816"/>
      <c r="K27" s="816">
        <f t="shared" si="1"/>
        <v>648936</v>
      </c>
      <c r="M27" t="s">
        <v>1080</v>
      </c>
    </row>
    <row r="28" spans="2:13" x14ac:dyDescent="0.2">
      <c r="B28" s="26"/>
      <c r="D28" s="400" t="s">
        <v>154</v>
      </c>
      <c r="E28" s="816">
        <v>2315000</v>
      </c>
      <c r="F28" s="816"/>
      <c r="G28" s="816">
        <f>2312261+300000</f>
        <v>2612261</v>
      </c>
      <c r="H28" s="816"/>
      <c r="I28" s="816">
        <f>+GFIS_BA!G365</f>
        <v>2308240</v>
      </c>
      <c r="J28" s="816"/>
      <c r="K28" s="816">
        <f t="shared" si="1"/>
        <v>304021</v>
      </c>
      <c r="M28" t="s">
        <v>1080</v>
      </c>
    </row>
    <row r="29" spans="2:13" x14ac:dyDescent="0.2">
      <c r="B29" s="26"/>
      <c r="C29" s="400" t="s">
        <v>155</v>
      </c>
      <c r="D29" s="400"/>
      <c r="E29" s="785"/>
      <c r="F29" s="785"/>
      <c r="G29" s="785"/>
      <c r="H29" s="785"/>
      <c r="I29" s="785"/>
      <c r="J29" s="785"/>
      <c r="K29" s="816"/>
      <c r="M29" s="37"/>
    </row>
    <row r="30" spans="2:13" x14ac:dyDescent="0.2">
      <c r="B30" s="26"/>
      <c r="C30" s="89"/>
      <c r="D30" s="400" t="s">
        <v>41</v>
      </c>
      <c r="E30" s="816">
        <v>41418016</v>
      </c>
      <c r="F30" s="816"/>
      <c r="G30" s="816">
        <v>41418016</v>
      </c>
      <c r="H30" s="816"/>
      <c r="I30" s="816">
        <f>+GFIS_BA!G372</f>
        <v>41418016</v>
      </c>
      <c r="J30" s="816"/>
      <c r="K30" s="816">
        <f t="shared" si="1"/>
        <v>0</v>
      </c>
      <c r="M30" t="s">
        <v>1080</v>
      </c>
    </row>
    <row r="31" spans="2:13" x14ac:dyDescent="0.2">
      <c r="B31" s="26"/>
      <c r="C31" s="400" t="s">
        <v>157</v>
      </c>
      <c r="D31" s="400"/>
      <c r="E31" s="785"/>
      <c r="F31" s="785"/>
      <c r="G31" s="785"/>
      <c r="H31" s="785"/>
      <c r="I31" s="785"/>
      <c r="J31" s="785"/>
      <c r="K31" s="816"/>
      <c r="M31" s="37"/>
    </row>
    <row r="32" spans="2:13" x14ac:dyDescent="0.2">
      <c r="B32" s="26"/>
      <c r="C32" s="26"/>
      <c r="D32" s="400" t="s">
        <v>194</v>
      </c>
      <c r="E32" s="816">
        <f>618166+18219-7166+21705</f>
        <v>650924</v>
      </c>
      <c r="F32" s="816"/>
      <c r="G32" s="816">
        <f>618166+21705+18219-7166</f>
        <v>650924</v>
      </c>
      <c r="H32" s="816"/>
      <c r="I32" s="816">
        <f>+GFIS_BA!G375</f>
        <v>650924</v>
      </c>
      <c r="J32" s="816"/>
      <c r="K32" s="816">
        <f t="shared" si="1"/>
        <v>0</v>
      </c>
      <c r="M32" t="s">
        <v>1080</v>
      </c>
    </row>
    <row r="33" spans="2:13" x14ac:dyDescent="0.2">
      <c r="B33" s="26"/>
      <c r="C33" s="26"/>
      <c r="D33" s="400" t="s">
        <v>195</v>
      </c>
      <c r="E33" s="792">
        <f>692904+16360+294</f>
        <v>709558</v>
      </c>
      <c r="F33" s="792"/>
      <c r="G33" s="792">
        <f>692904+16360+294</f>
        <v>709558</v>
      </c>
      <c r="H33" s="792"/>
      <c r="I33" s="792">
        <f>+GFIS_BA!G376</f>
        <v>709558</v>
      </c>
      <c r="J33" s="792"/>
      <c r="K33" s="816">
        <f t="shared" si="1"/>
        <v>0</v>
      </c>
      <c r="M33" t="s">
        <v>1080</v>
      </c>
    </row>
    <row r="34" spans="2:13" x14ac:dyDescent="0.2">
      <c r="B34" s="26"/>
      <c r="C34" s="26"/>
      <c r="D34" s="400" t="s">
        <v>160</v>
      </c>
      <c r="E34" s="792">
        <v>65000</v>
      </c>
      <c r="F34" s="792"/>
      <c r="G34" s="792">
        <v>65000</v>
      </c>
      <c r="H34" s="792"/>
      <c r="I34" s="792">
        <f>+GFIS_BA!G377</f>
        <v>65000</v>
      </c>
      <c r="J34" s="792"/>
      <c r="K34" s="816">
        <f t="shared" si="1"/>
        <v>0</v>
      </c>
      <c r="M34" t="s">
        <v>1080</v>
      </c>
    </row>
    <row r="35" spans="2:13" x14ac:dyDescent="0.2">
      <c r="B35" s="26"/>
      <c r="C35" s="89"/>
      <c r="D35" s="400" t="s">
        <v>161</v>
      </c>
      <c r="E35" s="485">
        <v>15000</v>
      </c>
      <c r="F35" s="482"/>
      <c r="G35" s="485">
        <v>15000</v>
      </c>
      <c r="H35" s="482"/>
      <c r="I35" s="485">
        <f>+GFIS_BA!G378</f>
        <v>15000</v>
      </c>
      <c r="J35" s="482"/>
      <c r="K35" s="485">
        <f t="shared" si="1"/>
        <v>0</v>
      </c>
      <c r="M35" t="s">
        <v>1080</v>
      </c>
    </row>
    <row r="36" spans="2:13" x14ac:dyDescent="0.2">
      <c r="B36" s="26"/>
      <c r="C36" s="26"/>
      <c r="D36" s="89" t="s">
        <v>162</v>
      </c>
      <c r="E36" s="154">
        <f>SUM(E23:E35)</f>
        <v>85076683</v>
      </c>
      <c r="F36" s="125"/>
      <c r="G36" s="154">
        <f>SUM(G23:G35)</f>
        <v>88483090</v>
      </c>
      <c r="H36" s="125"/>
      <c r="I36" s="631">
        <f>SUM(I23:I35)</f>
        <v>85754665</v>
      </c>
      <c r="J36" s="830"/>
      <c r="K36" s="483">
        <f>SUM(K23:K35)</f>
        <v>2728425</v>
      </c>
      <c r="M36" t="s">
        <v>1081</v>
      </c>
    </row>
    <row r="37" spans="2:13" x14ac:dyDescent="0.2">
      <c r="B37" s="26"/>
      <c r="C37" s="26"/>
      <c r="D37" s="26"/>
      <c r="E37" s="149"/>
      <c r="F37" s="149"/>
      <c r="G37" s="149"/>
      <c r="H37" s="149"/>
      <c r="I37" s="149"/>
      <c r="J37" s="149"/>
      <c r="K37" s="481"/>
    </row>
    <row r="38" spans="2:13" x14ac:dyDescent="0.2">
      <c r="B38" s="89" t="s">
        <v>196</v>
      </c>
      <c r="C38" s="26"/>
      <c r="D38" s="26"/>
      <c r="E38" s="154">
        <f>+E19-E36</f>
        <v>-242781</v>
      </c>
      <c r="F38" s="125"/>
      <c r="G38" s="154">
        <f>+G19-G36</f>
        <v>-2124192</v>
      </c>
      <c r="H38" s="125"/>
      <c r="I38" s="154">
        <f>+I19-I36</f>
        <v>466650</v>
      </c>
      <c r="J38" s="125"/>
      <c r="K38" s="483">
        <f>+K19+K36</f>
        <v>2590842</v>
      </c>
      <c r="M38" t="s">
        <v>1081</v>
      </c>
    </row>
    <row r="39" spans="2:13" x14ac:dyDescent="0.2">
      <c r="B39" s="26"/>
      <c r="C39" s="26"/>
      <c r="D39" s="26"/>
      <c r="E39" s="149"/>
      <c r="F39" s="149"/>
      <c r="G39" s="149"/>
      <c r="H39" s="149"/>
      <c r="I39" s="149"/>
      <c r="J39" s="149"/>
      <c r="K39" s="481"/>
    </row>
    <row r="40" spans="2:13" x14ac:dyDescent="0.2">
      <c r="B40" s="89" t="s">
        <v>197</v>
      </c>
      <c r="C40" s="783"/>
      <c r="D40" s="783"/>
      <c r="E40" s="785"/>
      <c r="F40" s="785"/>
      <c r="G40" s="785"/>
      <c r="H40" s="785"/>
      <c r="I40" s="785"/>
      <c r="J40" s="785"/>
      <c r="K40" s="816"/>
    </row>
    <row r="41" spans="2:13" x14ac:dyDescent="0.2">
      <c r="B41" s="89"/>
      <c r="C41" s="783" t="s">
        <v>165</v>
      </c>
      <c r="D41" s="783"/>
      <c r="E41" s="816">
        <v>0</v>
      </c>
      <c r="F41" s="816"/>
      <c r="G41" s="816">
        <f>620227+1500000</f>
        <v>2120227</v>
      </c>
      <c r="H41" s="816"/>
      <c r="I41" s="816">
        <f>+GFIS_BA!G386+GFIS_BA!G387</f>
        <v>2119059</v>
      </c>
      <c r="J41" s="816"/>
      <c r="K41" s="816">
        <f t="shared" ref="K41:K47" si="2">+I41-G41</f>
        <v>-1168</v>
      </c>
      <c r="M41" t="s">
        <v>1080</v>
      </c>
    </row>
    <row r="42" spans="2:13" x14ac:dyDescent="0.2">
      <c r="B42" s="26"/>
      <c r="C42" s="818" t="s">
        <v>166</v>
      </c>
      <c r="D42" s="818"/>
      <c r="E42" s="768">
        <v>0</v>
      </c>
      <c r="F42" s="768"/>
      <c r="G42" s="816">
        <f>-238816</f>
        <v>-238816</v>
      </c>
      <c r="H42" s="816"/>
      <c r="I42" s="817">
        <f>+GFIS_BA!G389+GFIS_BA!G390+GFIS_BA!G391+GFIS_BA!G392</f>
        <v>-620616</v>
      </c>
      <c r="J42" s="817"/>
      <c r="K42" s="816">
        <f t="shared" si="2"/>
        <v>-381800</v>
      </c>
      <c r="M42" t="s">
        <v>1080</v>
      </c>
    </row>
    <row r="43" spans="2:13" x14ac:dyDescent="0.2">
      <c r="B43" s="26"/>
      <c r="C43" s="795" t="s">
        <v>167</v>
      </c>
      <c r="D43" s="795"/>
      <c r="E43" s="816">
        <v>100000</v>
      </c>
      <c r="F43" s="816"/>
      <c r="G43" s="816">
        <v>100000</v>
      </c>
      <c r="H43" s="816"/>
      <c r="I43" s="816">
        <f>+GFIS_BA!G395</f>
        <v>279755</v>
      </c>
      <c r="J43" s="816"/>
      <c r="K43" s="816">
        <f t="shared" si="2"/>
        <v>179755</v>
      </c>
      <c r="M43" t="s">
        <v>1080</v>
      </c>
    </row>
    <row r="44" spans="2:13" x14ac:dyDescent="0.2">
      <c r="B44" s="26"/>
      <c r="C44" s="795" t="s">
        <v>951</v>
      </c>
      <c r="D44" s="795"/>
      <c r="E44" s="816">
        <v>48781</v>
      </c>
      <c r="F44" s="816"/>
      <c r="G44" s="816">
        <v>48781</v>
      </c>
      <c r="H44" s="816"/>
      <c r="I44" s="816">
        <f>+GFIS_BA!G396</f>
        <v>48781</v>
      </c>
      <c r="J44" s="816"/>
      <c r="K44" s="816">
        <f t="shared" si="2"/>
        <v>0</v>
      </c>
      <c r="M44" t="s">
        <v>1080</v>
      </c>
    </row>
    <row r="45" spans="2:13" x14ac:dyDescent="0.2">
      <c r="B45" s="26"/>
      <c r="C45" s="795" t="s">
        <v>168</v>
      </c>
      <c r="D45" s="795"/>
      <c r="E45" s="816">
        <v>3365000</v>
      </c>
      <c r="F45" s="816"/>
      <c r="G45" s="816">
        <v>3365000</v>
      </c>
      <c r="H45" s="816"/>
      <c r="I45" s="816">
        <f>+GFIS_BA!G397</f>
        <v>3365000</v>
      </c>
      <c r="J45" s="816"/>
      <c r="K45" s="816">
        <f t="shared" si="2"/>
        <v>0</v>
      </c>
      <c r="M45" t="s">
        <v>1080</v>
      </c>
    </row>
    <row r="46" spans="2:13" x14ac:dyDescent="0.2">
      <c r="B46" s="26"/>
      <c r="C46" s="795" t="s">
        <v>198</v>
      </c>
      <c r="D46" s="770"/>
      <c r="E46" s="816">
        <v>-3300000</v>
      </c>
      <c r="F46" s="816"/>
      <c r="G46" s="816">
        <v>-3300000</v>
      </c>
      <c r="H46" s="816"/>
      <c r="I46" s="816">
        <f>+GFIS_BA!G398</f>
        <v>-3300000</v>
      </c>
      <c r="J46" s="816"/>
      <c r="K46" s="819">
        <f t="shared" si="2"/>
        <v>0</v>
      </c>
      <c r="M46" t="s">
        <v>1080</v>
      </c>
    </row>
    <row r="47" spans="2:13" x14ac:dyDescent="0.2">
      <c r="B47" s="26"/>
      <c r="C47" s="795" t="s">
        <v>171</v>
      </c>
      <c r="D47" s="795"/>
      <c r="E47" s="816">
        <v>29000</v>
      </c>
      <c r="F47" s="816"/>
      <c r="G47" s="816">
        <v>29000</v>
      </c>
      <c r="H47" s="816"/>
      <c r="I47" s="820">
        <f>+GFIS_BA!G399</f>
        <v>28482</v>
      </c>
      <c r="J47" s="792"/>
      <c r="K47" s="821">
        <f t="shared" si="2"/>
        <v>-518</v>
      </c>
      <c r="M47" t="s">
        <v>1080</v>
      </c>
    </row>
    <row r="48" spans="2:13" ht="12" customHeight="1" x14ac:dyDescent="0.2">
      <c r="B48" s="310"/>
      <c r="C48" s="745"/>
      <c r="D48" s="751" t="s">
        <v>199</v>
      </c>
      <c r="E48" s="822">
        <f>SUM(E41:E47)</f>
        <v>242781</v>
      </c>
      <c r="F48" s="792"/>
      <c r="G48" s="822">
        <f>SUM(G41:G47)</f>
        <v>2124192</v>
      </c>
      <c r="H48" s="792"/>
      <c r="I48" s="823">
        <f>SUM(I41:I47)</f>
        <v>1920461</v>
      </c>
      <c r="J48" s="792"/>
      <c r="K48" s="823">
        <f>SUM(K41:K47)</f>
        <v>-203731</v>
      </c>
      <c r="M48" t="s">
        <v>1081</v>
      </c>
    </row>
    <row r="49" spans="2:13" ht="10.5" hidden="1" customHeight="1" x14ac:dyDescent="0.2">
      <c r="B49" s="310"/>
      <c r="C49" s="745"/>
      <c r="D49" s="745"/>
      <c r="E49" s="816"/>
      <c r="F49" s="816"/>
      <c r="G49" s="816"/>
      <c r="H49" s="816"/>
      <c r="I49" s="816"/>
      <c r="J49" s="816"/>
      <c r="K49" s="816"/>
    </row>
    <row r="50" spans="2:13" hidden="1" x14ac:dyDescent="0.2">
      <c r="B50" s="310" t="s">
        <v>970</v>
      </c>
      <c r="C50" s="745"/>
      <c r="D50" s="745"/>
      <c r="E50" s="816">
        <v>0</v>
      </c>
      <c r="F50" s="816"/>
      <c r="G50" s="816">
        <v>0</v>
      </c>
      <c r="H50" s="816"/>
      <c r="I50" s="816">
        <v>0</v>
      </c>
      <c r="J50" s="816"/>
      <c r="K50" s="816">
        <f t="shared" ref="K50" si="3">+I50-G50</f>
        <v>0</v>
      </c>
    </row>
    <row r="51" spans="2:13" ht="12.75" customHeight="1" x14ac:dyDescent="0.2">
      <c r="B51" s="310"/>
      <c r="C51" s="745"/>
      <c r="D51" s="745"/>
      <c r="E51" s="816"/>
      <c r="F51" s="816"/>
      <c r="G51" s="816"/>
      <c r="H51" s="816"/>
      <c r="I51" s="816"/>
      <c r="J51" s="816"/>
      <c r="K51" s="816"/>
    </row>
    <row r="52" spans="2:13" ht="13.5" thickBot="1" x14ac:dyDescent="0.25">
      <c r="B52" s="310" t="s">
        <v>173</v>
      </c>
      <c r="C52" s="751"/>
      <c r="D52" s="751"/>
      <c r="E52" s="824">
        <f>+E38+E48+E50</f>
        <v>0</v>
      </c>
      <c r="F52" s="829"/>
      <c r="G52" s="824">
        <f>+G38+G48+G50</f>
        <v>0</v>
      </c>
      <c r="H52" s="829"/>
      <c r="I52" s="816">
        <f>+I38+I48</f>
        <v>2387111</v>
      </c>
      <c r="J52" s="816"/>
      <c r="K52" s="790">
        <f>K19+K36+K48-K50</f>
        <v>2387111</v>
      </c>
      <c r="M52" t="s">
        <v>1081</v>
      </c>
    </row>
    <row r="53" spans="2:13" ht="12.75" customHeight="1" thickTop="1" x14ac:dyDescent="0.2">
      <c r="B53" s="310"/>
      <c r="C53" s="751"/>
      <c r="D53" s="751"/>
      <c r="E53" s="816"/>
      <c r="F53" s="816"/>
      <c r="G53" s="816"/>
      <c r="H53" s="816"/>
      <c r="I53" s="816"/>
      <c r="J53" s="816"/>
      <c r="K53" s="816"/>
      <c r="L53" s="149"/>
    </row>
    <row r="54" spans="2:13" hidden="1" x14ac:dyDescent="0.2">
      <c r="B54" s="310" t="s">
        <v>971</v>
      </c>
      <c r="C54" s="751"/>
      <c r="D54" s="751"/>
      <c r="E54" s="745"/>
      <c r="F54" s="745"/>
      <c r="G54" s="745"/>
      <c r="H54" s="745"/>
      <c r="I54" s="816"/>
      <c r="J54" s="816"/>
      <c r="K54" s="745"/>
      <c r="L54" s="26"/>
    </row>
    <row r="55" spans="2:13" hidden="1" x14ac:dyDescent="0.2">
      <c r="B55" s="310"/>
      <c r="C55" s="751" t="s">
        <v>972</v>
      </c>
      <c r="D55" s="751"/>
      <c r="E55" s="745"/>
      <c r="F55" s="745"/>
      <c r="G55" s="745"/>
      <c r="H55" s="745"/>
      <c r="I55" s="816">
        <f>519450+5759-175</f>
        <v>525034</v>
      </c>
      <c r="J55" s="816"/>
      <c r="K55" s="745"/>
      <c r="L55" s="26"/>
    </row>
    <row r="56" spans="2:13" hidden="1" x14ac:dyDescent="0.2">
      <c r="B56" s="352" t="s">
        <v>973</v>
      </c>
      <c r="C56" s="751"/>
      <c r="D56" s="751"/>
      <c r="E56" s="745"/>
      <c r="F56" s="745"/>
      <c r="G56" s="745"/>
      <c r="H56" s="745"/>
      <c r="I56" s="820">
        <v>67367</v>
      </c>
      <c r="J56" s="792"/>
      <c r="K56" s="745"/>
      <c r="L56" s="26"/>
    </row>
    <row r="57" spans="2:13" hidden="1" x14ac:dyDescent="0.2">
      <c r="B57" s="310" t="s">
        <v>174</v>
      </c>
      <c r="C57" s="745"/>
      <c r="D57" s="745"/>
      <c r="E57" s="745"/>
      <c r="F57" s="745"/>
      <c r="G57" s="745"/>
      <c r="H57" s="745"/>
      <c r="I57" s="792">
        <v>12785496</v>
      </c>
      <c r="J57" s="792"/>
      <c r="K57" s="745"/>
    </row>
    <row r="58" spans="2:13" hidden="1" x14ac:dyDescent="0.2">
      <c r="B58" s="310"/>
      <c r="C58" s="745" t="s">
        <v>175</v>
      </c>
      <c r="D58" s="745"/>
      <c r="E58" s="745"/>
      <c r="F58" s="745"/>
      <c r="G58" s="745"/>
      <c r="H58" s="745"/>
      <c r="I58" s="820">
        <v>0</v>
      </c>
      <c r="J58" s="792"/>
      <c r="K58" s="745"/>
    </row>
    <row r="59" spans="2:13" x14ac:dyDescent="0.2">
      <c r="B59" s="310" t="s">
        <v>1085</v>
      </c>
      <c r="C59" s="745"/>
      <c r="D59" s="745"/>
      <c r="E59" s="745"/>
      <c r="F59" s="745"/>
      <c r="G59" s="745"/>
      <c r="H59" s="745"/>
      <c r="I59" s="792">
        <f>+GFIS_BA!G408</f>
        <v>12785496</v>
      </c>
      <c r="J59" s="792"/>
      <c r="K59" s="745"/>
      <c r="M59" t="s">
        <v>1080</v>
      </c>
    </row>
    <row r="60" spans="2:13" x14ac:dyDescent="0.2">
      <c r="B60" s="310" t="s">
        <v>200</v>
      </c>
      <c r="C60" s="310"/>
      <c r="D60" s="310"/>
      <c r="E60" s="302"/>
      <c r="F60" s="302"/>
      <c r="G60" s="302"/>
      <c r="H60" s="302"/>
      <c r="I60" s="336">
        <f>+GFIS_BA!G409</f>
        <v>122974</v>
      </c>
      <c r="J60" s="302"/>
      <c r="K60" s="302"/>
      <c r="M60" t="s">
        <v>1080</v>
      </c>
    </row>
    <row r="61" spans="2:13" x14ac:dyDescent="0.2">
      <c r="B61" s="352" t="s">
        <v>1075</v>
      </c>
      <c r="C61" s="310"/>
      <c r="D61" s="310"/>
      <c r="E61" s="310"/>
      <c r="F61" s="310"/>
      <c r="G61" s="310"/>
      <c r="H61" s="310"/>
      <c r="I61" s="816">
        <f>I60+I57+I52</f>
        <v>15295581</v>
      </c>
      <c r="J61" s="831"/>
      <c r="K61" s="310"/>
      <c r="M61" t="s">
        <v>1081</v>
      </c>
    </row>
    <row r="62" spans="2:13" ht="25.15" customHeight="1" x14ac:dyDescent="0.2">
      <c r="B62" s="1017" t="s">
        <v>201</v>
      </c>
      <c r="C62" s="1017"/>
      <c r="D62" s="1017"/>
      <c r="E62" s="1017"/>
      <c r="F62" s="439"/>
      <c r="G62" s="310"/>
      <c r="H62" s="310"/>
      <c r="I62" s="310"/>
      <c r="J62" s="310"/>
      <c r="K62" s="310"/>
    </row>
    <row r="63" spans="2:13" ht="13.15" customHeight="1" x14ac:dyDescent="0.2">
      <c r="B63" s="310"/>
      <c r="C63" s="310" t="s">
        <v>202</v>
      </c>
      <c r="D63" s="310"/>
      <c r="E63" s="310"/>
      <c r="F63" s="310"/>
      <c r="G63" s="310"/>
      <c r="H63" s="310"/>
      <c r="I63" s="622">
        <f>+'TAX Rev-BA1'!G13</f>
        <v>52679</v>
      </c>
      <c r="J63" s="622"/>
      <c r="K63" s="310"/>
      <c r="L63" s="622"/>
    </row>
    <row r="64" spans="2:13" x14ac:dyDescent="0.2">
      <c r="B64" s="310"/>
      <c r="C64" s="310" t="s">
        <v>1086</v>
      </c>
      <c r="D64" s="576"/>
      <c r="E64" s="310"/>
      <c r="F64" s="310"/>
      <c r="G64" s="310"/>
      <c r="H64" s="310"/>
      <c r="I64" s="622">
        <f>+'TAX Rev-BA1'!G23</f>
        <v>250616</v>
      </c>
      <c r="J64" s="622"/>
      <c r="K64" s="310"/>
      <c r="L64" s="622"/>
    </row>
    <row r="65" spans="1:15" x14ac:dyDescent="0.2">
      <c r="B65" s="310"/>
      <c r="C65" s="310" t="s">
        <v>1087</v>
      </c>
      <c r="D65" s="576"/>
      <c r="E65" s="310"/>
      <c r="F65" s="310"/>
      <c r="G65" s="310"/>
      <c r="H65" s="310"/>
      <c r="I65" s="622">
        <f>-'TAX Rev-BA1'!G17</f>
        <v>-562674</v>
      </c>
      <c r="J65" s="622"/>
      <c r="K65" s="310"/>
      <c r="L65" s="622"/>
    </row>
    <row r="66" spans="1:15" x14ac:dyDescent="0.2">
      <c r="B66" s="310" t="s">
        <v>1077</v>
      </c>
      <c r="C66" s="310"/>
      <c r="D66" s="310"/>
      <c r="E66" s="310"/>
      <c r="F66" s="310"/>
      <c r="G66" s="310"/>
      <c r="H66" s="310"/>
      <c r="I66" s="361">
        <f>+'TAX Rev-BA1'!G27</f>
        <v>731102</v>
      </c>
      <c r="J66" s="361"/>
      <c r="K66" s="623"/>
      <c r="L66" s="361"/>
    </row>
    <row r="67" spans="1:15" ht="13.5" thickBot="1" x14ac:dyDescent="0.25">
      <c r="B67" s="310" t="s">
        <v>1078</v>
      </c>
      <c r="C67" s="310"/>
      <c r="D67" s="310"/>
      <c r="E67" s="310"/>
      <c r="F67" s="310"/>
      <c r="G67" s="310"/>
      <c r="H67" s="310"/>
      <c r="I67" s="825">
        <f>SUM(I63:I66)+I61</f>
        <v>15767304</v>
      </c>
      <c r="J67" s="827"/>
      <c r="K67" s="623"/>
    </row>
    <row r="68" spans="1:15" ht="13.5" thickTop="1" x14ac:dyDescent="0.2">
      <c r="B68" s="310"/>
      <c r="C68" s="310"/>
      <c r="D68" s="310"/>
      <c r="E68" s="310"/>
      <c r="F68" s="310"/>
      <c r="G68" s="310"/>
      <c r="H68" s="310"/>
      <c r="I68" s="827"/>
      <c r="J68" s="827"/>
      <c r="K68" s="623"/>
    </row>
    <row r="69" spans="1:15" ht="12.75" customHeight="1" x14ac:dyDescent="0.2">
      <c r="B69" s="310"/>
      <c r="C69" s="310"/>
      <c r="D69" s="310"/>
      <c r="E69" s="310"/>
      <c r="F69" s="310"/>
      <c r="G69" s="310"/>
      <c r="H69" s="310"/>
      <c r="I69" s="624"/>
      <c r="J69" s="624"/>
      <c r="K69" s="623"/>
    </row>
    <row r="70" spans="1:15" ht="15" customHeight="1" x14ac:dyDescent="0.2">
      <c r="A70" t="s">
        <v>50</v>
      </c>
      <c r="B70" s="310"/>
      <c r="C70" s="310"/>
      <c r="D70" s="310"/>
      <c r="E70" s="310"/>
      <c r="F70" s="310"/>
      <c r="G70" s="310"/>
      <c r="H70" s="310"/>
      <c r="I70" s="310"/>
      <c r="J70" s="310"/>
      <c r="K70" s="310"/>
      <c r="L70" s="615"/>
      <c r="M70" s="615"/>
    </row>
    <row r="71" spans="1:15" ht="15" customHeight="1" x14ac:dyDescent="0.2">
      <c r="B71" s="310"/>
      <c r="C71" s="310"/>
      <c r="D71" s="310"/>
      <c r="E71" s="310"/>
      <c r="F71" s="310"/>
      <c r="G71" s="310"/>
      <c r="H71" s="310"/>
      <c r="I71" s="310"/>
      <c r="J71" s="310"/>
      <c r="K71" s="310"/>
      <c r="L71" s="615"/>
      <c r="M71" s="615"/>
    </row>
    <row r="72" spans="1:15" ht="15" customHeight="1" x14ac:dyDescent="0.2">
      <c r="B72" s="310"/>
      <c r="C72" s="310"/>
      <c r="D72" s="310"/>
      <c r="E72" s="310"/>
      <c r="F72" s="310"/>
      <c r="G72" s="310"/>
      <c r="H72" s="310"/>
      <c r="I72" s="310"/>
      <c r="J72" s="310"/>
      <c r="K72" s="310"/>
      <c r="L72" s="615"/>
      <c r="M72" s="615"/>
    </row>
    <row r="73" spans="1:15" ht="13.15" customHeight="1" x14ac:dyDescent="0.25">
      <c r="B73" s="310"/>
      <c r="C73" s="310"/>
      <c r="D73" s="310"/>
      <c r="E73" s="310"/>
      <c r="F73" s="310"/>
      <c r="G73" s="310"/>
      <c r="H73" s="310"/>
      <c r="I73" s="624"/>
      <c r="J73" s="624"/>
      <c r="K73" s="322"/>
      <c r="L73" s="615"/>
      <c r="M73" s="615"/>
      <c r="N73" s="620"/>
      <c r="O73" s="620"/>
    </row>
  </sheetData>
  <sheetProtection selectLockedCells="1" selectUnlockedCells="1"/>
  <mergeCells count="5">
    <mergeCell ref="D1:L1"/>
    <mergeCell ref="D2:L2"/>
    <mergeCell ref="D3:L3"/>
    <mergeCell ref="B62:E62"/>
    <mergeCell ref="D4:K4"/>
  </mergeCells>
  <printOptions horizontalCentered="1"/>
  <pageMargins left="0.7" right="0.7" top="0.75" bottom="0.75" header="0.3" footer="0.3"/>
  <pageSetup scale="82" firstPageNumber="36" orientation="portrait" r:id="rId1"/>
  <rowBreaks count="1" manualBreakCount="1">
    <brk id="3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61DEC-8330-4E8E-90C3-8E0FEA76C4FF}">
  <sheetPr>
    <tabColor rgb="FF00FF00"/>
    <pageSetUpPr fitToPage="1"/>
  </sheetPr>
  <dimension ref="A1:N30"/>
  <sheetViews>
    <sheetView workbookViewId="0">
      <selection activeCell="N6" sqref="N6"/>
    </sheetView>
  </sheetViews>
  <sheetFormatPr defaultRowHeight="12.75" x14ac:dyDescent="0.2"/>
  <cols>
    <col min="1" max="1" width="2.28515625" style="63" customWidth="1"/>
    <col min="2" max="3" width="2.42578125" style="63" customWidth="1"/>
    <col min="4" max="4" width="1.42578125" style="63" customWidth="1"/>
    <col min="5" max="5" width="28.5703125" style="63" customWidth="1"/>
    <col min="6" max="6" width="13" style="63" customWidth="1"/>
    <col min="7" max="7" width="1.7109375" style="63" customWidth="1"/>
    <col min="8" max="8" width="13" style="63" customWidth="1"/>
    <col min="9" max="9" width="1.7109375" style="63" customWidth="1"/>
    <col min="10" max="10" width="13" style="63" customWidth="1"/>
    <col min="11" max="11" width="1.7109375" style="63" customWidth="1"/>
    <col min="12" max="12" width="13" style="63" customWidth="1"/>
    <col min="13" max="13" width="1.7109375" style="63" customWidth="1"/>
    <col min="14" max="14" width="13" style="63" customWidth="1"/>
  </cols>
  <sheetData>
    <row r="1" spans="1:14" x14ac:dyDescent="0.2">
      <c r="A1" s="83" t="s">
        <v>0</v>
      </c>
      <c r="B1" s="509"/>
      <c r="C1" s="509"/>
      <c r="D1" s="509"/>
      <c r="E1" s="509"/>
      <c r="F1" s="509"/>
      <c r="G1" s="509"/>
      <c r="H1" s="509"/>
      <c r="I1" s="509"/>
      <c r="J1" s="509"/>
      <c r="K1" s="509"/>
      <c r="L1" s="509"/>
      <c r="M1" s="509"/>
      <c r="N1" s="509"/>
    </row>
    <row r="2" spans="1:14" x14ac:dyDescent="0.2">
      <c r="A2" s="83" t="s">
        <v>1184</v>
      </c>
      <c r="B2" s="509"/>
      <c r="C2" s="509"/>
      <c r="D2" s="509"/>
      <c r="E2" s="936"/>
      <c r="F2" s="936"/>
      <c r="G2" s="936"/>
      <c r="H2" s="936"/>
      <c r="I2" s="936"/>
      <c r="J2" s="936"/>
      <c r="K2" s="509"/>
      <c r="L2" s="509"/>
      <c r="M2" s="509"/>
      <c r="N2" s="509"/>
    </row>
    <row r="3" spans="1:14" x14ac:dyDescent="0.2">
      <c r="A3" s="83" t="s">
        <v>397</v>
      </c>
      <c r="B3" s="509"/>
      <c r="C3" s="509"/>
      <c r="D3" s="509"/>
      <c r="E3" s="509"/>
      <c r="F3" s="509"/>
      <c r="G3" s="509"/>
      <c r="H3" s="509"/>
      <c r="I3" s="509"/>
      <c r="J3" s="509"/>
      <c r="K3" s="509"/>
      <c r="L3" s="509"/>
      <c r="M3" s="509"/>
      <c r="N3" s="509"/>
    </row>
    <row r="4" spans="1:14" x14ac:dyDescent="0.2">
      <c r="A4" s="83" t="s">
        <v>398</v>
      </c>
      <c r="B4" s="509"/>
      <c r="C4" s="509"/>
      <c r="D4" s="509"/>
      <c r="E4" s="509"/>
      <c r="F4" s="509"/>
      <c r="G4" s="509"/>
      <c r="H4" s="509"/>
      <c r="I4" s="509"/>
      <c r="J4" s="509"/>
      <c r="K4" s="509"/>
      <c r="L4" s="509"/>
      <c r="M4" s="509"/>
      <c r="N4" s="509"/>
    </row>
    <row r="5" spans="1:14" x14ac:dyDescent="0.2">
      <c r="A5" s="505"/>
      <c r="B5" s="505"/>
      <c r="C5" s="505"/>
      <c r="D5" s="505"/>
      <c r="E5" s="1018" t="str">
        <f>'SR-BA7 (Opioid)Multi Yr'!A5</f>
        <v>From Inception and for the Fiscal Year Ended June 30, 2025</v>
      </c>
      <c r="F5" s="1019"/>
      <c r="G5" s="1019"/>
      <c r="H5" s="1019"/>
      <c r="I5" s="1019"/>
      <c r="J5" s="1019"/>
      <c r="K5" s="1019"/>
      <c r="L5" s="1019"/>
      <c r="M5" s="1019"/>
      <c r="N5" s="1019"/>
    </row>
    <row r="6" spans="1:14" x14ac:dyDescent="0.2">
      <c r="A6" s="505"/>
      <c r="B6" s="505"/>
      <c r="C6" s="505"/>
      <c r="D6" s="505"/>
      <c r="E6" s="671"/>
      <c r="F6" s="468"/>
      <c r="G6" s="468"/>
      <c r="H6" s="468"/>
      <c r="I6" s="468"/>
      <c r="J6" s="468"/>
      <c r="K6" s="468"/>
      <c r="L6" s="468"/>
      <c r="M6" s="468"/>
      <c r="N6" s="616" t="s">
        <v>203</v>
      </c>
    </row>
    <row r="7" spans="1:14" x14ac:dyDescent="0.2">
      <c r="A7" s="505"/>
      <c r="B7" s="505"/>
      <c r="C7" s="505"/>
      <c r="D7" s="505"/>
      <c r="E7" s="468"/>
      <c r="F7" s="468"/>
      <c r="G7" s="468"/>
      <c r="H7" s="468"/>
      <c r="I7" s="468"/>
      <c r="J7" s="468"/>
      <c r="K7" s="468"/>
      <c r="L7" s="468"/>
      <c r="M7" s="468"/>
      <c r="N7" s="468"/>
    </row>
    <row r="8" spans="1:14" ht="13.5" thickBot="1" x14ac:dyDescent="0.25">
      <c r="A8" s="510"/>
      <c r="B8" s="510"/>
      <c r="C8" s="510"/>
      <c r="D8" s="510"/>
      <c r="E8" s="510"/>
      <c r="F8" s="510"/>
      <c r="G8" s="510"/>
      <c r="H8" s="510"/>
      <c r="I8" s="510"/>
      <c r="J8" s="510"/>
      <c r="K8" s="510"/>
      <c r="L8" s="510"/>
      <c r="M8" s="510"/>
      <c r="N8" s="511"/>
    </row>
    <row r="9" spans="1:14" x14ac:dyDescent="0.2">
      <c r="A9" s="505"/>
      <c r="B9" s="505"/>
      <c r="C9" s="505"/>
      <c r="D9" s="505"/>
      <c r="E9" s="505"/>
      <c r="F9" s="512"/>
      <c r="G9" s="505"/>
      <c r="H9" s="1020" t="s">
        <v>191</v>
      </c>
      <c r="I9" s="1020"/>
      <c r="J9" s="1020"/>
      <c r="K9" s="1020"/>
      <c r="L9" s="1020"/>
      <c r="M9" s="505"/>
      <c r="N9" s="497" t="s">
        <v>187</v>
      </c>
    </row>
    <row r="10" spans="1:14" x14ac:dyDescent="0.2">
      <c r="A10" s="505"/>
      <c r="B10" s="505"/>
      <c r="C10" s="505"/>
      <c r="D10" s="505"/>
      <c r="E10" s="505"/>
      <c r="F10" s="574" t="s">
        <v>622</v>
      </c>
      <c r="G10" s="505"/>
      <c r="H10" s="497" t="s">
        <v>602</v>
      </c>
      <c r="I10" s="505"/>
      <c r="J10" s="497" t="s">
        <v>603</v>
      </c>
      <c r="K10" s="505"/>
      <c r="L10" s="497" t="s">
        <v>604</v>
      </c>
      <c r="M10" s="505"/>
      <c r="N10" s="801" t="s">
        <v>1053</v>
      </c>
    </row>
    <row r="11" spans="1:14" x14ac:dyDescent="0.2">
      <c r="A11" s="505"/>
      <c r="B11" s="505"/>
      <c r="C11" s="505"/>
      <c r="D11" s="505"/>
      <c r="E11" s="505"/>
      <c r="F11" t="s">
        <v>915</v>
      </c>
      <c r="G11" s="505"/>
      <c r="H11" s="513" t="s">
        <v>605</v>
      </c>
      <c r="I11" s="505"/>
      <c r="J11" s="513" t="s">
        <v>606</v>
      </c>
      <c r="K11" s="505"/>
      <c r="L11" s="513" t="s">
        <v>607</v>
      </c>
      <c r="M11" s="505"/>
      <c r="N11" s="802" t="s">
        <v>1054</v>
      </c>
    </row>
    <row r="12" spans="1:14" x14ac:dyDescent="0.2">
      <c r="A12" s="85" t="s">
        <v>192</v>
      </c>
      <c r="B12" s="505"/>
      <c r="C12" s="505"/>
      <c r="D12" s="505"/>
      <c r="E12" s="505"/>
      <c r="F12" s="505"/>
      <c r="G12" s="505"/>
      <c r="H12" s="505"/>
      <c r="I12" s="505"/>
      <c r="J12" s="505"/>
      <c r="K12" s="505"/>
      <c r="L12" s="505"/>
      <c r="M12" s="505"/>
      <c r="N12" s="505"/>
    </row>
    <row r="13" spans="1:14" x14ac:dyDescent="0.2">
      <c r="A13" s="85"/>
      <c r="B13" s="505" t="s">
        <v>1014</v>
      </c>
      <c r="C13" s="505"/>
      <c r="D13" s="505"/>
      <c r="E13" s="505"/>
      <c r="F13" s="505"/>
      <c r="G13" s="505"/>
      <c r="H13" s="505"/>
      <c r="I13" s="505"/>
      <c r="J13" s="505"/>
      <c r="K13" s="505"/>
      <c r="L13" s="505"/>
      <c r="M13" s="505"/>
      <c r="N13" s="505"/>
    </row>
    <row r="14" spans="1:14" x14ac:dyDescent="0.2">
      <c r="A14" s="505"/>
      <c r="C14" s="505" t="s">
        <v>1012</v>
      </c>
      <c r="D14" s="505"/>
      <c r="E14" s="505"/>
      <c r="F14" s="698">
        <v>4200000</v>
      </c>
      <c r="G14" s="699"/>
      <c r="H14" s="698">
        <v>1940000</v>
      </c>
      <c r="I14" s="700"/>
      <c r="J14" s="698">
        <v>2260000</v>
      </c>
      <c r="K14" s="700"/>
      <c r="L14" s="698">
        <f>SUM(H14:J14)</f>
        <v>4200000</v>
      </c>
      <c r="M14" s="515"/>
      <c r="N14" s="575">
        <f>L14-F14</f>
        <v>0</v>
      </c>
    </row>
    <row r="15" spans="1:14" x14ac:dyDescent="0.2">
      <c r="A15" s="505"/>
      <c r="B15" s="505"/>
      <c r="C15" s="505"/>
      <c r="D15" s="505" t="s">
        <v>150</v>
      </c>
      <c r="E15" s="505"/>
      <c r="F15" s="520">
        <f>+F14</f>
        <v>4200000</v>
      </c>
      <c r="G15" s="506"/>
      <c r="H15" s="520">
        <f>+H14</f>
        <v>1940000</v>
      </c>
      <c r="I15" s="506"/>
      <c r="J15" s="520">
        <f>+J14</f>
        <v>2260000</v>
      </c>
      <c r="K15" s="506"/>
      <c r="L15" s="520">
        <f>+L14</f>
        <v>4200000</v>
      </c>
      <c r="M15" s="506"/>
      <c r="N15" s="520">
        <f>+N14</f>
        <v>0</v>
      </c>
    </row>
    <row r="16" spans="1:14" x14ac:dyDescent="0.2">
      <c r="A16" s="505"/>
      <c r="B16" s="505"/>
      <c r="C16" s="505"/>
      <c r="D16" s="505"/>
      <c r="E16" s="505"/>
      <c r="F16" s="505"/>
      <c r="G16" s="505"/>
      <c r="H16" s="519"/>
      <c r="I16" s="517"/>
      <c r="J16" s="519"/>
      <c r="K16" s="517"/>
      <c r="L16" s="519"/>
      <c r="M16" s="517"/>
      <c r="N16" s="519"/>
    </row>
    <row r="17" spans="1:14" x14ac:dyDescent="0.2">
      <c r="A17" s="85" t="s">
        <v>439</v>
      </c>
      <c r="B17" s="505"/>
      <c r="C17" s="505"/>
      <c r="D17" s="505"/>
      <c r="E17" s="505"/>
      <c r="F17" s="505"/>
      <c r="G17" s="505"/>
      <c r="H17" s="519"/>
      <c r="I17" s="517"/>
      <c r="J17" s="519"/>
      <c r="K17" s="517"/>
      <c r="L17" s="519"/>
      <c r="M17" s="517"/>
      <c r="N17" s="519"/>
    </row>
    <row r="18" spans="1:14" x14ac:dyDescent="0.2">
      <c r="A18" s="505"/>
      <c r="B18" s="505" t="s">
        <v>1013</v>
      </c>
      <c r="C18" s="505"/>
      <c r="D18" s="505"/>
      <c r="E18" s="505"/>
      <c r="F18" s="505"/>
      <c r="G18" s="505"/>
      <c r="H18" s="505"/>
      <c r="I18" s="517"/>
      <c r="J18" s="505"/>
      <c r="K18" s="517"/>
      <c r="L18" s="505"/>
      <c r="M18" s="517"/>
      <c r="N18" s="505"/>
    </row>
    <row r="19" spans="1:14" x14ac:dyDescent="0.2">
      <c r="A19" s="505"/>
      <c r="B19" s="505"/>
      <c r="C19" s="505" t="s">
        <v>443</v>
      </c>
      <c r="D19" s="145"/>
      <c r="E19" s="145"/>
      <c r="F19" s="701">
        <f>4200000-440000-1500000</f>
        <v>2260000</v>
      </c>
      <c r="G19" s="505"/>
      <c r="H19" s="519">
        <v>0</v>
      </c>
      <c r="I19" s="517"/>
      <c r="J19" s="519">
        <v>2260000</v>
      </c>
      <c r="K19" s="517"/>
      <c r="L19" s="519">
        <f>SUM(H19:J19)</f>
        <v>2260000</v>
      </c>
      <c r="M19" s="517"/>
      <c r="N19" s="519">
        <f>F19-L19</f>
        <v>0</v>
      </c>
    </row>
    <row r="20" spans="1:14" x14ac:dyDescent="0.2">
      <c r="A20" s="505"/>
      <c r="B20" s="505"/>
      <c r="D20" s="145"/>
      <c r="E20" s="505" t="s">
        <v>6</v>
      </c>
      <c r="F20" s="521">
        <f>SUM(F19)</f>
        <v>2260000</v>
      </c>
      <c r="G20" s="505"/>
      <c r="H20" s="521">
        <f>SUM(H19)</f>
        <v>0</v>
      </c>
      <c r="I20" s="517"/>
      <c r="J20" s="521">
        <f>SUM(J19)</f>
        <v>2260000</v>
      </c>
      <c r="K20" s="517"/>
      <c r="L20" s="521">
        <f>SUM(L19)</f>
        <v>2260000</v>
      </c>
      <c r="M20" s="517"/>
      <c r="N20" s="521">
        <f>SUM(N19)</f>
        <v>0</v>
      </c>
    </row>
    <row r="21" spans="1:14" x14ac:dyDescent="0.2">
      <c r="A21" s="505"/>
      <c r="B21" s="505"/>
      <c r="D21" s="145"/>
      <c r="E21" s="145"/>
      <c r="F21" s="519"/>
      <c r="G21" s="505"/>
      <c r="H21" s="519"/>
      <c r="I21" s="517"/>
      <c r="J21" s="519"/>
      <c r="K21" s="517"/>
      <c r="L21" s="519"/>
      <c r="M21" s="517"/>
      <c r="N21" s="519"/>
    </row>
    <row r="22" spans="1:14" ht="12.75" customHeight="1" x14ac:dyDescent="0.2">
      <c r="A22" s="85" t="s">
        <v>655</v>
      </c>
      <c r="D22" s="145"/>
      <c r="E22" s="145"/>
      <c r="F22" s="517"/>
      <c r="G22" s="505"/>
      <c r="H22" s="517"/>
      <c r="I22" s="517"/>
      <c r="J22" s="517"/>
      <c r="K22" s="517"/>
      <c r="L22" s="517"/>
      <c r="M22" s="517"/>
      <c r="N22" s="517"/>
    </row>
    <row r="23" spans="1:14" ht="12.75" customHeight="1" x14ac:dyDescent="0.2">
      <c r="A23" s="505"/>
      <c r="C23" s="505" t="s">
        <v>1183</v>
      </c>
      <c r="E23" s="145"/>
      <c r="F23" s="701">
        <f>440000+1500000</f>
        <v>1940000</v>
      </c>
      <c r="G23" s="699"/>
      <c r="H23" s="701">
        <v>440000</v>
      </c>
      <c r="I23" s="702"/>
      <c r="J23" s="701">
        <v>1500000</v>
      </c>
      <c r="K23" s="702"/>
      <c r="L23" s="701">
        <f>SUM(H23:J23)</f>
        <v>1940000</v>
      </c>
      <c r="M23" s="702"/>
      <c r="N23" s="519">
        <f>F23-L23</f>
        <v>0</v>
      </c>
    </row>
    <row r="24" spans="1:14" ht="12.75" customHeight="1" x14ac:dyDescent="0.2">
      <c r="A24" s="505"/>
      <c r="B24" s="505"/>
      <c r="D24" s="145" t="s">
        <v>199</v>
      </c>
      <c r="F24" s="521">
        <f>SUM(F23:F23)</f>
        <v>1940000</v>
      </c>
      <c r="G24" s="505"/>
      <c r="H24" s="521">
        <f>SUM(H23:H23)</f>
        <v>440000</v>
      </c>
      <c r="I24" s="517"/>
      <c r="J24" s="521">
        <f>SUM(J23:J23)</f>
        <v>1500000</v>
      </c>
      <c r="K24" s="517"/>
      <c r="L24" s="521">
        <f>SUM(L23:L23)</f>
        <v>1940000</v>
      </c>
      <c r="M24" s="517"/>
      <c r="N24" s="521">
        <f>SUM(N23:N23)</f>
        <v>0</v>
      </c>
    </row>
    <row r="25" spans="1:14" ht="12.75" customHeight="1" x14ac:dyDescent="0.2">
      <c r="A25" s="505"/>
      <c r="B25" s="505"/>
      <c r="D25" s="145"/>
      <c r="E25" s="145"/>
      <c r="F25" s="517"/>
      <c r="G25" s="505"/>
      <c r="H25" s="517"/>
      <c r="I25" s="517"/>
      <c r="J25" s="517"/>
      <c r="K25" s="517"/>
      <c r="L25" s="517"/>
      <c r="M25" s="517"/>
      <c r="N25" s="517"/>
    </row>
    <row r="26" spans="1:14" ht="13.5" thickBot="1" x14ac:dyDescent="0.25">
      <c r="A26" s="505" t="s">
        <v>173</v>
      </c>
      <c r="B26" s="505"/>
      <c r="C26" s="505"/>
      <c r="D26" s="505"/>
      <c r="E26" s="505"/>
      <c r="F26" s="522">
        <f>+F15-F20-F24</f>
        <v>0</v>
      </c>
      <c r="G26" s="515"/>
      <c r="H26" s="522">
        <f>+H15-H20-H24</f>
        <v>1500000</v>
      </c>
      <c r="I26" s="515"/>
      <c r="J26" s="515">
        <f>+J15-J20-J24</f>
        <v>-1500000</v>
      </c>
      <c r="K26" s="515"/>
      <c r="L26" s="522">
        <f>+L15-L20-L24</f>
        <v>0</v>
      </c>
      <c r="M26" s="515"/>
      <c r="N26" s="522">
        <f>+N15+N20+N24</f>
        <v>0</v>
      </c>
    </row>
    <row r="27" spans="1:14" ht="13.5" thickTop="1" x14ac:dyDescent="0.2">
      <c r="A27" s="505"/>
      <c r="B27" s="505"/>
      <c r="C27" s="505"/>
      <c r="D27" s="505"/>
      <c r="E27" s="505"/>
      <c r="F27" s="506"/>
      <c r="G27" s="505"/>
      <c r="H27" s="505"/>
      <c r="I27" s="505"/>
      <c r="J27" s="505"/>
      <c r="K27" s="505"/>
      <c r="L27" s="505"/>
      <c r="M27" s="505"/>
      <c r="N27" s="505"/>
    </row>
    <row r="28" spans="1:14" x14ac:dyDescent="0.2">
      <c r="A28" s="505" t="s">
        <v>1076</v>
      </c>
      <c r="B28" s="505"/>
      <c r="C28" s="505"/>
      <c r="D28" s="505"/>
      <c r="E28" s="505"/>
      <c r="F28" s="505"/>
      <c r="G28" s="505"/>
      <c r="H28" s="505"/>
      <c r="I28" s="505"/>
      <c r="J28" s="516">
        <v>1500000</v>
      </c>
      <c r="K28" s="505"/>
      <c r="L28" s="505"/>
      <c r="M28" s="505"/>
      <c r="N28" s="505"/>
    </row>
    <row r="29" spans="1:14" ht="13.5" thickBot="1" x14ac:dyDescent="0.25">
      <c r="A29" s="505" t="s">
        <v>1083</v>
      </c>
      <c r="B29" s="505"/>
      <c r="C29" s="505"/>
      <c r="D29" s="505"/>
      <c r="E29" s="505"/>
      <c r="F29" s="505"/>
      <c r="G29" s="505"/>
      <c r="H29" s="505"/>
      <c r="I29" s="505"/>
      <c r="J29" s="522">
        <f>J28+J26</f>
        <v>0</v>
      </c>
      <c r="K29" s="505"/>
      <c r="L29" s="505"/>
      <c r="M29" s="505"/>
      <c r="N29" s="505"/>
    </row>
    <row r="30" spans="1:14" ht="13.5" thickTop="1" x14ac:dyDescent="0.2">
      <c r="A30" s="505"/>
      <c r="B30" s="505"/>
      <c r="C30" s="505"/>
      <c r="D30" s="505"/>
      <c r="E30" s="505"/>
      <c r="F30" s="505"/>
      <c r="G30" s="505"/>
      <c r="H30" s="505"/>
      <c r="I30" s="505"/>
      <c r="J30" s="505"/>
      <c r="K30" s="505"/>
      <c r="L30" s="506"/>
      <c r="M30" s="505"/>
      <c r="N30" s="505"/>
    </row>
  </sheetData>
  <mergeCells count="2">
    <mergeCell ref="E5:N5"/>
    <mergeCell ref="H9:L9"/>
  </mergeCells>
  <pageMargins left="0.7" right="0.7" top="0.75" bottom="0.75" header="0.3" footer="0.3"/>
  <pageSetup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3E4E8-37F2-4A13-9457-C282255C1C4C}">
  <sheetPr>
    <tabColor rgb="FF00FF00"/>
    <pageSetUpPr fitToPage="1"/>
  </sheetPr>
  <dimension ref="A1:O37"/>
  <sheetViews>
    <sheetView topLeftCell="A6" workbookViewId="0">
      <selection activeCell="D35" sqref="D35:K35"/>
    </sheetView>
  </sheetViews>
  <sheetFormatPr defaultColWidth="9.140625" defaultRowHeight="12.75" x14ac:dyDescent="0.2"/>
  <cols>
    <col min="1" max="1" width="1" customWidth="1"/>
    <col min="2" max="3" width="1.7109375" customWidth="1"/>
    <col min="4" max="4" width="23.7109375" customWidth="1"/>
    <col min="5" max="5" width="11.7109375" customWidth="1"/>
    <col min="6" max="6" width="1.7109375" customWidth="1"/>
    <col min="7" max="7" width="11.7109375" customWidth="1"/>
    <col min="8" max="8" width="1.7109375" customWidth="1"/>
    <col min="9" max="9" width="11.7109375" customWidth="1"/>
    <col min="10" max="10" width="1.7109375" customWidth="1"/>
    <col min="11" max="11" width="11.7109375" customWidth="1"/>
    <col min="12" max="12" width="12.42578125" customWidth="1"/>
    <col min="13" max="13" width="13" customWidth="1"/>
    <col min="15" max="15" width="12.140625" bestFit="1" customWidth="1"/>
  </cols>
  <sheetData>
    <row r="1" spans="1:13" x14ac:dyDescent="0.2">
      <c r="A1" s="804"/>
      <c r="B1" s="1028" t="s">
        <v>0</v>
      </c>
      <c r="C1" s="1028"/>
      <c r="D1" s="1028"/>
      <c r="E1" s="1028"/>
      <c r="F1" s="1028"/>
      <c r="G1" s="1028"/>
      <c r="H1" s="1028"/>
      <c r="I1" s="1028"/>
      <c r="J1" s="1028"/>
      <c r="K1" s="1028"/>
      <c r="L1" s="93"/>
    </row>
    <row r="2" spans="1:13" x14ac:dyDescent="0.2">
      <c r="A2" s="804"/>
      <c r="B2" s="1028" t="s">
        <v>1071</v>
      </c>
      <c r="C2" s="1028"/>
      <c r="D2" s="1028"/>
      <c r="E2" s="1028"/>
      <c r="F2" s="1028"/>
      <c r="G2" s="1028"/>
      <c r="H2" s="1028"/>
      <c r="I2" s="1028"/>
      <c r="J2" s="1028"/>
      <c r="K2" s="1028"/>
      <c r="L2" s="93"/>
    </row>
    <row r="3" spans="1:13" x14ac:dyDescent="0.2">
      <c r="A3" s="804"/>
      <c r="B3" s="1028" t="s">
        <v>968</v>
      </c>
      <c r="C3" s="1028"/>
      <c r="D3" s="1028"/>
      <c r="E3" s="1028"/>
      <c r="F3" s="1028"/>
      <c r="G3" s="1028"/>
      <c r="H3" s="1028"/>
      <c r="I3" s="1028"/>
      <c r="J3" s="1028"/>
      <c r="K3" s="1028"/>
      <c r="L3" s="93"/>
    </row>
    <row r="4" spans="1:13" s="310" customFormat="1" x14ac:dyDescent="0.2">
      <c r="A4" s="576"/>
      <c r="B4" s="1028" t="str">
        <f>'GWStmtAct 68 Exh 2'!A3</f>
        <v>For the Year Ended June 30, 2025</v>
      </c>
      <c r="C4" s="1028"/>
      <c r="D4" s="1028"/>
      <c r="E4" s="1028"/>
      <c r="F4" s="1028"/>
      <c r="G4" s="1028"/>
      <c r="H4" s="1028"/>
      <c r="I4" s="1028"/>
      <c r="J4" s="1028"/>
      <c r="K4" s="1028"/>
      <c r="L4" s="93"/>
    </row>
    <row r="5" spans="1:13" s="310" customFormat="1" x14ac:dyDescent="0.2">
      <c r="A5" s="576"/>
      <c r="B5" s="806"/>
      <c r="C5" s="576"/>
      <c r="D5" s="805"/>
      <c r="E5" s="805"/>
      <c r="F5" s="805"/>
      <c r="G5" s="805"/>
      <c r="H5" s="805"/>
      <c r="I5" s="805"/>
      <c r="J5" s="805"/>
      <c r="K5" s="628" t="s">
        <v>226</v>
      </c>
      <c r="L5" s="815"/>
    </row>
    <row r="6" spans="1:13" ht="13.5" thickBot="1" x14ac:dyDescent="0.25">
      <c r="A6" s="807"/>
      <c r="B6" s="808"/>
      <c r="C6" s="808"/>
      <c r="D6" s="808"/>
      <c r="E6" s="808"/>
      <c r="F6" s="808"/>
      <c r="G6" s="808"/>
      <c r="H6" s="808"/>
      <c r="I6" s="808"/>
      <c r="J6" s="808"/>
      <c r="K6" s="808"/>
      <c r="L6" s="26"/>
    </row>
    <row r="7" spans="1:13" x14ac:dyDescent="0.2">
      <c r="A7" s="804"/>
      <c r="B7" s="626"/>
      <c r="C7" s="626"/>
      <c r="D7" s="626"/>
      <c r="E7" s="1024" t="s">
        <v>556</v>
      </c>
      <c r="F7" s="1024"/>
      <c r="G7" s="1024"/>
      <c r="H7" s="1024"/>
      <c r="I7" s="1024"/>
      <c r="J7" s="1024"/>
      <c r="K7" s="1024"/>
      <c r="L7" s="113"/>
      <c r="M7" s="745"/>
    </row>
    <row r="8" spans="1:13" ht="38.25" customHeight="1" x14ac:dyDescent="0.2">
      <c r="A8" s="770"/>
      <c r="B8" s="783"/>
      <c r="C8" s="783"/>
      <c r="D8" s="783"/>
      <c r="E8" s="803" t="s">
        <v>188</v>
      </c>
      <c r="F8" s="798"/>
      <c r="G8" s="800" t="s">
        <v>189</v>
      </c>
      <c r="H8" s="798"/>
      <c r="I8" s="800" t="s">
        <v>969</v>
      </c>
      <c r="J8" s="798"/>
      <c r="K8" s="800" t="s">
        <v>1072</v>
      </c>
    </row>
    <row r="9" spans="1:13" x14ac:dyDescent="0.2">
      <c r="A9" s="770"/>
      <c r="B9" s="795" t="s">
        <v>192</v>
      </c>
      <c r="C9" s="783"/>
      <c r="D9" s="783"/>
      <c r="E9" s="626"/>
      <c r="F9" s="783"/>
      <c r="G9" s="783"/>
      <c r="H9" s="783"/>
      <c r="I9" s="783"/>
      <c r="J9" s="783"/>
      <c r="K9" s="783"/>
    </row>
    <row r="10" spans="1:13" x14ac:dyDescent="0.2">
      <c r="A10" s="770"/>
      <c r="B10" s="783"/>
      <c r="C10" s="795" t="s">
        <v>974</v>
      </c>
      <c r="D10" s="795"/>
      <c r="E10" s="617">
        <v>540000</v>
      </c>
      <c r="F10" s="784"/>
      <c r="G10" s="784">
        <v>540000</v>
      </c>
      <c r="H10" s="784"/>
      <c r="I10" s="784">
        <f>+'SR-BA7 (Opioid) Annual'!H14</f>
        <v>540000</v>
      </c>
      <c r="J10" s="784"/>
      <c r="K10" s="784">
        <f>+I10-E10</f>
        <v>0</v>
      </c>
    </row>
    <row r="11" spans="1:13" x14ac:dyDescent="0.2">
      <c r="A11" s="770"/>
      <c r="B11" s="783"/>
      <c r="C11" s="795" t="s">
        <v>148</v>
      </c>
      <c r="D11" s="795"/>
      <c r="E11" s="627">
        <v>0</v>
      </c>
      <c r="F11" s="785"/>
      <c r="G11" s="787">
        <v>0</v>
      </c>
      <c r="H11" s="785"/>
      <c r="I11" s="787">
        <v>0</v>
      </c>
      <c r="J11" s="785"/>
      <c r="K11" s="787">
        <f>+I11-E11</f>
        <v>0</v>
      </c>
    </row>
    <row r="12" spans="1:13" x14ac:dyDescent="0.2">
      <c r="A12" s="770"/>
      <c r="B12" s="783"/>
      <c r="C12" s="783"/>
      <c r="D12" s="795" t="s">
        <v>150</v>
      </c>
      <c r="E12" s="618">
        <f>SUM(E10:E11)</f>
        <v>540000</v>
      </c>
      <c r="F12" s="791"/>
      <c r="G12" s="786">
        <f>SUM(G10:G11)</f>
        <v>540000</v>
      </c>
      <c r="H12" s="791"/>
      <c r="I12" s="786">
        <f>SUM(I10:I11)</f>
        <v>540000</v>
      </c>
      <c r="J12" s="791"/>
      <c r="K12" s="786">
        <f>SUM(K10:K11)</f>
        <v>0</v>
      </c>
    </row>
    <row r="13" spans="1:13" x14ac:dyDescent="0.2">
      <c r="A13" s="770"/>
      <c r="B13" s="783"/>
      <c r="C13" s="783"/>
      <c r="D13" s="783"/>
      <c r="E13" s="609"/>
      <c r="F13" s="785"/>
      <c r="G13" s="785"/>
      <c r="H13" s="785"/>
      <c r="I13" s="785"/>
      <c r="J13" s="785"/>
      <c r="K13" s="785"/>
    </row>
    <row r="14" spans="1:13" x14ac:dyDescent="0.2">
      <c r="A14" s="770"/>
      <c r="B14" s="795" t="s">
        <v>439</v>
      </c>
      <c r="C14" s="783"/>
      <c r="D14" s="745"/>
      <c r="E14" s="609"/>
      <c r="F14" s="785"/>
      <c r="G14" s="785"/>
      <c r="H14" s="785"/>
      <c r="I14" s="785"/>
      <c r="J14" s="785"/>
      <c r="K14" s="785"/>
    </row>
    <row r="15" spans="1:13" x14ac:dyDescent="0.2">
      <c r="A15" s="770"/>
      <c r="B15" s="783"/>
      <c r="C15" s="796" t="s">
        <v>68</v>
      </c>
      <c r="E15" s="627">
        <v>540000</v>
      </c>
      <c r="F15" s="791"/>
      <c r="G15" s="787">
        <v>540000</v>
      </c>
      <c r="H15" s="791"/>
      <c r="I15" s="787">
        <f>+'SR-BA7 (Opioid) Annual'!H32</f>
        <v>500000</v>
      </c>
      <c r="J15" s="791"/>
      <c r="K15" s="787">
        <f>+I15-G15</f>
        <v>-40000</v>
      </c>
    </row>
    <row r="16" spans="1:13" x14ac:dyDescent="0.2">
      <c r="A16" s="770"/>
      <c r="B16" s="783"/>
      <c r="C16" s="783"/>
      <c r="D16" s="795" t="s">
        <v>162</v>
      </c>
      <c r="E16" s="618">
        <f>SUM(E15:E15)</f>
        <v>540000</v>
      </c>
      <c r="F16" s="791"/>
      <c r="G16" s="786">
        <f>SUM(G15:G15)</f>
        <v>540000</v>
      </c>
      <c r="H16" s="791"/>
      <c r="I16" s="786">
        <f>SUM(I15:I15)</f>
        <v>500000</v>
      </c>
      <c r="J16" s="791"/>
      <c r="K16" s="786">
        <f>SUM(K15:K15)</f>
        <v>-40000</v>
      </c>
    </row>
    <row r="17" spans="1:13" x14ac:dyDescent="0.2">
      <c r="A17" s="770"/>
      <c r="B17" s="783"/>
      <c r="C17" s="783"/>
      <c r="D17" s="783"/>
      <c r="E17" s="609"/>
      <c r="F17" s="785"/>
      <c r="G17" s="785"/>
      <c r="H17" s="785"/>
      <c r="I17" s="785"/>
      <c r="J17" s="785"/>
      <c r="K17" s="785"/>
    </row>
    <row r="18" spans="1:13" x14ac:dyDescent="0.2">
      <c r="A18" s="770"/>
      <c r="B18" s="795" t="s">
        <v>531</v>
      </c>
      <c r="C18" s="783"/>
      <c r="D18" s="783"/>
      <c r="E18" s="618">
        <f>+E12-E16</f>
        <v>0</v>
      </c>
      <c r="F18" s="791"/>
      <c r="G18" s="786">
        <f>+G12-G16</f>
        <v>0</v>
      </c>
      <c r="H18" s="791"/>
      <c r="I18" s="786">
        <f>+I12-I16</f>
        <v>40000</v>
      </c>
      <c r="J18" s="791"/>
      <c r="K18" s="786">
        <f>+K12+K16</f>
        <v>-40000</v>
      </c>
    </row>
    <row r="19" spans="1:13" x14ac:dyDescent="0.2">
      <c r="A19" s="770"/>
      <c r="B19" s="783"/>
      <c r="C19" s="783"/>
      <c r="D19" s="783"/>
      <c r="E19" s="609"/>
      <c r="F19" s="785"/>
      <c r="G19" s="785"/>
      <c r="H19" s="785"/>
      <c r="I19" s="785"/>
      <c r="J19" s="785"/>
      <c r="K19" s="788"/>
    </row>
    <row r="20" spans="1:13" ht="13.5" thickBot="1" x14ac:dyDescent="0.25">
      <c r="A20" s="770"/>
      <c r="B20" s="745" t="s">
        <v>173</v>
      </c>
      <c r="C20" s="751"/>
      <c r="D20" s="751"/>
      <c r="E20" s="630">
        <f>+E12-E16</f>
        <v>0</v>
      </c>
      <c r="F20" s="797"/>
      <c r="G20" s="789">
        <f>+G12-G16</f>
        <v>0</v>
      </c>
      <c r="H20" s="797"/>
      <c r="I20" s="785">
        <f>+I12-I16</f>
        <v>40000</v>
      </c>
      <c r="J20" s="791"/>
      <c r="K20" s="790">
        <f>+G20+I20</f>
        <v>40000</v>
      </c>
    </row>
    <row r="21" spans="1:13" ht="11.25" customHeight="1" thickTop="1" x14ac:dyDescent="0.2">
      <c r="A21" s="770"/>
      <c r="B21" s="745"/>
      <c r="C21" s="751"/>
      <c r="D21" s="751"/>
      <c r="E21" s="785"/>
      <c r="F21" s="785"/>
      <c r="G21" s="785"/>
      <c r="H21" s="785"/>
      <c r="I21" s="785"/>
      <c r="J21" s="785"/>
      <c r="K21" s="785"/>
      <c r="L21" s="149"/>
    </row>
    <row r="22" spans="1:13" hidden="1" x14ac:dyDescent="0.2">
      <c r="A22" s="770"/>
      <c r="B22" s="745" t="s">
        <v>971</v>
      </c>
      <c r="C22" s="751"/>
      <c r="D22" s="751"/>
      <c r="E22" s="783"/>
      <c r="F22" s="783"/>
      <c r="G22" s="783"/>
      <c r="H22" s="783"/>
      <c r="I22" s="783"/>
      <c r="J22" s="783"/>
      <c r="K22" s="785"/>
      <c r="L22" s="26"/>
    </row>
    <row r="23" spans="1:13" hidden="1" x14ac:dyDescent="0.2">
      <c r="A23" s="770"/>
      <c r="B23" s="745"/>
      <c r="C23" s="751" t="s">
        <v>972</v>
      </c>
      <c r="D23" s="751"/>
      <c r="E23" s="783"/>
      <c r="F23" s="783"/>
      <c r="G23" s="783"/>
      <c r="H23" s="783"/>
      <c r="I23" s="783"/>
      <c r="J23" s="783"/>
      <c r="K23" s="785">
        <v>5453</v>
      </c>
      <c r="L23" s="26"/>
    </row>
    <row r="24" spans="1:13" hidden="1" x14ac:dyDescent="0.2">
      <c r="A24" s="770"/>
      <c r="B24" s="751" t="s">
        <v>973</v>
      </c>
      <c r="C24" s="751"/>
      <c r="D24" s="751"/>
      <c r="E24" s="783"/>
      <c r="F24" s="783"/>
      <c r="G24" s="783"/>
      <c r="H24" s="783"/>
      <c r="I24" s="783"/>
      <c r="J24" s="783"/>
      <c r="K24" s="787">
        <v>0</v>
      </c>
      <c r="L24" s="26"/>
    </row>
    <row r="25" spans="1:13" hidden="1" x14ac:dyDescent="0.2">
      <c r="A25" s="770"/>
      <c r="B25" s="745" t="s">
        <v>174</v>
      </c>
      <c r="C25" s="745"/>
      <c r="D25" s="745"/>
      <c r="E25" s="783"/>
      <c r="F25" s="783"/>
      <c r="G25" s="783"/>
      <c r="H25" s="783"/>
      <c r="I25" s="791">
        <v>0</v>
      </c>
      <c r="J25" s="791"/>
      <c r="K25" s="783"/>
    </row>
    <row r="26" spans="1:13" hidden="1" x14ac:dyDescent="0.2">
      <c r="A26" s="770"/>
      <c r="B26" s="745"/>
      <c r="C26" s="745" t="s">
        <v>175</v>
      </c>
      <c r="D26" s="745"/>
      <c r="E26" s="783"/>
      <c r="F26" s="783"/>
      <c r="G26" s="783"/>
      <c r="H26" s="783"/>
      <c r="I26" s="792">
        <v>290000</v>
      </c>
      <c r="J26" s="792"/>
      <c r="K26" s="783"/>
    </row>
    <row r="27" spans="1:13" x14ac:dyDescent="0.2">
      <c r="A27" s="770"/>
      <c r="B27" s="745" t="s">
        <v>176</v>
      </c>
      <c r="C27" s="745"/>
      <c r="D27" s="745"/>
      <c r="E27" s="783"/>
      <c r="F27" s="783"/>
      <c r="G27" s="783"/>
      <c r="H27" s="783"/>
      <c r="I27" s="793">
        <f>+'SR-BA7 (Opioid) Annual'!H38</f>
        <v>290000</v>
      </c>
      <c r="J27" s="792"/>
      <c r="K27" s="783"/>
    </row>
    <row r="28" spans="1:13" ht="13.5" thickBot="1" x14ac:dyDescent="0.25">
      <c r="A28" s="770"/>
      <c r="B28" s="751" t="s">
        <v>178</v>
      </c>
      <c r="C28" s="745"/>
      <c r="D28" s="745"/>
      <c r="E28" s="783"/>
      <c r="F28" s="783"/>
      <c r="G28" s="783"/>
      <c r="H28" s="783"/>
      <c r="I28" s="794">
        <f>+I20+I27</f>
        <v>330000</v>
      </c>
      <c r="J28" s="799"/>
      <c r="K28" s="783"/>
    </row>
    <row r="29" spans="1:13" ht="13.15" customHeight="1" thickTop="1" x14ac:dyDescent="0.2">
      <c r="A29" s="770"/>
      <c r="B29" s="745"/>
      <c r="C29" s="745"/>
      <c r="D29" s="745"/>
      <c r="E29" s="783"/>
      <c r="F29" s="783"/>
      <c r="G29" s="783"/>
      <c r="H29" s="783"/>
      <c r="I29" s="797"/>
      <c r="J29" s="797"/>
      <c r="K29" s="783"/>
    </row>
    <row r="30" spans="1:13" x14ac:dyDescent="0.2">
      <c r="A30" s="770"/>
      <c r="B30" s="745"/>
      <c r="C30" s="745"/>
      <c r="D30" s="745"/>
      <c r="E30" s="783"/>
      <c r="F30" s="783"/>
      <c r="G30" s="783"/>
      <c r="H30" s="783"/>
      <c r="I30" s="797"/>
      <c r="J30" s="797"/>
      <c r="K30" s="783"/>
    </row>
    <row r="31" spans="1:13" ht="15" customHeight="1" x14ac:dyDescent="0.2">
      <c r="A31" s="770"/>
      <c r="B31" s="770" t="s">
        <v>50</v>
      </c>
      <c r="C31" s="745"/>
      <c r="D31" s="745"/>
      <c r="E31" s="826"/>
      <c r="F31" s="826"/>
      <c r="G31" s="826"/>
      <c r="H31" s="826"/>
      <c r="I31" s="826"/>
      <c r="J31" s="826"/>
      <c r="K31" s="826"/>
      <c r="L31" s="615"/>
      <c r="M31" s="615"/>
    </row>
    <row r="32" spans="1:13" ht="15" customHeight="1" x14ac:dyDescent="0.2">
      <c r="B32" s="310"/>
      <c r="C32" s="310"/>
      <c r="D32" s="310"/>
      <c r="E32" s="615"/>
      <c r="F32" s="615"/>
      <c r="G32" s="615"/>
      <c r="H32" s="615"/>
      <c r="I32" s="615"/>
      <c r="J32" s="615"/>
      <c r="K32" s="615"/>
      <c r="L32" s="615"/>
      <c r="M32" s="615"/>
    </row>
    <row r="33" spans="2:15" ht="15" customHeight="1" x14ac:dyDescent="0.2">
      <c r="B33" s="310"/>
      <c r="C33" s="310"/>
      <c r="D33" s="310"/>
      <c r="E33" s="615"/>
      <c r="F33" s="615"/>
      <c r="G33" s="615"/>
      <c r="H33" s="615"/>
      <c r="I33" s="615"/>
      <c r="J33" s="615"/>
      <c r="K33" s="615"/>
      <c r="L33" s="615"/>
      <c r="M33" s="615"/>
    </row>
    <row r="34" spans="2:15" ht="13.15" customHeight="1" thickBot="1" x14ac:dyDescent="0.3">
      <c r="B34" s="310"/>
      <c r="C34" s="310"/>
      <c r="D34" s="310"/>
      <c r="E34" s="615"/>
      <c r="F34" s="615"/>
      <c r="G34" s="615"/>
      <c r="H34" s="615"/>
      <c r="I34" s="615"/>
      <c r="J34" s="615"/>
      <c r="K34" s="615"/>
      <c r="L34" s="615"/>
      <c r="M34" s="615"/>
      <c r="N34" s="620"/>
      <c r="O34" s="620"/>
    </row>
    <row r="35" spans="2:15" ht="91.5" customHeight="1" thickBot="1" x14ac:dyDescent="0.25">
      <c r="D35" s="1025" t="s">
        <v>1196</v>
      </c>
      <c r="E35" s="1026"/>
      <c r="F35" s="1026"/>
      <c r="G35" s="1026"/>
      <c r="H35" s="1026"/>
      <c r="I35" s="1026"/>
      <c r="J35" s="1026"/>
      <c r="K35" s="1027"/>
      <c r="L35" s="615"/>
      <c r="M35" s="615"/>
    </row>
    <row r="36" spans="2:15" ht="13.5" thickBot="1" x14ac:dyDescent="0.25"/>
    <row r="37" spans="2:15" ht="56.25" customHeight="1" thickBot="1" x14ac:dyDescent="0.25">
      <c r="D37" s="1021" t="s">
        <v>1092</v>
      </c>
      <c r="E37" s="1022"/>
      <c r="F37" s="1022"/>
      <c r="G37" s="1022"/>
      <c r="H37" s="1022"/>
      <c r="I37" s="1022"/>
      <c r="J37" s="1022"/>
      <c r="K37" s="1023"/>
    </row>
  </sheetData>
  <sheetProtection selectLockedCells="1" selectUnlockedCells="1"/>
  <mergeCells count="7">
    <mergeCell ref="D37:K37"/>
    <mergeCell ref="E7:K7"/>
    <mergeCell ref="D35:K35"/>
    <mergeCell ref="B1:K1"/>
    <mergeCell ref="B2:K2"/>
    <mergeCell ref="B3:K3"/>
    <mergeCell ref="B4:K4"/>
  </mergeCells>
  <printOptions horizontalCentered="1"/>
  <pageMargins left="0.7" right="0.7" top="0.75" bottom="0.75" header="0.3" footer="0.3"/>
  <pageSetup scale="97" firstPageNumber="36" orientation="portrait" r:id="rId1"/>
  <rowBreaks count="1" manualBreakCount="1">
    <brk id="1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ABE4B1080C3494780B91150D9F28D27" ma:contentTypeVersion="0" ma:contentTypeDescription="Create a new document." ma:contentTypeScope="" ma:versionID="6088cf711cf70727f0182f7354aa9ac4">
  <xsd:schema xmlns:xsd="http://www.w3.org/2001/XMLSchema" xmlns:xs="http://www.w3.org/2001/XMLSchema" xmlns:p="http://schemas.microsoft.com/office/2006/metadata/properties" targetNamespace="http://schemas.microsoft.com/office/2006/metadata/properties" ma:root="true" ma:fieldsID="b9dd5c629c7de02b24a55f48759b557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BB3DD9-4ACC-4539-B4F4-AE6BB99B4D2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223E65D-84CF-4A72-8BAE-CB69B5D18E27}">
  <ds:schemaRefs>
    <ds:schemaRef ds:uri="http://schemas.microsoft.com/office/2006/metadata/longProperties"/>
  </ds:schemaRefs>
</ds:datastoreItem>
</file>

<file path=customXml/itemProps3.xml><?xml version="1.0" encoding="utf-8"?>
<ds:datastoreItem xmlns:ds="http://schemas.openxmlformats.org/officeDocument/2006/customXml" ds:itemID="{EBAC2AFA-423C-4AA0-8531-C23F2FFA36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ABFE27B5-F7E3-4F80-AE8C-6B25532DC2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60</vt:i4>
      </vt:variant>
      <vt:variant>
        <vt:lpstr>Named Ranges</vt:lpstr>
      </vt:variant>
      <vt:variant>
        <vt:i4>38</vt:i4>
      </vt:variant>
    </vt:vector>
  </HeadingPairs>
  <TitlesOfParts>
    <vt:vector size="98" baseType="lpstr">
      <vt:lpstr>GWNetPos 68 Exh 1</vt:lpstr>
      <vt:lpstr>GWStmtAct</vt:lpstr>
      <vt:lpstr>GWStmtAct 68 Exh 2</vt:lpstr>
      <vt:lpstr>Balance Sheet Exh 3</vt:lpstr>
      <vt:lpstr>Rev, exp, chgs in fb Exh 4</vt:lpstr>
      <vt:lpstr>Rec chg fund bal to chg Exh 5</vt:lpstr>
      <vt:lpstr>GF-BudAct Exh 6</vt:lpstr>
      <vt:lpstr>ARPA BudAct Exh 7</vt:lpstr>
      <vt:lpstr>Opioid-BudAct Exh 8</vt:lpstr>
      <vt:lpstr>Net Pos-Prop Exh 9</vt:lpstr>
      <vt:lpstr>Rev, exp-Prop Exh 10</vt:lpstr>
      <vt:lpstr>EFCF Exh 11</vt:lpstr>
      <vt:lpstr>Fiduciary SNP Exh12</vt:lpstr>
      <vt:lpstr>Fiduciary-ChgNetPos Exh 13</vt:lpstr>
      <vt:lpstr>RSI - LGERS 1</vt:lpstr>
      <vt:lpstr>RSI - LGERS 2</vt:lpstr>
      <vt:lpstr>RSI - LGERS 1TDA</vt:lpstr>
      <vt:lpstr>RSI - LGERS 2TDA</vt:lpstr>
      <vt:lpstr>RSI- ROD 1</vt:lpstr>
      <vt:lpstr>RSI - ROD 2</vt:lpstr>
      <vt:lpstr>RSI - LEO 1</vt:lpstr>
      <vt:lpstr>RSI - LEO 2</vt:lpstr>
      <vt:lpstr>RSI - OPEB 1</vt:lpstr>
      <vt:lpstr>RSI  - OPEB 2</vt:lpstr>
      <vt:lpstr>GFIS_BA</vt:lpstr>
      <vt:lpstr>TAX Rev-BA1</vt:lpstr>
      <vt:lpstr>SR-BA8 (ARP)</vt:lpstr>
      <vt:lpstr>SR-BA7 (Opioid) Annual</vt:lpstr>
      <vt:lpstr>SR-BA7 (Opioid)Multi Yr</vt:lpstr>
      <vt:lpstr>Comb BS-Nonmajor</vt:lpstr>
      <vt:lpstr>Com Rev, Exp-Nonmajor</vt:lpstr>
      <vt:lpstr>SR-BA2</vt:lpstr>
      <vt:lpstr>SR-BA3</vt:lpstr>
      <vt:lpstr>SR-BA4 (dss client funds)</vt:lpstr>
      <vt:lpstr>SR-BA5 (Deed of Trust)</vt:lpstr>
      <vt:lpstr>SR-BA6 (Fines &amp; Forfeiture)</vt:lpstr>
      <vt:lpstr>CP-BA1</vt:lpstr>
      <vt:lpstr>CP-BA2</vt:lpstr>
      <vt:lpstr>CRF Consol-BA1</vt:lpstr>
      <vt:lpstr> EF-BA1 2pg</vt:lpstr>
      <vt:lpstr>EF-BA2</vt:lpstr>
      <vt:lpstr>EF-BA3 3pg</vt:lpstr>
      <vt:lpstr>EF-BA4</vt:lpstr>
      <vt:lpstr>EF-BA5 2pg</vt:lpstr>
      <vt:lpstr>EF-BA6</vt:lpstr>
      <vt:lpstr>Comb Fid Assets&amp;Liabilities</vt:lpstr>
      <vt:lpstr>Comb Fid Fund-ChgNetPos</vt:lpstr>
      <vt:lpstr>Comb Custodial SNP</vt:lpstr>
      <vt:lpstr>Comb Custodial ChgNetPos</vt:lpstr>
      <vt:lpstr>TDA Balance Sheet</vt:lpstr>
      <vt:lpstr>TDA Rev Exp ChgFB</vt:lpstr>
      <vt:lpstr>TDA BA</vt:lpstr>
      <vt:lpstr>AnalysisTxLevy</vt:lpstr>
      <vt:lpstr>TaxesRec</vt:lpstr>
      <vt:lpstr>SM Top10 TaxP</vt:lpstr>
      <vt:lpstr>SM Levy Analysis</vt:lpstr>
      <vt:lpstr>e911 Reconciliation2</vt:lpstr>
      <vt:lpstr>Major Fund Calculation </vt:lpstr>
      <vt:lpstr>MD&amp;A Calcs</vt:lpstr>
      <vt:lpstr>Sheet1</vt:lpstr>
      <vt:lpstr>' EF-BA1 2pg'!Print_Area</vt:lpstr>
      <vt:lpstr>AnalysisTxLevy!Print_Area</vt:lpstr>
      <vt:lpstr>'Balance Sheet Exh 3'!Print_Area</vt:lpstr>
      <vt:lpstr>'Com Rev, Exp-Nonmajor'!Print_Area</vt:lpstr>
      <vt:lpstr>'Comb BS-Nonmajor'!Print_Area</vt:lpstr>
      <vt:lpstr>'Comb Custodial SNP'!Print_Area</vt:lpstr>
      <vt:lpstr>'Comb Fid Assets&amp;Liabilities'!Print_Area</vt:lpstr>
      <vt:lpstr>'Comb Fid Fund-ChgNetPos'!Print_Area</vt:lpstr>
      <vt:lpstr>'e911 Reconciliation2'!Print_Area</vt:lpstr>
      <vt:lpstr>'EF-BA2'!Print_Area</vt:lpstr>
      <vt:lpstr>'EFCF Exh 11'!Print_Area</vt:lpstr>
      <vt:lpstr>'Fiduciary SNP Exh12'!Print_Area</vt:lpstr>
      <vt:lpstr>'Fiduciary-ChgNetPos Exh 13'!Print_Area</vt:lpstr>
      <vt:lpstr>'GF-BudAct Exh 6'!Print_Area</vt:lpstr>
      <vt:lpstr>GFIS_BA!Print_Area</vt:lpstr>
      <vt:lpstr>'GWNetPos 68 Exh 1'!Print_Area</vt:lpstr>
      <vt:lpstr>'GWStmtAct 68 Exh 2'!Print_Area</vt:lpstr>
      <vt:lpstr>'Major Fund Calculation '!Print_Area</vt:lpstr>
      <vt:lpstr>'Net Pos-Prop Exh 9'!Print_Area</vt:lpstr>
      <vt:lpstr>'Opioid-BudAct Exh 8'!Print_Area</vt:lpstr>
      <vt:lpstr>'Rec chg fund bal to chg Exh 5'!Print_Area</vt:lpstr>
      <vt:lpstr>'Rev, exp, chgs in fb Exh 4'!Print_Area</vt:lpstr>
      <vt:lpstr>'Rev, exp-Prop Exh 10'!Print_Area</vt:lpstr>
      <vt:lpstr>'RSI - LEO 2'!Print_Area</vt:lpstr>
      <vt:lpstr>'RSI - LGERS 1'!Print_Area</vt:lpstr>
      <vt:lpstr>'RSI - LGERS 1TDA'!Print_Area</vt:lpstr>
      <vt:lpstr>'RSI - LGERS 2'!Print_Area</vt:lpstr>
      <vt:lpstr>'RSI - LGERS 2TDA'!Print_Area</vt:lpstr>
      <vt:lpstr>'RSI - ROD 2'!Print_Area</vt:lpstr>
      <vt:lpstr>'RSI- ROD 1'!Print_Area</vt:lpstr>
      <vt:lpstr>'TAX Rev-BA1'!Print_Area</vt:lpstr>
      <vt:lpstr>'TDA BA'!Print_Area</vt:lpstr>
      <vt:lpstr>'TDA Rev Exp ChgFB'!Print_Area</vt:lpstr>
      <vt:lpstr>' EF-BA1 2pg'!Print_Titles</vt:lpstr>
      <vt:lpstr>'EF-BA3 3pg'!Print_Titles</vt:lpstr>
      <vt:lpstr>'EF-BA5 2pg'!Print_Titles</vt:lpstr>
      <vt:lpstr>'EFCF Exh 11'!Print_Titles</vt:lpstr>
      <vt:lpstr>GFIS_BA!Print_Titles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Carolina County Exhibits and Statements</dc:title>
  <dc:subject/>
  <dc:creator>Samatha Cox</dc:creator>
  <cp:keywords/>
  <dc:description/>
  <cp:lastModifiedBy>Becky Dzingeleski</cp:lastModifiedBy>
  <cp:revision/>
  <cp:lastPrinted>2025-11-19T19:48:19Z</cp:lastPrinted>
  <dcterms:created xsi:type="dcterms:W3CDTF">2001-01-26T20:11:38Z</dcterms:created>
  <dcterms:modified xsi:type="dcterms:W3CDTF">2025-11-21T20:38:56Z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System Account</vt:lpwstr>
  </property>
  <property fmtid="{D5CDD505-2E9C-101B-9397-08002B2CF9AE}" pid="3" name="display_urn:schemas-microsoft-com:office:office#Author">
    <vt:lpwstr>Lawrence Koffa</vt:lpwstr>
  </property>
  <property fmtid="{D5CDD505-2E9C-101B-9397-08002B2CF9AE}" pid="4" name="_dlc_DocId">
    <vt:lpwstr/>
  </property>
  <property fmtid="{D5CDD505-2E9C-101B-9397-08002B2CF9AE}" pid="5" name="Description0">
    <vt:lpwstr>Carolina County Exhibits and Statements</vt:lpwstr>
  </property>
  <property fmtid="{D5CDD505-2E9C-101B-9397-08002B2CF9AE}" pid="6" name="Publication Date">
    <vt:lpwstr>6/28/2017</vt:lpwstr>
  </property>
  <property fmtid="{D5CDD505-2E9C-101B-9397-08002B2CF9AE}" pid="7" name="Sort Order">
    <vt:lpwstr/>
  </property>
  <property fmtid="{D5CDD505-2E9C-101B-9397-08002B2CF9AE}" pid="8" name="Category">
    <vt:lpwstr>Illustrative Financial Statements</vt:lpwstr>
  </property>
  <property fmtid="{D5CDD505-2E9C-101B-9397-08002B2CF9AE}" pid="9" name="Resource Category">
    <vt:lpwstr>Sample Financial Statement</vt:lpwstr>
  </property>
  <property fmtid="{D5CDD505-2E9C-101B-9397-08002B2CF9AE}" pid="10" name="Resource Group">
    <vt:lpwstr/>
  </property>
  <property fmtid="{D5CDD505-2E9C-101B-9397-08002B2CF9AE}" pid="11" name="ContentTypeId">
    <vt:lpwstr>0x0101007ABE4B1080C3494780B91150D9F28D27</vt:lpwstr>
  </property>
</Properties>
</file>