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Final DIW 10 13 2023_10182023_11012023_11162023\"/>
    </mc:Choice>
  </mc:AlternateContent>
  <xr:revisionPtr revIDLastSave="0" documentId="13_ncr:1_{4B9E7D86-61B3-4D96-A1E8-9DEC1616ED0B}" xr6:coauthVersionLast="47" xr6:coauthVersionMax="47" xr10:uidLastSave="{00000000-0000-0000-0000-000000000000}"/>
  <bookViews>
    <workbookView xWindow="57480" yWindow="-120" windowWidth="29040" windowHeight="15840" tabRatio="707" xr2:uid="{00000000-000D-0000-FFFF-FFFF00000000}"/>
  </bookViews>
  <sheets>
    <sheet name="Instructions" sheetId="97" r:id="rId1"/>
    <sheet name="Unit Data from Audit Worksheet" sheetId="1" r:id="rId2"/>
    <sheet name="TD Info Completed by Auditor" sheetId="91" r:id="rId3"/>
    <sheet name="Performance  Indicators Print" sheetId="88" r:id="rId4"/>
    <sheet name="RSS" sheetId="92" state="hidden" r:id="rId5"/>
    <sheet name="2021 Unit Data" sheetId="94" state="hidden" r:id="rId6"/>
    <sheet name="Formula for Unit Data" sheetId="93" state="hidden" r:id="rId7"/>
    <sheet name="Import" sheetId="28" state="hidden" r:id="rId8"/>
    <sheet name="PY1 Data(H)" sheetId="82" state="hidden" r:id="rId9"/>
    <sheet name="PY2 Data(H)" sheetId="84" state="hidden" r:id="rId10"/>
    <sheet name="Unit Names(H)" sheetId="29" state="hidden" r:id="rId11"/>
  </sheets>
  <externalReferences>
    <externalReference r:id="rId12"/>
  </externalReferences>
  <definedNames>
    <definedName name="Audit_Dtl">[1]Database!$AC$3:$AP$413</definedName>
    <definedName name="errorCount">#REF!</definedName>
    <definedName name="ppp">#REF!</definedName>
    <definedName name="_xlnm.Print_Area" localSheetId="3">'Performance  Indicators Print'!$A$1:$H$14</definedName>
    <definedName name="_xlnm.Print_Area" localSheetId="2">'TD Info Completed by Auditor'!$A$1:$D$39</definedName>
    <definedName name="_xlnm.Print_Area" localSheetId="1">'Unit Data from Audit Worksheet'!$A$7:$D$95</definedName>
    <definedName name="Print_Selection_Auditor">#REF!</definedName>
    <definedName name="Print_Selection_Internal" localSheetId="3">#REF!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3">#REF!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91" l="1"/>
  <c r="D20" i="91"/>
  <c r="D23" i="91"/>
  <c r="D24" i="91"/>
  <c r="D22" i="91"/>
  <c r="E62" i="1" l="1"/>
  <c r="E115" i="28"/>
  <c r="L115" i="28" s="1"/>
  <c r="E10" i="88" s="1"/>
  <c r="C115" i="28"/>
  <c r="A115" i="28"/>
  <c r="M10" i="88"/>
  <c r="N10" i="88" s="1"/>
  <c r="G10" i="88" s="1"/>
  <c r="L10" i="88"/>
  <c r="D14" i="91"/>
  <c r="D13" i="91"/>
  <c r="D12" i="91"/>
  <c r="E95" i="28"/>
  <c r="L95" i="28" s="1"/>
  <c r="E94" i="28"/>
  <c r="L94" i="28" s="1"/>
  <c r="E93" i="28"/>
  <c r="L93" i="28" s="1"/>
  <c r="E92" i="28"/>
  <c r="L92" i="28" s="1"/>
  <c r="E83" i="28"/>
  <c r="L83" i="28" s="1"/>
  <c r="E82" i="28"/>
  <c r="L82" i="28" s="1"/>
  <c r="E37" i="28"/>
  <c r="L37" i="28" s="1"/>
  <c r="E38" i="28"/>
  <c r="L38" i="28" s="1"/>
  <c r="E36" i="28"/>
  <c r="L36" i="28" s="1"/>
  <c r="A37" i="28"/>
  <c r="B37" i="28"/>
  <c r="C37" i="28"/>
  <c r="A38" i="28"/>
  <c r="B38" i="28"/>
  <c r="C38" i="28"/>
  <c r="C36" i="28"/>
  <c r="B36" i="28"/>
  <c r="A36" i="28"/>
  <c r="D21" i="91"/>
  <c r="D18" i="91"/>
  <c r="D17" i="91"/>
  <c r="D11" i="91"/>
  <c r="D26" i="91" l="1"/>
  <c r="D33" i="91"/>
  <c r="D32" i="91"/>
  <c r="D31" i="91"/>
  <c r="D30" i="91"/>
  <c r="G311" i="84"/>
  <c r="H311" i="84"/>
  <c r="E311" i="84"/>
  <c r="F311" i="84"/>
  <c r="I311" i="84"/>
  <c r="J311" i="84"/>
  <c r="K311" i="84"/>
  <c r="L311" i="84"/>
  <c r="M311" i="84"/>
  <c r="N311" i="84"/>
  <c r="O311" i="84"/>
  <c r="P311" i="84"/>
  <c r="Q311" i="84"/>
  <c r="R311" i="84"/>
  <c r="S311" i="84"/>
  <c r="D311" i="84"/>
  <c r="G198" i="82"/>
  <c r="H198" i="82"/>
  <c r="E198" i="82"/>
  <c r="F198" i="82"/>
  <c r="I198" i="82"/>
  <c r="J198" i="82"/>
  <c r="K198" i="82"/>
  <c r="L198" i="82"/>
  <c r="M198" i="82"/>
  <c r="N199" i="82"/>
  <c r="O198" i="82"/>
  <c r="P198" i="82"/>
  <c r="Q198" i="82"/>
  <c r="R198" i="82"/>
  <c r="S198" i="82"/>
  <c r="E180" i="82"/>
  <c r="F180" i="82"/>
  <c r="G180" i="82"/>
  <c r="H180" i="82"/>
  <c r="I180" i="82"/>
  <c r="J180" i="82"/>
  <c r="K180" i="82"/>
  <c r="L180" i="82"/>
  <c r="M180" i="82"/>
  <c r="N180" i="82"/>
  <c r="O180" i="82"/>
  <c r="P180" i="82"/>
  <c r="Q180" i="82"/>
  <c r="R180" i="82"/>
  <c r="S180" i="82"/>
  <c r="D180" i="82"/>
  <c r="E179" i="82"/>
  <c r="F179" i="82"/>
  <c r="G179" i="82"/>
  <c r="H179" i="82"/>
  <c r="I179" i="82"/>
  <c r="J179" i="82"/>
  <c r="K179" i="82"/>
  <c r="L179" i="82"/>
  <c r="M179" i="82"/>
  <c r="N179" i="82"/>
  <c r="O179" i="82"/>
  <c r="P179" i="82"/>
  <c r="Q179" i="82"/>
  <c r="R179" i="82"/>
  <c r="S179" i="82"/>
  <c r="D179" i="82"/>
  <c r="E184" i="82"/>
  <c r="F184" i="82"/>
  <c r="G184" i="82"/>
  <c r="H184" i="82"/>
  <c r="I184" i="82"/>
  <c r="J184" i="82"/>
  <c r="K184" i="82"/>
  <c r="L184" i="82"/>
  <c r="M184" i="82"/>
  <c r="N184" i="82"/>
  <c r="O184" i="82"/>
  <c r="P184" i="82"/>
  <c r="Q184" i="82"/>
  <c r="R184" i="82"/>
  <c r="S184" i="82"/>
  <c r="E185" i="82"/>
  <c r="F185" i="82"/>
  <c r="G185" i="82"/>
  <c r="H185" i="82"/>
  <c r="I185" i="82"/>
  <c r="J185" i="82"/>
  <c r="K185" i="82"/>
  <c r="L185" i="82"/>
  <c r="M185" i="82"/>
  <c r="N185" i="82"/>
  <c r="O185" i="82"/>
  <c r="P185" i="82"/>
  <c r="Q185" i="82"/>
  <c r="R185" i="82"/>
  <c r="S185" i="82"/>
  <c r="E186" i="82"/>
  <c r="F186" i="82"/>
  <c r="G186" i="82"/>
  <c r="H186" i="82"/>
  <c r="I186" i="82"/>
  <c r="J186" i="82"/>
  <c r="K186" i="82"/>
  <c r="L186" i="82"/>
  <c r="M186" i="82"/>
  <c r="N186" i="82"/>
  <c r="O186" i="82"/>
  <c r="P186" i="82"/>
  <c r="Q186" i="82"/>
  <c r="R186" i="82"/>
  <c r="S186" i="82"/>
  <c r="E136" i="82"/>
  <c r="F136" i="82"/>
  <c r="G136" i="82"/>
  <c r="H136" i="82"/>
  <c r="I136" i="82"/>
  <c r="J136" i="82"/>
  <c r="K136" i="82"/>
  <c r="L136" i="82"/>
  <c r="M136" i="82"/>
  <c r="N136" i="82"/>
  <c r="O136" i="82"/>
  <c r="P136" i="82"/>
  <c r="Q136" i="82"/>
  <c r="R136" i="82"/>
  <c r="S136" i="82"/>
  <c r="E139" i="82"/>
  <c r="F139" i="82"/>
  <c r="G139" i="82"/>
  <c r="H139" i="82"/>
  <c r="I139" i="82"/>
  <c r="J139" i="82"/>
  <c r="K139" i="82"/>
  <c r="L139" i="82"/>
  <c r="M139" i="82"/>
  <c r="N139" i="82"/>
  <c r="O139" i="82"/>
  <c r="P139" i="82"/>
  <c r="Q139" i="82"/>
  <c r="R139" i="82"/>
  <c r="S139" i="82"/>
  <c r="E140" i="82"/>
  <c r="F140" i="82"/>
  <c r="G140" i="82"/>
  <c r="H140" i="82"/>
  <c r="I140" i="82"/>
  <c r="J140" i="82"/>
  <c r="K140" i="82"/>
  <c r="L140" i="82"/>
  <c r="M140" i="82"/>
  <c r="N140" i="82"/>
  <c r="O140" i="82"/>
  <c r="P140" i="82"/>
  <c r="Q140" i="82"/>
  <c r="R140" i="82"/>
  <c r="S140" i="82"/>
  <c r="E141" i="82"/>
  <c r="F141" i="82"/>
  <c r="G141" i="82"/>
  <c r="H141" i="82"/>
  <c r="I141" i="82"/>
  <c r="J141" i="82"/>
  <c r="K141" i="82"/>
  <c r="L141" i="82"/>
  <c r="M141" i="82"/>
  <c r="N141" i="82"/>
  <c r="O141" i="82"/>
  <c r="P141" i="82"/>
  <c r="Q141" i="82"/>
  <c r="R141" i="82"/>
  <c r="S141" i="82"/>
  <c r="E142" i="82"/>
  <c r="F142" i="82"/>
  <c r="G142" i="82"/>
  <c r="H142" i="82"/>
  <c r="I142" i="82"/>
  <c r="J142" i="82"/>
  <c r="K142" i="82"/>
  <c r="L142" i="82"/>
  <c r="M142" i="82"/>
  <c r="N142" i="82"/>
  <c r="O142" i="82"/>
  <c r="P142" i="82"/>
  <c r="Q142" i="82"/>
  <c r="R142" i="82"/>
  <c r="S142" i="82"/>
  <c r="E143" i="82"/>
  <c r="F143" i="82"/>
  <c r="G143" i="82"/>
  <c r="H143" i="82"/>
  <c r="I143" i="82"/>
  <c r="J143" i="82"/>
  <c r="K143" i="82"/>
  <c r="L143" i="82"/>
  <c r="M143" i="82"/>
  <c r="N143" i="82"/>
  <c r="O143" i="82"/>
  <c r="P143" i="82"/>
  <c r="Q143" i="82"/>
  <c r="R143" i="82"/>
  <c r="S143" i="82"/>
  <c r="E144" i="82"/>
  <c r="F144" i="82"/>
  <c r="G144" i="82"/>
  <c r="H144" i="82"/>
  <c r="I144" i="82"/>
  <c r="J144" i="82"/>
  <c r="K144" i="82"/>
  <c r="L144" i="82"/>
  <c r="M144" i="82"/>
  <c r="N144" i="82"/>
  <c r="O144" i="82"/>
  <c r="P144" i="82"/>
  <c r="Q144" i="82"/>
  <c r="R144" i="82"/>
  <c r="S144" i="82"/>
  <c r="E145" i="82"/>
  <c r="F145" i="82"/>
  <c r="G145" i="82"/>
  <c r="H145" i="82"/>
  <c r="I145" i="82"/>
  <c r="J145" i="82"/>
  <c r="K145" i="82"/>
  <c r="L145" i="82"/>
  <c r="M145" i="82"/>
  <c r="N145" i="82"/>
  <c r="O145" i="82"/>
  <c r="P145" i="82"/>
  <c r="Q145" i="82"/>
  <c r="R145" i="82"/>
  <c r="S145" i="82"/>
  <c r="E147" i="82"/>
  <c r="F147" i="82"/>
  <c r="G147" i="82"/>
  <c r="H147" i="82"/>
  <c r="I147" i="82"/>
  <c r="J147" i="82"/>
  <c r="K147" i="82"/>
  <c r="L147" i="82"/>
  <c r="M147" i="82"/>
  <c r="N147" i="82"/>
  <c r="O147" i="82"/>
  <c r="P147" i="82"/>
  <c r="Q147" i="82"/>
  <c r="R147" i="82"/>
  <c r="S147" i="82"/>
  <c r="E148" i="82"/>
  <c r="F148" i="82"/>
  <c r="G148" i="82"/>
  <c r="H148" i="82"/>
  <c r="I148" i="82"/>
  <c r="J148" i="82"/>
  <c r="K148" i="82"/>
  <c r="L148" i="82"/>
  <c r="M148" i="82"/>
  <c r="N148" i="82"/>
  <c r="O148" i="82"/>
  <c r="P148" i="82"/>
  <c r="Q148" i="82"/>
  <c r="R148" i="82"/>
  <c r="S148" i="82"/>
  <c r="E149" i="82"/>
  <c r="F149" i="82"/>
  <c r="G149" i="82"/>
  <c r="H149" i="82"/>
  <c r="I149" i="82"/>
  <c r="J149" i="82"/>
  <c r="K149" i="82"/>
  <c r="L149" i="82"/>
  <c r="M149" i="82"/>
  <c r="N149" i="82"/>
  <c r="O149" i="82"/>
  <c r="P149" i="82"/>
  <c r="Q149" i="82"/>
  <c r="R149" i="82"/>
  <c r="S149" i="82"/>
  <c r="E153" i="82"/>
  <c r="F153" i="82"/>
  <c r="G153" i="82"/>
  <c r="H153" i="82"/>
  <c r="I153" i="82"/>
  <c r="J153" i="82"/>
  <c r="K153" i="82"/>
  <c r="L153" i="82"/>
  <c r="M153" i="82"/>
  <c r="N153" i="82"/>
  <c r="O153" i="82"/>
  <c r="P153" i="82"/>
  <c r="Q153" i="82"/>
  <c r="R153" i="82"/>
  <c r="S153" i="82"/>
  <c r="E154" i="82"/>
  <c r="F154" i="82"/>
  <c r="G154" i="82"/>
  <c r="H154" i="82"/>
  <c r="I154" i="82"/>
  <c r="J154" i="82"/>
  <c r="K154" i="82"/>
  <c r="L154" i="82"/>
  <c r="M154" i="82"/>
  <c r="N154" i="82"/>
  <c r="O154" i="82"/>
  <c r="P154" i="82"/>
  <c r="Q154" i="82"/>
  <c r="R154" i="82"/>
  <c r="S154" i="82"/>
  <c r="E155" i="82"/>
  <c r="F155" i="82"/>
  <c r="G155" i="82"/>
  <c r="H155" i="82"/>
  <c r="I155" i="82"/>
  <c r="J155" i="82"/>
  <c r="K155" i="82"/>
  <c r="L155" i="82"/>
  <c r="M155" i="82"/>
  <c r="N155" i="82"/>
  <c r="O155" i="82"/>
  <c r="P155" i="82"/>
  <c r="Q155" i="82"/>
  <c r="R155" i="82"/>
  <c r="S155" i="82"/>
  <c r="E156" i="82"/>
  <c r="F156" i="82"/>
  <c r="G156" i="82"/>
  <c r="H156" i="82"/>
  <c r="I156" i="82"/>
  <c r="J156" i="82"/>
  <c r="K156" i="82"/>
  <c r="L156" i="82"/>
  <c r="M156" i="82"/>
  <c r="N156" i="82"/>
  <c r="O156" i="82"/>
  <c r="P156" i="82"/>
  <c r="Q156" i="82"/>
  <c r="R156" i="82"/>
  <c r="S156" i="82"/>
  <c r="E157" i="82"/>
  <c r="F157" i="82"/>
  <c r="G157" i="82"/>
  <c r="H157" i="82"/>
  <c r="I157" i="82"/>
  <c r="J157" i="82"/>
  <c r="K157" i="82"/>
  <c r="L157" i="82"/>
  <c r="M157" i="82"/>
  <c r="N157" i="82"/>
  <c r="O157" i="82"/>
  <c r="P157" i="82"/>
  <c r="Q157" i="82"/>
  <c r="R157" i="82"/>
  <c r="S157" i="82"/>
  <c r="E158" i="82"/>
  <c r="F158" i="82"/>
  <c r="G158" i="82"/>
  <c r="H158" i="82"/>
  <c r="I158" i="82"/>
  <c r="J158" i="82"/>
  <c r="K158" i="82"/>
  <c r="L158" i="82"/>
  <c r="M158" i="82"/>
  <c r="N158" i="82"/>
  <c r="O158" i="82"/>
  <c r="P158" i="82"/>
  <c r="Q158" i="82"/>
  <c r="R158" i="82"/>
  <c r="S158" i="82"/>
  <c r="E159" i="82"/>
  <c r="F159" i="82"/>
  <c r="G159" i="82"/>
  <c r="H159" i="82"/>
  <c r="I159" i="82"/>
  <c r="J159" i="82"/>
  <c r="K159" i="82"/>
  <c r="L159" i="82"/>
  <c r="M159" i="82"/>
  <c r="N159" i="82"/>
  <c r="O159" i="82"/>
  <c r="P159" i="82"/>
  <c r="Q159" i="82"/>
  <c r="R159" i="82"/>
  <c r="S159" i="82"/>
  <c r="E160" i="82"/>
  <c r="F160" i="82"/>
  <c r="G160" i="82"/>
  <c r="H160" i="82"/>
  <c r="I160" i="82"/>
  <c r="J160" i="82"/>
  <c r="K160" i="82"/>
  <c r="L160" i="82"/>
  <c r="M160" i="82"/>
  <c r="N160" i="82"/>
  <c r="O160" i="82"/>
  <c r="P160" i="82"/>
  <c r="Q160" i="82"/>
  <c r="R160" i="82"/>
  <c r="S160" i="82"/>
  <c r="E161" i="82"/>
  <c r="F161" i="82"/>
  <c r="G161" i="82"/>
  <c r="H161" i="82"/>
  <c r="I161" i="82"/>
  <c r="J161" i="82"/>
  <c r="K161" i="82"/>
  <c r="L161" i="82"/>
  <c r="M161" i="82"/>
  <c r="N161" i="82"/>
  <c r="O161" i="82"/>
  <c r="P161" i="82"/>
  <c r="Q161" i="82"/>
  <c r="R161" i="82"/>
  <c r="S161" i="82"/>
  <c r="E162" i="82"/>
  <c r="F162" i="82"/>
  <c r="G162" i="82"/>
  <c r="H162" i="82"/>
  <c r="I162" i="82"/>
  <c r="J162" i="82"/>
  <c r="K162" i="82"/>
  <c r="L162" i="82"/>
  <c r="M162" i="82"/>
  <c r="N162" i="82"/>
  <c r="O162" i="82"/>
  <c r="P162" i="82"/>
  <c r="Q162" i="82"/>
  <c r="R162" i="82"/>
  <c r="S162" i="82"/>
  <c r="E163" i="82"/>
  <c r="F163" i="82"/>
  <c r="G163" i="82"/>
  <c r="H163" i="82"/>
  <c r="I163" i="82"/>
  <c r="J163" i="82"/>
  <c r="K163" i="82"/>
  <c r="L163" i="82"/>
  <c r="M163" i="82"/>
  <c r="N163" i="82"/>
  <c r="O163" i="82"/>
  <c r="P163" i="82"/>
  <c r="Q163" i="82"/>
  <c r="R163" i="82"/>
  <c r="S163" i="82"/>
  <c r="E164" i="82"/>
  <c r="F164" i="82"/>
  <c r="G164" i="82"/>
  <c r="H164" i="82"/>
  <c r="I164" i="82"/>
  <c r="J164" i="82"/>
  <c r="K164" i="82"/>
  <c r="L164" i="82"/>
  <c r="M164" i="82"/>
  <c r="N164" i="82"/>
  <c r="O164" i="82"/>
  <c r="P164" i="82"/>
  <c r="Q164" i="82"/>
  <c r="R164" i="82"/>
  <c r="S164" i="82"/>
  <c r="E165" i="82"/>
  <c r="F165" i="82"/>
  <c r="G165" i="82"/>
  <c r="H165" i="82"/>
  <c r="I165" i="82"/>
  <c r="J165" i="82"/>
  <c r="K165" i="82"/>
  <c r="L165" i="82"/>
  <c r="M165" i="82"/>
  <c r="N165" i="82"/>
  <c r="O165" i="82"/>
  <c r="P165" i="82"/>
  <c r="Q165" i="82"/>
  <c r="R165" i="82"/>
  <c r="S165" i="82"/>
  <c r="E170" i="82"/>
  <c r="F170" i="82"/>
  <c r="G170" i="82"/>
  <c r="H170" i="82"/>
  <c r="I170" i="82"/>
  <c r="J170" i="82"/>
  <c r="K170" i="82"/>
  <c r="L170" i="82"/>
  <c r="M170" i="82"/>
  <c r="N170" i="82"/>
  <c r="O170" i="82"/>
  <c r="P170" i="82"/>
  <c r="Q170" i="82"/>
  <c r="R170" i="82"/>
  <c r="S170" i="82"/>
  <c r="E171" i="82"/>
  <c r="F171" i="82"/>
  <c r="G171" i="82"/>
  <c r="H171" i="82"/>
  <c r="I171" i="82"/>
  <c r="J171" i="82"/>
  <c r="K171" i="82"/>
  <c r="L171" i="82"/>
  <c r="M171" i="82"/>
  <c r="N171" i="82"/>
  <c r="O171" i="82"/>
  <c r="P171" i="82"/>
  <c r="Q171" i="82"/>
  <c r="R171" i="82"/>
  <c r="S171" i="82"/>
  <c r="E172" i="82"/>
  <c r="F172" i="82"/>
  <c r="G172" i="82"/>
  <c r="H172" i="82"/>
  <c r="I172" i="82"/>
  <c r="J172" i="82"/>
  <c r="K172" i="82"/>
  <c r="L172" i="82"/>
  <c r="M172" i="82"/>
  <c r="N172" i="82"/>
  <c r="O172" i="82"/>
  <c r="P172" i="82"/>
  <c r="Q172" i="82"/>
  <c r="R172" i="82"/>
  <c r="S172" i="82"/>
  <c r="E176" i="82"/>
  <c r="F176" i="82"/>
  <c r="G176" i="82"/>
  <c r="H176" i="82"/>
  <c r="I176" i="82"/>
  <c r="J176" i="82"/>
  <c r="K176" i="82"/>
  <c r="L176" i="82"/>
  <c r="M176" i="82"/>
  <c r="N176" i="82"/>
  <c r="O176" i="82"/>
  <c r="P176" i="82"/>
  <c r="Q176" i="82"/>
  <c r="R176" i="82"/>
  <c r="S176" i="82"/>
  <c r="E177" i="82"/>
  <c r="F177" i="82"/>
  <c r="G177" i="82"/>
  <c r="H177" i="82"/>
  <c r="I177" i="82"/>
  <c r="J177" i="82"/>
  <c r="K177" i="82"/>
  <c r="L177" i="82"/>
  <c r="M177" i="82"/>
  <c r="N177" i="82"/>
  <c r="O177" i="82"/>
  <c r="P177" i="82"/>
  <c r="Q177" i="82"/>
  <c r="R177" i="82"/>
  <c r="S177" i="82"/>
  <c r="E178" i="82"/>
  <c r="F178" i="82"/>
  <c r="G178" i="82"/>
  <c r="H178" i="82"/>
  <c r="I178" i="82"/>
  <c r="J178" i="82"/>
  <c r="K178" i="82"/>
  <c r="L178" i="82"/>
  <c r="M178" i="82"/>
  <c r="N178" i="82"/>
  <c r="O178" i="82"/>
  <c r="P178" i="82"/>
  <c r="Q178" i="82"/>
  <c r="R178" i="82"/>
  <c r="S178" i="82"/>
  <c r="D178" i="82"/>
  <c r="D177" i="82"/>
  <c r="D198" i="82"/>
  <c r="D186" i="82"/>
  <c r="D185" i="82"/>
  <c r="D184" i="82"/>
  <c r="D176" i="82"/>
  <c r="D172" i="82"/>
  <c r="D171" i="82"/>
  <c r="D170" i="82"/>
  <c r="D165" i="82"/>
  <c r="D164" i="82"/>
  <c r="D163" i="82"/>
  <c r="D162" i="82"/>
  <c r="D159" i="82"/>
  <c r="D160" i="82"/>
  <c r="D161" i="82"/>
  <c r="D158" i="82"/>
  <c r="D155" i="82"/>
  <c r="D156" i="82"/>
  <c r="D157" i="82"/>
  <c r="D154" i="82"/>
  <c r="D153" i="82"/>
  <c r="D148" i="82"/>
  <c r="D149" i="82"/>
  <c r="D147" i="82"/>
  <c r="D145" i="82"/>
  <c r="D144" i="82"/>
  <c r="D143" i="82"/>
  <c r="D142" i="82"/>
  <c r="D141" i="82"/>
  <c r="D140" i="82"/>
  <c r="D139" i="82"/>
  <c r="D136" i="82"/>
  <c r="J182" i="82" l="1"/>
  <c r="M182" i="82"/>
  <c r="I182" i="82"/>
  <c r="R182" i="82"/>
  <c r="P182" i="82"/>
  <c r="L182" i="82"/>
  <c r="S182" i="82"/>
  <c r="K182" i="82"/>
  <c r="Q182" i="82"/>
  <c r="H182" i="82"/>
  <c r="O182" i="82"/>
  <c r="G182" i="82"/>
  <c r="N182" i="82"/>
  <c r="F182" i="82"/>
  <c r="E182" i="82"/>
  <c r="D182" i="82"/>
  <c r="E19" i="1" l="1"/>
  <c r="E12" i="1"/>
  <c r="E9" i="1"/>
  <c r="E95" i="1"/>
  <c r="E92" i="1"/>
  <c r="E91" i="1"/>
  <c r="E90" i="1"/>
  <c r="E89" i="1"/>
  <c r="E86" i="1"/>
  <c r="E84" i="1"/>
  <c r="E82" i="1"/>
  <c r="E81" i="1"/>
  <c r="E80" i="1"/>
  <c r="E79" i="1"/>
  <c r="E78" i="1"/>
  <c r="E77" i="1"/>
  <c r="E76" i="1"/>
  <c r="E74" i="1"/>
  <c r="E73" i="1"/>
  <c r="E72" i="1"/>
  <c r="E71" i="1"/>
  <c r="E70" i="1"/>
  <c r="E69" i="1"/>
  <c r="E68" i="1"/>
  <c r="E67" i="1"/>
  <c r="E66" i="1"/>
  <c r="E65" i="1"/>
  <c r="E64" i="1"/>
  <c r="E61" i="1"/>
  <c r="E60" i="1"/>
  <c r="E59" i="1"/>
  <c r="E58" i="1"/>
  <c r="E57" i="1"/>
  <c r="E56" i="1"/>
  <c r="E55" i="1"/>
  <c r="E54" i="1"/>
  <c r="E53" i="1"/>
  <c r="E52" i="1"/>
  <c r="E51" i="1"/>
  <c r="E50" i="1"/>
  <c r="E40" i="1"/>
  <c r="E39" i="1"/>
  <c r="E37" i="1"/>
  <c r="E36" i="1"/>
  <c r="E35" i="1"/>
  <c r="E34" i="1"/>
  <c r="E33" i="1"/>
  <c r="E32" i="1"/>
  <c r="E31" i="1"/>
  <c r="E30" i="1"/>
  <c r="E29" i="1"/>
  <c r="E28" i="1"/>
  <c r="E26" i="1"/>
  <c r="E25" i="1"/>
  <c r="E23" i="1"/>
  <c r="E22" i="1"/>
  <c r="E21" i="1"/>
  <c r="E20" i="1"/>
  <c r="E18" i="1"/>
  <c r="E17" i="1"/>
  <c r="E16" i="1"/>
  <c r="E15" i="1"/>
  <c r="E14" i="1"/>
  <c r="E13" i="1"/>
  <c r="E11" i="1"/>
  <c r="E10" i="1"/>
  <c r="E8" i="1"/>
  <c r="E7" i="1"/>
  <c r="E118" i="1" l="1"/>
  <c r="S3" i="93" a="1"/>
  <c r="S3" i="93" s="1"/>
  <c r="S4" i="93" a="1"/>
  <c r="S4" i="93" s="1"/>
  <c r="S5" i="93" a="1"/>
  <c r="S5" i="93" s="1"/>
  <c r="S6" i="93" a="1"/>
  <c r="S6" i="93" s="1"/>
  <c r="S7" i="93" a="1"/>
  <c r="S7" i="93" s="1"/>
  <c r="S8" i="93" a="1"/>
  <c r="S8" i="93" s="1"/>
  <c r="S9" i="93" a="1"/>
  <c r="S9" i="93" s="1"/>
  <c r="S10" i="93" a="1"/>
  <c r="S10" i="93" s="1"/>
  <c r="S11" i="93" a="1"/>
  <c r="S11" i="93" s="1"/>
  <c r="S12" i="93" a="1"/>
  <c r="S12" i="93" s="1"/>
  <c r="S13" i="93" a="1"/>
  <c r="S13" i="93" s="1"/>
  <c r="S14" i="93" a="1"/>
  <c r="S14" i="93" s="1"/>
  <c r="S15" i="93" a="1"/>
  <c r="S15" i="93" s="1"/>
  <c r="S16" i="93" a="1"/>
  <c r="S16" i="93" s="1"/>
  <c r="S17" i="93" a="1"/>
  <c r="S17" i="93" s="1"/>
  <c r="S18" i="93" a="1"/>
  <c r="S18" i="93" s="1"/>
  <c r="S19" i="93" a="1"/>
  <c r="S19" i="93" s="1"/>
  <c r="S20" i="93" a="1"/>
  <c r="S20" i="93" s="1"/>
  <c r="S21" i="93" a="1"/>
  <c r="S21" i="93" s="1"/>
  <c r="S22" i="93" a="1"/>
  <c r="S22" i="93" s="1"/>
  <c r="S23" i="93" a="1"/>
  <c r="S23" i="93" s="1"/>
  <c r="S24" i="93" a="1"/>
  <c r="S24" i="93" s="1"/>
  <c r="S25" i="93" a="1"/>
  <c r="S25" i="93" s="1"/>
  <c r="S26" i="93" a="1"/>
  <c r="S26" i="93" s="1"/>
  <c r="S27" i="93" a="1"/>
  <c r="S27" i="93" s="1"/>
  <c r="S28" i="93" a="1"/>
  <c r="S28" i="93" s="1"/>
  <c r="S29" i="93" a="1"/>
  <c r="S29" i="93" s="1"/>
  <c r="S30" i="93" a="1"/>
  <c r="S30" i="93" s="1"/>
  <c r="S31" i="93" a="1"/>
  <c r="S31" i="93" s="1"/>
  <c r="S32" i="93" a="1"/>
  <c r="S32" i="93" s="1"/>
  <c r="S33" i="93" a="1"/>
  <c r="S33" i="93" s="1"/>
  <c r="S34" i="93" a="1"/>
  <c r="S34" i="93" s="1"/>
  <c r="S35" i="93" a="1"/>
  <c r="S35" i="93" s="1"/>
  <c r="S36" i="93" a="1"/>
  <c r="S36" i="93" s="1"/>
  <c r="S37" i="93" a="1"/>
  <c r="S37" i="93" s="1"/>
  <c r="S38" i="93" a="1"/>
  <c r="S38" i="93" s="1"/>
  <c r="S39" i="93" a="1"/>
  <c r="S39" i="93" s="1"/>
  <c r="S40" i="93" a="1"/>
  <c r="S40" i="93" s="1"/>
  <c r="S41" i="93" a="1"/>
  <c r="S41" i="93" s="1"/>
  <c r="S42" i="93" a="1"/>
  <c r="S42" i="93" s="1"/>
  <c r="S43" i="93" a="1"/>
  <c r="S43" i="93" s="1"/>
  <c r="S44" i="93" a="1"/>
  <c r="S44" i="93" s="1"/>
  <c r="S45" i="93" a="1"/>
  <c r="S45" i="93" s="1"/>
  <c r="S46" i="93" a="1"/>
  <c r="S46" i="93" s="1"/>
  <c r="S47" i="93" a="1"/>
  <c r="S47" i="93" s="1"/>
  <c r="S48" i="93" a="1"/>
  <c r="S48" i="93" s="1"/>
  <c r="S49" i="93" a="1"/>
  <c r="S49" i="93" s="1"/>
  <c r="S50" i="93" a="1"/>
  <c r="S50" i="93" s="1"/>
  <c r="S51" i="93" a="1"/>
  <c r="S51" i="93" s="1"/>
  <c r="S52" i="93" a="1"/>
  <c r="S52" i="93" s="1"/>
  <c r="S53" i="93" a="1"/>
  <c r="S53" i="93" s="1"/>
  <c r="S54" i="93" a="1"/>
  <c r="S54" i="93" s="1"/>
  <c r="S55" i="93" a="1"/>
  <c r="S55" i="93" s="1"/>
  <c r="S56" i="93" a="1"/>
  <c r="S56" i="93" s="1"/>
  <c r="S57" i="93" a="1"/>
  <c r="S57" i="93" s="1"/>
  <c r="S58" i="93" a="1"/>
  <c r="S58" i="93" s="1"/>
  <c r="S59" i="93" a="1"/>
  <c r="S59" i="93" s="1"/>
  <c r="S60" i="93" a="1"/>
  <c r="S60" i="93" s="1"/>
  <c r="S61" i="93" a="1"/>
  <c r="S61" i="93" s="1"/>
  <c r="S62" i="93" a="1"/>
  <c r="S62" i="93" s="1"/>
  <c r="S63" i="93" a="1"/>
  <c r="S63" i="93" s="1"/>
  <c r="S64" i="93" a="1"/>
  <c r="S64" i="93" s="1"/>
  <c r="S65" i="93" a="1"/>
  <c r="S65" i="93" s="1"/>
  <c r="S66" i="93" a="1"/>
  <c r="S66" i="93" s="1"/>
  <c r="S67" i="93" a="1"/>
  <c r="S67" i="93" s="1"/>
  <c r="S68" i="93" a="1"/>
  <c r="S68" i="93" s="1"/>
  <c r="S69" i="93" a="1"/>
  <c r="S69" i="93" s="1"/>
  <c r="S70" i="93" a="1"/>
  <c r="S70" i="93" s="1"/>
  <c r="S71" i="93" a="1"/>
  <c r="S71" i="93" s="1"/>
  <c r="S72" i="93" a="1"/>
  <c r="S72" i="93" s="1"/>
  <c r="S73" i="93" a="1"/>
  <c r="S73" i="93" s="1"/>
  <c r="S74" i="93" a="1"/>
  <c r="S74" i="93" s="1"/>
  <c r="S75" i="93" a="1"/>
  <c r="S75" i="93" s="1"/>
  <c r="S76" i="93" a="1"/>
  <c r="S76" i="93" s="1"/>
  <c r="S77" i="93" a="1"/>
  <c r="S77" i="93" s="1"/>
  <c r="S78" i="93" a="1"/>
  <c r="S78" i="93" s="1"/>
  <c r="S79" i="93" a="1"/>
  <c r="S79" i="93" s="1"/>
  <c r="S80" i="93" a="1"/>
  <c r="S80" i="93" s="1"/>
  <c r="S81" i="93" a="1"/>
  <c r="S81" i="93" s="1"/>
  <c r="S82" i="93" a="1"/>
  <c r="S82" i="93" s="1"/>
  <c r="S83" i="93" a="1"/>
  <c r="S83" i="93" s="1"/>
  <c r="E3" i="93" a="1"/>
  <c r="E3" i="93" s="1"/>
  <c r="F3" i="93" a="1"/>
  <c r="F3" i="93" s="1"/>
  <c r="G3" i="93" a="1"/>
  <c r="G3" i="93" s="1"/>
  <c r="H3" i="93" a="1"/>
  <c r="H3" i="93" s="1"/>
  <c r="I3" i="93" a="1"/>
  <c r="I3" i="93" s="1"/>
  <c r="J3" i="93" a="1"/>
  <c r="J3" i="93" s="1"/>
  <c r="K3" i="93" a="1"/>
  <c r="K3" i="93" s="1"/>
  <c r="L3" i="93" a="1"/>
  <c r="L3" i="93" s="1"/>
  <c r="M3" i="93" a="1"/>
  <c r="M3" i="93" s="1"/>
  <c r="N3" i="93" a="1"/>
  <c r="N3" i="93" s="1"/>
  <c r="O3" i="93" a="1"/>
  <c r="O3" i="93" s="1"/>
  <c r="P3" i="93" a="1"/>
  <c r="P3" i="93" s="1"/>
  <c r="Q3" i="93" a="1"/>
  <c r="Q3" i="93" s="1"/>
  <c r="R3" i="93" a="1"/>
  <c r="R3" i="93" s="1"/>
  <c r="E4" i="93" a="1"/>
  <c r="E4" i="93" s="1"/>
  <c r="F4" i="93" a="1"/>
  <c r="F4" i="93" s="1"/>
  <c r="G4" i="93" a="1"/>
  <c r="G4" i="93" s="1"/>
  <c r="H4" i="93" a="1"/>
  <c r="H4" i="93" s="1"/>
  <c r="I4" i="93" a="1"/>
  <c r="I4" i="93" s="1"/>
  <c r="J4" i="93" a="1"/>
  <c r="J4" i="93" s="1"/>
  <c r="K4" i="93" a="1"/>
  <c r="K4" i="93" s="1"/>
  <c r="L4" i="93" a="1"/>
  <c r="L4" i="93" s="1"/>
  <c r="M4" i="93" a="1"/>
  <c r="M4" i="93" s="1"/>
  <c r="N4" i="93" a="1"/>
  <c r="N4" i="93" s="1"/>
  <c r="O4" i="93" a="1"/>
  <c r="O4" i="93" s="1"/>
  <c r="P4" i="93" a="1"/>
  <c r="P4" i="93" s="1"/>
  <c r="Q4" i="93" a="1"/>
  <c r="Q4" i="93" s="1"/>
  <c r="R4" i="93" a="1"/>
  <c r="R4" i="93" s="1"/>
  <c r="E5" i="93" a="1"/>
  <c r="E5" i="93" s="1"/>
  <c r="F5" i="93" a="1"/>
  <c r="F5" i="93" s="1"/>
  <c r="G5" i="93" a="1"/>
  <c r="G5" i="93" s="1"/>
  <c r="H5" i="93" a="1"/>
  <c r="H5" i="93" s="1"/>
  <c r="I5" i="93" a="1"/>
  <c r="I5" i="93" s="1"/>
  <c r="J5" i="93" a="1"/>
  <c r="J5" i="93" s="1"/>
  <c r="K5" i="93" a="1"/>
  <c r="K5" i="93" s="1"/>
  <c r="L5" i="93" a="1"/>
  <c r="L5" i="93" s="1"/>
  <c r="M5" i="93" a="1"/>
  <c r="M5" i="93" s="1"/>
  <c r="N5" i="93" a="1"/>
  <c r="N5" i="93" s="1"/>
  <c r="O5" i="93" a="1"/>
  <c r="O5" i="93" s="1"/>
  <c r="P5" i="93" a="1"/>
  <c r="P5" i="93" s="1"/>
  <c r="Q5" i="93" a="1"/>
  <c r="Q5" i="93" s="1"/>
  <c r="R5" i="93" a="1"/>
  <c r="R5" i="93" s="1"/>
  <c r="E6" i="93" a="1"/>
  <c r="E6" i="93" s="1"/>
  <c r="F6" i="93" a="1"/>
  <c r="F6" i="93" s="1"/>
  <c r="G6" i="93" a="1"/>
  <c r="G6" i="93" s="1"/>
  <c r="H6" i="93" a="1"/>
  <c r="H6" i="93" s="1"/>
  <c r="I6" i="93" a="1"/>
  <c r="I6" i="93" s="1"/>
  <c r="J6" i="93" a="1"/>
  <c r="J6" i="93" s="1"/>
  <c r="K6" i="93" a="1"/>
  <c r="K6" i="93" s="1"/>
  <c r="L6" i="93" a="1"/>
  <c r="L6" i="93" s="1"/>
  <c r="M6" i="93" a="1"/>
  <c r="M6" i="93" s="1"/>
  <c r="N6" i="93" a="1"/>
  <c r="N6" i="93" s="1"/>
  <c r="O6" i="93" a="1"/>
  <c r="O6" i="93" s="1"/>
  <c r="P6" i="93" a="1"/>
  <c r="P6" i="93" s="1"/>
  <c r="Q6" i="93" a="1"/>
  <c r="Q6" i="93" s="1"/>
  <c r="R6" i="93" a="1"/>
  <c r="R6" i="93" s="1"/>
  <c r="E7" i="93" a="1"/>
  <c r="E7" i="93" s="1"/>
  <c r="F7" i="93" a="1"/>
  <c r="F7" i="93" s="1"/>
  <c r="G7" i="93" a="1"/>
  <c r="G7" i="93" s="1"/>
  <c r="H7" i="93" a="1"/>
  <c r="H7" i="93" s="1"/>
  <c r="I7" i="93" a="1"/>
  <c r="I7" i="93" s="1"/>
  <c r="J7" i="93" a="1"/>
  <c r="J7" i="93" s="1"/>
  <c r="K7" i="93" a="1"/>
  <c r="K7" i="93" s="1"/>
  <c r="L7" i="93" a="1"/>
  <c r="L7" i="93" s="1"/>
  <c r="M7" i="93" a="1"/>
  <c r="M7" i="93" s="1"/>
  <c r="N7" i="93" a="1"/>
  <c r="N7" i="93" s="1"/>
  <c r="O7" i="93" a="1"/>
  <c r="O7" i="93" s="1"/>
  <c r="P7" i="93" a="1"/>
  <c r="P7" i="93" s="1"/>
  <c r="Q7" i="93" a="1"/>
  <c r="Q7" i="93" s="1"/>
  <c r="R7" i="93" a="1"/>
  <c r="R7" i="93" s="1"/>
  <c r="E8" i="93" a="1"/>
  <c r="E8" i="93" s="1"/>
  <c r="F8" i="93" a="1"/>
  <c r="F8" i="93" s="1"/>
  <c r="G8" i="93" a="1"/>
  <c r="G8" i="93" s="1"/>
  <c r="H8" i="93" a="1"/>
  <c r="H8" i="93" s="1"/>
  <c r="I8" i="93" a="1"/>
  <c r="I8" i="93" s="1"/>
  <c r="J8" i="93" a="1"/>
  <c r="J8" i="93" s="1"/>
  <c r="K8" i="93" a="1"/>
  <c r="K8" i="93" s="1"/>
  <c r="L8" i="93" a="1"/>
  <c r="L8" i="93" s="1"/>
  <c r="M8" i="93" a="1"/>
  <c r="M8" i="93" s="1"/>
  <c r="N8" i="93" a="1"/>
  <c r="N8" i="93" s="1"/>
  <c r="O8" i="93" a="1"/>
  <c r="O8" i="93" s="1"/>
  <c r="P8" i="93" a="1"/>
  <c r="P8" i="93" s="1"/>
  <c r="Q8" i="93" a="1"/>
  <c r="Q8" i="93" s="1"/>
  <c r="R8" i="93" a="1"/>
  <c r="R8" i="93" s="1"/>
  <c r="E9" i="93" a="1"/>
  <c r="E9" i="93" s="1"/>
  <c r="F9" i="93" a="1"/>
  <c r="F9" i="93" s="1"/>
  <c r="G9" i="93" a="1"/>
  <c r="G9" i="93" s="1"/>
  <c r="H9" i="93" a="1"/>
  <c r="H9" i="93" s="1"/>
  <c r="I9" i="93" a="1"/>
  <c r="I9" i="93" s="1"/>
  <c r="J9" i="93" a="1"/>
  <c r="J9" i="93" s="1"/>
  <c r="K9" i="93" a="1"/>
  <c r="K9" i="93" s="1"/>
  <c r="L9" i="93" a="1"/>
  <c r="L9" i="93" s="1"/>
  <c r="M9" i="93" a="1"/>
  <c r="M9" i="93" s="1"/>
  <c r="N9" i="93" a="1"/>
  <c r="N9" i="93" s="1"/>
  <c r="O9" i="93" a="1"/>
  <c r="O9" i="93" s="1"/>
  <c r="P9" i="93" a="1"/>
  <c r="P9" i="93" s="1"/>
  <c r="Q9" i="93" a="1"/>
  <c r="Q9" i="93" s="1"/>
  <c r="R9" i="93" a="1"/>
  <c r="R9" i="93" s="1"/>
  <c r="E10" i="93" a="1"/>
  <c r="E10" i="93" s="1"/>
  <c r="F10" i="93" a="1"/>
  <c r="F10" i="93" s="1"/>
  <c r="G10" i="93" a="1"/>
  <c r="G10" i="93" s="1"/>
  <c r="H10" i="93" a="1"/>
  <c r="H10" i="93" s="1"/>
  <c r="I10" i="93" a="1"/>
  <c r="I10" i="93" s="1"/>
  <c r="J10" i="93" a="1"/>
  <c r="J10" i="93" s="1"/>
  <c r="K10" i="93" a="1"/>
  <c r="K10" i="93" s="1"/>
  <c r="L10" i="93" a="1"/>
  <c r="L10" i="93" s="1"/>
  <c r="M10" i="93" a="1"/>
  <c r="M10" i="93" s="1"/>
  <c r="N10" i="93" a="1"/>
  <c r="N10" i="93" s="1"/>
  <c r="O10" i="93" a="1"/>
  <c r="O10" i="93" s="1"/>
  <c r="P10" i="93" a="1"/>
  <c r="P10" i="93" s="1"/>
  <c r="Q10" i="93" a="1"/>
  <c r="Q10" i="93" s="1"/>
  <c r="R10" i="93" a="1"/>
  <c r="R10" i="93" s="1"/>
  <c r="E11" i="93" a="1"/>
  <c r="E11" i="93" s="1"/>
  <c r="F11" i="93" a="1"/>
  <c r="F11" i="93" s="1"/>
  <c r="G11" i="93" a="1"/>
  <c r="G11" i="93" s="1"/>
  <c r="H11" i="93" a="1"/>
  <c r="H11" i="93" s="1"/>
  <c r="I11" i="93" a="1"/>
  <c r="I11" i="93" s="1"/>
  <c r="J11" i="93" a="1"/>
  <c r="J11" i="93" s="1"/>
  <c r="K11" i="93" a="1"/>
  <c r="K11" i="93" s="1"/>
  <c r="L11" i="93" a="1"/>
  <c r="L11" i="93" s="1"/>
  <c r="M11" i="93" a="1"/>
  <c r="M11" i="93" s="1"/>
  <c r="N11" i="93" a="1"/>
  <c r="N11" i="93" s="1"/>
  <c r="O11" i="93" a="1"/>
  <c r="O11" i="93" s="1"/>
  <c r="P11" i="93" a="1"/>
  <c r="P11" i="93" s="1"/>
  <c r="Q11" i="93" a="1"/>
  <c r="Q11" i="93" s="1"/>
  <c r="R11" i="93" a="1"/>
  <c r="R11" i="93" s="1"/>
  <c r="E12" i="93" a="1"/>
  <c r="E12" i="93" s="1"/>
  <c r="F12" i="93" a="1"/>
  <c r="F12" i="93" s="1"/>
  <c r="G12" i="93" a="1"/>
  <c r="G12" i="93" s="1"/>
  <c r="H12" i="93" a="1"/>
  <c r="H12" i="93" s="1"/>
  <c r="I12" i="93" a="1"/>
  <c r="I12" i="93" s="1"/>
  <c r="J12" i="93" a="1"/>
  <c r="J12" i="93" s="1"/>
  <c r="K12" i="93" a="1"/>
  <c r="K12" i="93" s="1"/>
  <c r="L12" i="93" a="1"/>
  <c r="L12" i="93" s="1"/>
  <c r="M12" i="93" a="1"/>
  <c r="M12" i="93" s="1"/>
  <c r="N12" i="93" a="1"/>
  <c r="N12" i="93" s="1"/>
  <c r="O12" i="93" a="1"/>
  <c r="O12" i="93" s="1"/>
  <c r="P12" i="93" a="1"/>
  <c r="P12" i="93" s="1"/>
  <c r="Q12" i="93" a="1"/>
  <c r="Q12" i="93" s="1"/>
  <c r="R12" i="93" a="1"/>
  <c r="R12" i="93" s="1"/>
  <c r="E13" i="93" a="1"/>
  <c r="E13" i="93" s="1"/>
  <c r="F13" i="93" a="1"/>
  <c r="F13" i="93" s="1"/>
  <c r="G13" i="93" a="1"/>
  <c r="G13" i="93" s="1"/>
  <c r="H13" i="93" a="1"/>
  <c r="H13" i="93" s="1"/>
  <c r="I13" i="93" a="1"/>
  <c r="I13" i="93" s="1"/>
  <c r="J13" i="93" a="1"/>
  <c r="J13" i="93" s="1"/>
  <c r="K13" i="93" a="1"/>
  <c r="K13" i="93" s="1"/>
  <c r="L13" i="93" a="1"/>
  <c r="L13" i="93" s="1"/>
  <c r="M13" i="93" a="1"/>
  <c r="M13" i="93" s="1"/>
  <c r="N13" i="93" a="1"/>
  <c r="N13" i="93" s="1"/>
  <c r="O13" i="93" a="1"/>
  <c r="O13" i="93" s="1"/>
  <c r="P13" i="93" a="1"/>
  <c r="P13" i="93" s="1"/>
  <c r="Q13" i="93" a="1"/>
  <c r="Q13" i="93" s="1"/>
  <c r="R13" i="93" a="1"/>
  <c r="R13" i="93" s="1"/>
  <c r="E14" i="93" a="1"/>
  <c r="E14" i="93" s="1"/>
  <c r="F14" i="93" a="1"/>
  <c r="F14" i="93" s="1"/>
  <c r="G14" i="93" a="1"/>
  <c r="G14" i="93" s="1"/>
  <c r="H14" i="93" a="1"/>
  <c r="H14" i="93" s="1"/>
  <c r="I14" i="93" a="1"/>
  <c r="I14" i="93" s="1"/>
  <c r="J14" i="93" a="1"/>
  <c r="J14" i="93" s="1"/>
  <c r="K14" i="93" a="1"/>
  <c r="K14" i="93" s="1"/>
  <c r="L14" i="93" a="1"/>
  <c r="L14" i="93" s="1"/>
  <c r="M14" i="93" a="1"/>
  <c r="M14" i="93" s="1"/>
  <c r="N14" i="93" a="1"/>
  <c r="N14" i="93" s="1"/>
  <c r="O14" i="93" a="1"/>
  <c r="O14" i="93" s="1"/>
  <c r="P14" i="93" a="1"/>
  <c r="P14" i="93" s="1"/>
  <c r="Q14" i="93" a="1"/>
  <c r="Q14" i="93" s="1"/>
  <c r="R14" i="93" a="1"/>
  <c r="R14" i="93" s="1"/>
  <c r="E15" i="93" a="1"/>
  <c r="E15" i="93" s="1"/>
  <c r="F15" i="93" a="1"/>
  <c r="F15" i="93" s="1"/>
  <c r="G15" i="93" a="1"/>
  <c r="G15" i="93" s="1"/>
  <c r="H15" i="93" a="1"/>
  <c r="H15" i="93" s="1"/>
  <c r="I15" i="93" a="1"/>
  <c r="I15" i="93" s="1"/>
  <c r="J15" i="93" a="1"/>
  <c r="J15" i="93" s="1"/>
  <c r="K15" i="93" a="1"/>
  <c r="K15" i="93" s="1"/>
  <c r="L15" i="93" a="1"/>
  <c r="L15" i="93" s="1"/>
  <c r="M15" i="93" a="1"/>
  <c r="M15" i="93" s="1"/>
  <c r="N15" i="93" a="1"/>
  <c r="N15" i="93" s="1"/>
  <c r="O15" i="93" a="1"/>
  <c r="O15" i="93" s="1"/>
  <c r="P15" i="93" a="1"/>
  <c r="P15" i="93" s="1"/>
  <c r="Q15" i="93" a="1"/>
  <c r="Q15" i="93" s="1"/>
  <c r="R15" i="93" a="1"/>
  <c r="R15" i="93" s="1"/>
  <c r="E16" i="93" a="1"/>
  <c r="E16" i="93" s="1"/>
  <c r="F16" i="93" a="1"/>
  <c r="F16" i="93" s="1"/>
  <c r="G16" i="93" a="1"/>
  <c r="G16" i="93" s="1"/>
  <c r="H16" i="93" a="1"/>
  <c r="H16" i="93" s="1"/>
  <c r="I16" i="93" a="1"/>
  <c r="I16" i="93" s="1"/>
  <c r="J16" i="93" a="1"/>
  <c r="J16" i="93" s="1"/>
  <c r="K16" i="93" a="1"/>
  <c r="K16" i="93" s="1"/>
  <c r="L16" i="93" a="1"/>
  <c r="L16" i="93" s="1"/>
  <c r="M16" i="93" a="1"/>
  <c r="M16" i="93" s="1"/>
  <c r="N16" i="93" a="1"/>
  <c r="N16" i="93" s="1"/>
  <c r="O16" i="93" a="1"/>
  <c r="O16" i="93" s="1"/>
  <c r="P16" i="93" a="1"/>
  <c r="P16" i="93" s="1"/>
  <c r="Q16" i="93" a="1"/>
  <c r="Q16" i="93" s="1"/>
  <c r="R16" i="93" a="1"/>
  <c r="R16" i="93" s="1"/>
  <c r="E17" i="93" a="1"/>
  <c r="E17" i="93" s="1"/>
  <c r="F17" i="93" a="1"/>
  <c r="F17" i="93" s="1"/>
  <c r="G17" i="93" a="1"/>
  <c r="G17" i="93" s="1"/>
  <c r="H17" i="93" a="1"/>
  <c r="H17" i="93" s="1"/>
  <c r="I17" i="93" a="1"/>
  <c r="I17" i="93" s="1"/>
  <c r="J17" i="93" a="1"/>
  <c r="J17" i="93" s="1"/>
  <c r="K17" i="93" a="1"/>
  <c r="K17" i="93" s="1"/>
  <c r="L17" i="93" a="1"/>
  <c r="L17" i="93" s="1"/>
  <c r="M17" i="93" a="1"/>
  <c r="M17" i="93" s="1"/>
  <c r="N17" i="93" a="1"/>
  <c r="N17" i="93" s="1"/>
  <c r="O17" i="93" a="1"/>
  <c r="O17" i="93" s="1"/>
  <c r="P17" i="93" a="1"/>
  <c r="P17" i="93" s="1"/>
  <c r="Q17" i="93" a="1"/>
  <c r="Q17" i="93" s="1"/>
  <c r="R17" i="93" a="1"/>
  <c r="R17" i="93" s="1"/>
  <c r="E18" i="93" a="1"/>
  <c r="E18" i="93" s="1"/>
  <c r="F18" i="93" a="1"/>
  <c r="F18" i="93" s="1"/>
  <c r="G18" i="93" a="1"/>
  <c r="G18" i="93" s="1"/>
  <c r="H18" i="93" a="1"/>
  <c r="H18" i="93" s="1"/>
  <c r="I18" i="93" a="1"/>
  <c r="I18" i="93" s="1"/>
  <c r="J18" i="93" a="1"/>
  <c r="J18" i="93" s="1"/>
  <c r="K18" i="93" a="1"/>
  <c r="K18" i="93" s="1"/>
  <c r="L18" i="93" a="1"/>
  <c r="L18" i="93" s="1"/>
  <c r="M18" i="93" a="1"/>
  <c r="M18" i="93" s="1"/>
  <c r="N18" i="93" a="1"/>
  <c r="N18" i="93" s="1"/>
  <c r="O18" i="93" a="1"/>
  <c r="O18" i="93" s="1"/>
  <c r="P18" i="93" a="1"/>
  <c r="P18" i="93" s="1"/>
  <c r="Q18" i="93" a="1"/>
  <c r="Q18" i="93" s="1"/>
  <c r="R18" i="93" a="1"/>
  <c r="R18" i="93" s="1"/>
  <c r="E19" i="93" a="1"/>
  <c r="E19" i="93" s="1"/>
  <c r="F19" i="93" a="1"/>
  <c r="F19" i="93" s="1"/>
  <c r="G19" i="93" a="1"/>
  <c r="G19" i="93" s="1"/>
  <c r="H19" i="93" a="1"/>
  <c r="H19" i="93" s="1"/>
  <c r="I19" i="93" a="1"/>
  <c r="I19" i="93" s="1"/>
  <c r="J19" i="93" a="1"/>
  <c r="J19" i="93" s="1"/>
  <c r="K19" i="93" a="1"/>
  <c r="K19" i="93" s="1"/>
  <c r="L19" i="93" a="1"/>
  <c r="L19" i="93" s="1"/>
  <c r="M19" i="93" a="1"/>
  <c r="M19" i="93" s="1"/>
  <c r="N19" i="93" a="1"/>
  <c r="N19" i="93" s="1"/>
  <c r="O19" i="93" a="1"/>
  <c r="O19" i="93" s="1"/>
  <c r="P19" i="93" a="1"/>
  <c r="P19" i="93" s="1"/>
  <c r="Q19" i="93" a="1"/>
  <c r="Q19" i="93" s="1"/>
  <c r="R19" i="93" a="1"/>
  <c r="R19" i="93" s="1"/>
  <c r="E20" i="93" a="1"/>
  <c r="E20" i="93" s="1"/>
  <c r="F20" i="93" a="1"/>
  <c r="F20" i="93" s="1"/>
  <c r="G20" i="93" a="1"/>
  <c r="G20" i="93" s="1"/>
  <c r="H20" i="93" a="1"/>
  <c r="H20" i="93" s="1"/>
  <c r="I20" i="93" a="1"/>
  <c r="I20" i="93" s="1"/>
  <c r="J20" i="93" a="1"/>
  <c r="J20" i="93" s="1"/>
  <c r="K20" i="93" a="1"/>
  <c r="K20" i="93" s="1"/>
  <c r="L20" i="93" a="1"/>
  <c r="L20" i="93" s="1"/>
  <c r="M20" i="93" a="1"/>
  <c r="M20" i="93" s="1"/>
  <c r="N20" i="93" a="1"/>
  <c r="N20" i="93" s="1"/>
  <c r="O20" i="93" a="1"/>
  <c r="O20" i="93" s="1"/>
  <c r="P20" i="93" a="1"/>
  <c r="P20" i="93" s="1"/>
  <c r="Q20" i="93" a="1"/>
  <c r="Q20" i="93" s="1"/>
  <c r="R20" i="93" a="1"/>
  <c r="R20" i="93" s="1"/>
  <c r="E21" i="93" a="1"/>
  <c r="E21" i="93" s="1"/>
  <c r="F21" i="93" a="1"/>
  <c r="F21" i="93" s="1"/>
  <c r="G21" i="93" a="1"/>
  <c r="G21" i="93" s="1"/>
  <c r="H21" i="93" a="1"/>
  <c r="H21" i="93" s="1"/>
  <c r="I21" i="93" a="1"/>
  <c r="I21" i="93" s="1"/>
  <c r="J21" i="93" a="1"/>
  <c r="J21" i="93" s="1"/>
  <c r="K21" i="93" a="1"/>
  <c r="K21" i="93" s="1"/>
  <c r="L21" i="93" a="1"/>
  <c r="L21" i="93" s="1"/>
  <c r="M21" i="93" a="1"/>
  <c r="M21" i="93" s="1"/>
  <c r="N21" i="93" a="1"/>
  <c r="N21" i="93" s="1"/>
  <c r="O21" i="93" a="1"/>
  <c r="O21" i="93" s="1"/>
  <c r="P21" i="93" a="1"/>
  <c r="P21" i="93" s="1"/>
  <c r="Q21" i="93" a="1"/>
  <c r="Q21" i="93" s="1"/>
  <c r="R21" i="93" a="1"/>
  <c r="R21" i="93" s="1"/>
  <c r="E22" i="93" a="1"/>
  <c r="E22" i="93" s="1"/>
  <c r="F22" i="93" a="1"/>
  <c r="F22" i="93" s="1"/>
  <c r="G22" i="93" a="1"/>
  <c r="G22" i="93" s="1"/>
  <c r="H22" i="93" a="1"/>
  <c r="H22" i="93" s="1"/>
  <c r="I22" i="93" a="1"/>
  <c r="I22" i="93" s="1"/>
  <c r="J22" i="93" a="1"/>
  <c r="J22" i="93" s="1"/>
  <c r="K22" i="93" a="1"/>
  <c r="K22" i="93" s="1"/>
  <c r="L22" i="93" a="1"/>
  <c r="L22" i="93" s="1"/>
  <c r="M22" i="93" a="1"/>
  <c r="M22" i="93" s="1"/>
  <c r="N22" i="93" a="1"/>
  <c r="N22" i="93" s="1"/>
  <c r="O22" i="93" a="1"/>
  <c r="O22" i="93" s="1"/>
  <c r="P22" i="93" a="1"/>
  <c r="P22" i="93" s="1"/>
  <c r="Q22" i="93" a="1"/>
  <c r="Q22" i="93" s="1"/>
  <c r="R22" i="93" a="1"/>
  <c r="R22" i="93" s="1"/>
  <c r="E23" i="93" a="1"/>
  <c r="E23" i="93" s="1"/>
  <c r="F23" i="93" a="1"/>
  <c r="F23" i="93" s="1"/>
  <c r="G23" i="93" a="1"/>
  <c r="G23" i="93" s="1"/>
  <c r="H23" i="93" a="1"/>
  <c r="H23" i="93" s="1"/>
  <c r="I23" i="93" a="1"/>
  <c r="I23" i="93" s="1"/>
  <c r="J23" i="93" a="1"/>
  <c r="J23" i="93" s="1"/>
  <c r="K23" i="93" a="1"/>
  <c r="K23" i="93" s="1"/>
  <c r="L23" i="93" a="1"/>
  <c r="L23" i="93" s="1"/>
  <c r="M23" i="93" a="1"/>
  <c r="M23" i="93" s="1"/>
  <c r="N23" i="93" a="1"/>
  <c r="N23" i="93" s="1"/>
  <c r="O23" i="93" a="1"/>
  <c r="O23" i="93" s="1"/>
  <c r="P23" i="93" a="1"/>
  <c r="P23" i="93" s="1"/>
  <c r="Q23" i="93" a="1"/>
  <c r="Q23" i="93" s="1"/>
  <c r="R23" i="93" a="1"/>
  <c r="R23" i="93" s="1"/>
  <c r="E24" i="93" a="1"/>
  <c r="E24" i="93" s="1"/>
  <c r="F24" i="93" a="1"/>
  <c r="F24" i="93" s="1"/>
  <c r="G24" i="93" a="1"/>
  <c r="G24" i="93" s="1"/>
  <c r="H24" i="93" a="1"/>
  <c r="H24" i="93" s="1"/>
  <c r="I24" i="93" a="1"/>
  <c r="I24" i="93" s="1"/>
  <c r="J24" i="93" a="1"/>
  <c r="J24" i="93" s="1"/>
  <c r="K24" i="93" a="1"/>
  <c r="K24" i="93" s="1"/>
  <c r="L24" i="93" a="1"/>
  <c r="L24" i="93" s="1"/>
  <c r="M24" i="93" a="1"/>
  <c r="M24" i="93" s="1"/>
  <c r="N24" i="93" a="1"/>
  <c r="N24" i="93" s="1"/>
  <c r="O24" i="93" a="1"/>
  <c r="O24" i="93" s="1"/>
  <c r="P24" i="93" a="1"/>
  <c r="P24" i="93" s="1"/>
  <c r="Q24" i="93" a="1"/>
  <c r="Q24" i="93" s="1"/>
  <c r="R24" i="93" a="1"/>
  <c r="R24" i="93" s="1"/>
  <c r="E25" i="93" a="1"/>
  <c r="E25" i="93" s="1"/>
  <c r="F25" i="93" a="1"/>
  <c r="F25" i="93" s="1"/>
  <c r="G25" i="93" a="1"/>
  <c r="G25" i="93" s="1"/>
  <c r="H25" i="93" a="1"/>
  <c r="H25" i="93" s="1"/>
  <c r="I25" i="93" a="1"/>
  <c r="I25" i="93" s="1"/>
  <c r="J25" i="93" a="1"/>
  <c r="J25" i="93" s="1"/>
  <c r="K25" i="93" a="1"/>
  <c r="K25" i="93" s="1"/>
  <c r="L25" i="93" a="1"/>
  <c r="L25" i="93" s="1"/>
  <c r="M25" i="93" a="1"/>
  <c r="M25" i="93" s="1"/>
  <c r="N25" i="93" a="1"/>
  <c r="N25" i="93" s="1"/>
  <c r="O25" i="93" a="1"/>
  <c r="O25" i="93" s="1"/>
  <c r="P25" i="93" a="1"/>
  <c r="P25" i="93" s="1"/>
  <c r="Q25" i="93" a="1"/>
  <c r="Q25" i="93" s="1"/>
  <c r="R25" i="93" a="1"/>
  <c r="R25" i="93" s="1"/>
  <c r="E26" i="93" a="1"/>
  <c r="E26" i="93" s="1"/>
  <c r="F26" i="93" a="1"/>
  <c r="F26" i="93" s="1"/>
  <c r="G26" i="93" a="1"/>
  <c r="G26" i="93" s="1"/>
  <c r="H26" i="93" a="1"/>
  <c r="H26" i="93" s="1"/>
  <c r="I26" i="93" a="1"/>
  <c r="I26" i="93" s="1"/>
  <c r="J26" i="93" a="1"/>
  <c r="J26" i="93" s="1"/>
  <c r="K26" i="93" a="1"/>
  <c r="K26" i="93" s="1"/>
  <c r="L26" i="93" a="1"/>
  <c r="L26" i="93" s="1"/>
  <c r="M26" i="93" a="1"/>
  <c r="M26" i="93" s="1"/>
  <c r="N26" i="93" a="1"/>
  <c r="N26" i="93" s="1"/>
  <c r="O26" i="93" a="1"/>
  <c r="O26" i="93" s="1"/>
  <c r="P26" i="93" a="1"/>
  <c r="P26" i="93" s="1"/>
  <c r="Q26" i="93" a="1"/>
  <c r="Q26" i="93" s="1"/>
  <c r="R26" i="93" a="1"/>
  <c r="R26" i="93" s="1"/>
  <c r="E27" i="93" a="1"/>
  <c r="E27" i="93" s="1"/>
  <c r="F27" i="93" a="1"/>
  <c r="F27" i="93" s="1"/>
  <c r="G27" i="93" a="1"/>
  <c r="G27" i="93" s="1"/>
  <c r="H27" i="93" a="1"/>
  <c r="H27" i="93" s="1"/>
  <c r="I27" i="93" a="1"/>
  <c r="I27" i="93" s="1"/>
  <c r="J27" i="93" a="1"/>
  <c r="J27" i="93" s="1"/>
  <c r="K27" i="93" a="1"/>
  <c r="K27" i="93" s="1"/>
  <c r="L27" i="93" a="1"/>
  <c r="L27" i="93" s="1"/>
  <c r="M27" i="93" a="1"/>
  <c r="M27" i="93" s="1"/>
  <c r="N27" i="93" a="1"/>
  <c r="N27" i="93" s="1"/>
  <c r="O27" i="93" a="1"/>
  <c r="O27" i="93" s="1"/>
  <c r="P27" i="93" a="1"/>
  <c r="P27" i="93" s="1"/>
  <c r="Q27" i="93" a="1"/>
  <c r="Q27" i="93" s="1"/>
  <c r="R27" i="93" a="1"/>
  <c r="R27" i="93" s="1"/>
  <c r="E28" i="93" a="1"/>
  <c r="E28" i="93" s="1"/>
  <c r="F28" i="93" a="1"/>
  <c r="F28" i="93" s="1"/>
  <c r="G28" i="93" a="1"/>
  <c r="G28" i="93" s="1"/>
  <c r="H28" i="93" a="1"/>
  <c r="H28" i="93" s="1"/>
  <c r="I28" i="93" a="1"/>
  <c r="I28" i="93" s="1"/>
  <c r="J28" i="93" a="1"/>
  <c r="J28" i="93" s="1"/>
  <c r="K28" i="93" a="1"/>
  <c r="K28" i="93" s="1"/>
  <c r="L28" i="93" a="1"/>
  <c r="L28" i="93" s="1"/>
  <c r="M28" i="93" a="1"/>
  <c r="M28" i="93" s="1"/>
  <c r="N28" i="93" a="1"/>
  <c r="N28" i="93" s="1"/>
  <c r="O28" i="93" a="1"/>
  <c r="O28" i="93" s="1"/>
  <c r="P28" i="93" a="1"/>
  <c r="P28" i="93" s="1"/>
  <c r="Q28" i="93" a="1"/>
  <c r="Q28" i="93" s="1"/>
  <c r="R28" i="93" a="1"/>
  <c r="R28" i="93" s="1"/>
  <c r="E29" i="93" a="1"/>
  <c r="E29" i="93" s="1"/>
  <c r="F29" i="93" a="1"/>
  <c r="F29" i="93" s="1"/>
  <c r="G29" i="93" a="1"/>
  <c r="G29" i="93" s="1"/>
  <c r="H29" i="93" a="1"/>
  <c r="H29" i="93" s="1"/>
  <c r="I29" i="93" a="1"/>
  <c r="I29" i="93" s="1"/>
  <c r="J29" i="93" a="1"/>
  <c r="J29" i="93" s="1"/>
  <c r="K29" i="93" a="1"/>
  <c r="K29" i="93" s="1"/>
  <c r="L29" i="93" a="1"/>
  <c r="L29" i="93" s="1"/>
  <c r="M29" i="93" a="1"/>
  <c r="M29" i="93" s="1"/>
  <c r="N29" i="93" a="1"/>
  <c r="N29" i="93" s="1"/>
  <c r="O29" i="93" a="1"/>
  <c r="O29" i="93" s="1"/>
  <c r="P29" i="93" a="1"/>
  <c r="P29" i="93" s="1"/>
  <c r="Q29" i="93" a="1"/>
  <c r="Q29" i="93" s="1"/>
  <c r="R29" i="93" a="1"/>
  <c r="R29" i="93" s="1"/>
  <c r="E30" i="93" a="1"/>
  <c r="E30" i="93" s="1"/>
  <c r="F30" i="93" a="1"/>
  <c r="F30" i="93" s="1"/>
  <c r="G30" i="93" a="1"/>
  <c r="G30" i="93" s="1"/>
  <c r="H30" i="93" a="1"/>
  <c r="H30" i="93" s="1"/>
  <c r="I30" i="93" a="1"/>
  <c r="I30" i="93" s="1"/>
  <c r="J30" i="93" a="1"/>
  <c r="J30" i="93" s="1"/>
  <c r="K30" i="93" a="1"/>
  <c r="K30" i="93" s="1"/>
  <c r="L30" i="93" a="1"/>
  <c r="L30" i="93" s="1"/>
  <c r="M30" i="93" a="1"/>
  <c r="M30" i="93" s="1"/>
  <c r="N30" i="93" a="1"/>
  <c r="N30" i="93" s="1"/>
  <c r="O30" i="93" a="1"/>
  <c r="O30" i="93" s="1"/>
  <c r="P30" i="93" a="1"/>
  <c r="P30" i="93" s="1"/>
  <c r="Q30" i="93" a="1"/>
  <c r="Q30" i="93" s="1"/>
  <c r="R30" i="93" a="1"/>
  <c r="R30" i="93" s="1"/>
  <c r="E31" i="93" a="1"/>
  <c r="E31" i="93" s="1"/>
  <c r="F31" i="93" a="1"/>
  <c r="F31" i="93" s="1"/>
  <c r="G31" i="93" a="1"/>
  <c r="G31" i="93" s="1"/>
  <c r="H31" i="93" a="1"/>
  <c r="H31" i="93" s="1"/>
  <c r="I31" i="93" a="1"/>
  <c r="I31" i="93" s="1"/>
  <c r="J31" i="93" a="1"/>
  <c r="J31" i="93" s="1"/>
  <c r="K31" i="93" a="1"/>
  <c r="K31" i="93" s="1"/>
  <c r="L31" i="93" a="1"/>
  <c r="L31" i="93" s="1"/>
  <c r="M31" i="93" a="1"/>
  <c r="M31" i="93" s="1"/>
  <c r="N31" i="93" a="1"/>
  <c r="N31" i="93" s="1"/>
  <c r="O31" i="93" a="1"/>
  <c r="O31" i="93" s="1"/>
  <c r="P31" i="93" a="1"/>
  <c r="P31" i="93" s="1"/>
  <c r="Q31" i="93" a="1"/>
  <c r="Q31" i="93" s="1"/>
  <c r="R31" i="93" a="1"/>
  <c r="R31" i="93" s="1"/>
  <c r="E32" i="93" a="1"/>
  <c r="E32" i="93" s="1"/>
  <c r="F32" i="93" a="1"/>
  <c r="F32" i="93" s="1"/>
  <c r="G32" i="93" a="1"/>
  <c r="G32" i="93" s="1"/>
  <c r="H32" i="93" a="1"/>
  <c r="H32" i="93" s="1"/>
  <c r="I32" i="93" a="1"/>
  <c r="I32" i="93" s="1"/>
  <c r="J32" i="93" a="1"/>
  <c r="J32" i="93" s="1"/>
  <c r="K32" i="93" a="1"/>
  <c r="K32" i="93" s="1"/>
  <c r="L32" i="93" a="1"/>
  <c r="L32" i="93" s="1"/>
  <c r="M32" i="93" a="1"/>
  <c r="M32" i="93" s="1"/>
  <c r="N32" i="93" a="1"/>
  <c r="N32" i="93" s="1"/>
  <c r="O32" i="93" a="1"/>
  <c r="O32" i="93" s="1"/>
  <c r="P32" i="93" a="1"/>
  <c r="P32" i="93" s="1"/>
  <c r="Q32" i="93" a="1"/>
  <c r="Q32" i="93" s="1"/>
  <c r="R32" i="93" a="1"/>
  <c r="R32" i="93" s="1"/>
  <c r="E33" i="93" a="1"/>
  <c r="E33" i="93" s="1"/>
  <c r="F33" i="93" a="1"/>
  <c r="F33" i="93" s="1"/>
  <c r="G33" i="93" a="1"/>
  <c r="G33" i="93" s="1"/>
  <c r="H33" i="93" a="1"/>
  <c r="H33" i="93" s="1"/>
  <c r="I33" i="93" a="1"/>
  <c r="I33" i="93" s="1"/>
  <c r="J33" i="93" a="1"/>
  <c r="J33" i="93" s="1"/>
  <c r="K33" i="93" a="1"/>
  <c r="K33" i="93" s="1"/>
  <c r="L33" i="93" a="1"/>
  <c r="L33" i="93" s="1"/>
  <c r="M33" i="93" a="1"/>
  <c r="M33" i="93" s="1"/>
  <c r="N33" i="93" a="1"/>
  <c r="N33" i="93" s="1"/>
  <c r="O33" i="93" a="1"/>
  <c r="O33" i="93" s="1"/>
  <c r="P33" i="93" a="1"/>
  <c r="P33" i="93" s="1"/>
  <c r="Q33" i="93" a="1"/>
  <c r="Q33" i="93" s="1"/>
  <c r="R33" i="93" a="1"/>
  <c r="R33" i="93" s="1"/>
  <c r="E34" i="93" a="1"/>
  <c r="E34" i="93" s="1"/>
  <c r="F34" i="93" a="1"/>
  <c r="F34" i="93" s="1"/>
  <c r="G34" i="93" a="1"/>
  <c r="G34" i="93" s="1"/>
  <c r="H34" i="93" a="1"/>
  <c r="H34" i="93" s="1"/>
  <c r="I34" i="93" a="1"/>
  <c r="I34" i="93" s="1"/>
  <c r="J34" i="93" a="1"/>
  <c r="J34" i="93" s="1"/>
  <c r="K34" i="93" a="1"/>
  <c r="K34" i="93" s="1"/>
  <c r="L34" i="93" a="1"/>
  <c r="L34" i="93" s="1"/>
  <c r="M34" i="93" a="1"/>
  <c r="M34" i="93" s="1"/>
  <c r="N34" i="93" a="1"/>
  <c r="N34" i="93" s="1"/>
  <c r="O34" i="93" a="1"/>
  <c r="O34" i="93" s="1"/>
  <c r="P34" i="93" a="1"/>
  <c r="P34" i="93" s="1"/>
  <c r="Q34" i="93" a="1"/>
  <c r="Q34" i="93" s="1"/>
  <c r="R34" i="93" a="1"/>
  <c r="R34" i="93" s="1"/>
  <c r="E35" i="93" a="1"/>
  <c r="E35" i="93" s="1"/>
  <c r="F35" i="93" a="1"/>
  <c r="F35" i="93" s="1"/>
  <c r="G35" i="93" a="1"/>
  <c r="G35" i="93" s="1"/>
  <c r="H35" i="93" a="1"/>
  <c r="H35" i="93" s="1"/>
  <c r="I35" i="93" a="1"/>
  <c r="I35" i="93" s="1"/>
  <c r="J35" i="93" a="1"/>
  <c r="J35" i="93" s="1"/>
  <c r="K35" i="93" a="1"/>
  <c r="K35" i="93" s="1"/>
  <c r="L35" i="93" a="1"/>
  <c r="L35" i="93" s="1"/>
  <c r="M35" i="93" a="1"/>
  <c r="M35" i="93" s="1"/>
  <c r="N35" i="93" a="1"/>
  <c r="N35" i="93" s="1"/>
  <c r="O35" i="93" a="1"/>
  <c r="O35" i="93" s="1"/>
  <c r="P35" i="93" a="1"/>
  <c r="P35" i="93" s="1"/>
  <c r="Q35" i="93" a="1"/>
  <c r="Q35" i="93" s="1"/>
  <c r="R35" i="93" a="1"/>
  <c r="R35" i="93" s="1"/>
  <c r="E36" i="93" a="1"/>
  <c r="E36" i="93" s="1"/>
  <c r="F36" i="93" a="1"/>
  <c r="F36" i="93" s="1"/>
  <c r="G36" i="93" a="1"/>
  <c r="G36" i="93" s="1"/>
  <c r="H36" i="93" a="1"/>
  <c r="H36" i="93" s="1"/>
  <c r="I36" i="93" a="1"/>
  <c r="I36" i="93" s="1"/>
  <c r="J36" i="93" a="1"/>
  <c r="J36" i="93" s="1"/>
  <c r="K36" i="93" a="1"/>
  <c r="K36" i="93" s="1"/>
  <c r="L36" i="93" a="1"/>
  <c r="L36" i="93" s="1"/>
  <c r="M36" i="93" a="1"/>
  <c r="M36" i="93" s="1"/>
  <c r="N36" i="93" a="1"/>
  <c r="N36" i="93" s="1"/>
  <c r="O36" i="93" a="1"/>
  <c r="O36" i="93" s="1"/>
  <c r="P36" i="93" a="1"/>
  <c r="P36" i="93" s="1"/>
  <c r="Q36" i="93" a="1"/>
  <c r="Q36" i="93" s="1"/>
  <c r="R36" i="93" a="1"/>
  <c r="R36" i="93" s="1"/>
  <c r="E37" i="93" a="1"/>
  <c r="E37" i="93" s="1"/>
  <c r="F37" i="93" a="1"/>
  <c r="F37" i="93" s="1"/>
  <c r="G37" i="93" a="1"/>
  <c r="G37" i="93" s="1"/>
  <c r="H37" i="93" a="1"/>
  <c r="H37" i="93" s="1"/>
  <c r="I37" i="93" a="1"/>
  <c r="I37" i="93" s="1"/>
  <c r="J37" i="93" a="1"/>
  <c r="J37" i="93" s="1"/>
  <c r="K37" i="93" a="1"/>
  <c r="K37" i="93" s="1"/>
  <c r="L37" i="93" a="1"/>
  <c r="L37" i="93" s="1"/>
  <c r="M37" i="93" a="1"/>
  <c r="M37" i="93" s="1"/>
  <c r="N37" i="93" a="1"/>
  <c r="N37" i="93" s="1"/>
  <c r="O37" i="93" a="1"/>
  <c r="O37" i="93" s="1"/>
  <c r="P37" i="93" a="1"/>
  <c r="P37" i="93" s="1"/>
  <c r="Q37" i="93" a="1"/>
  <c r="Q37" i="93" s="1"/>
  <c r="R37" i="93" a="1"/>
  <c r="R37" i="93" s="1"/>
  <c r="E38" i="93" a="1"/>
  <c r="E38" i="93" s="1"/>
  <c r="F38" i="93" a="1"/>
  <c r="F38" i="93" s="1"/>
  <c r="G38" i="93" a="1"/>
  <c r="G38" i="93" s="1"/>
  <c r="H38" i="93" a="1"/>
  <c r="H38" i="93" s="1"/>
  <c r="I38" i="93" a="1"/>
  <c r="I38" i="93" s="1"/>
  <c r="J38" i="93" a="1"/>
  <c r="J38" i="93" s="1"/>
  <c r="K38" i="93" a="1"/>
  <c r="K38" i="93" s="1"/>
  <c r="L38" i="93" a="1"/>
  <c r="L38" i="93" s="1"/>
  <c r="M38" i="93" a="1"/>
  <c r="M38" i="93" s="1"/>
  <c r="N38" i="93" a="1"/>
  <c r="N38" i="93" s="1"/>
  <c r="O38" i="93" a="1"/>
  <c r="O38" i="93" s="1"/>
  <c r="P38" i="93" a="1"/>
  <c r="P38" i="93" s="1"/>
  <c r="Q38" i="93" a="1"/>
  <c r="Q38" i="93" s="1"/>
  <c r="R38" i="93" a="1"/>
  <c r="R38" i="93" s="1"/>
  <c r="E39" i="93" a="1"/>
  <c r="E39" i="93" s="1"/>
  <c r="F39" i="93" a="1"/>
  <c r="F39" i="93" s="1"/>
  <c r="G39" i="93" a="1"/>
  <c r="G39" i="93" s="1"/>
  <c r="H39" i="93" a="1"/>
  <c r="H39" i="93" s="1"/>
  <c r="I39" i="93" a="1"/>
  <c r="I39" i="93" s="1"/>
  <c r="J39" i="93" a="1"/>
  <c r="J39" i="93" s="1"/>
  <c r="K39" i="93" a="1"/>
  <c r="K39" i="93" s="1"/>
  <c r="L39" i="93" a="1"/>
  <c r="L39" i="93" s="1"/>
  <c r="M39" i="93" a="1"/>
  <c r="M39" i="93" s="1"/>
  <c r="N39" i="93" a="1"/>
  <c r="N39" i="93" s="1"/>
  <c r="O39" i="93" a="1"/>
  <c r="O39" i="93" s="1"/>
  <c r="P39" i="93" a="1"/>
  <c r="P39" i="93" s="1"/>
  <c r="Q39" i="93" a="1"/>
  <c r="Q39" i="93" s="1"/>
  <c r="R39" i="93" a="1"/>
  <c r="R39" i="93" s="1"/>
  <c r="E40" i="93" a="1"/>
  <c r="E40" i="93" s="1"/>
  <c r="F40" i="93" a="1"/>
  <c r="F40" i="93" s="1"/>
  <c r="G40" i="93" a="1"/>
  <c r="G40" i="93" s="1"/>
  <c r="H40" i="93" a="1"/>
  <c r="H40" i="93" s="1"/>
  <c r="I40" i="93" a="1"/>
  <c r="I40" i="93" s="1"/>
  <c r="J40" i="93" a="1"/>
  <c r="J40" i="93" s="1"/>
  <c r="K40" i="93" a="1"/>
  <c r="K40" i="93" s="1"/>
  <c r="L40" i="93" a="1"/>
  <c r="L40" i="93" s="1"/>
  <c r="M40" i="93" a="1"/>
  <c r="M40" i="93" s="1"/>
  <c r="N40" i="93" a="1"/>
  <c r="N40" i="93" s="1"/>
  <c r="O40" i="93" a="1"/>
  <c r="O40" i="93" s="1"/>
  <c r="P40" i="93" a="1"/>
  <c r="P40" i="93" s="1"/>
  <c r="Q40" i="93" a="1"/>
  <c r="Q40" i="93" s="1"/>
  <c r="R40" i="93" a="1"/>
  <c r="R40" i="93" s="1"/>
  <c r="E41" i="93" a="1"/>
  <c r="E41" i="93" s="1"/>
  <c r="F41" i="93" a="1"/>
  <c r="F41" i="93" s="1"/>
  <c r="G41" i="93" a="1"/>
  <c r="G41" i="93" s="1"/>
  <c r="H41" i="93" a="1"/>
  <c r="H41" i="93" s="1"/>
  <c r="I41" i="93" a="1"/>
  <c r="I41" i="93" s="1"/>
  <c r="J41" i="93" a="1"/>
  <c r="J41" i="93" s="1"/>
  <c r="K41" i="93" a="1"/>
  <c r="K41" i="93" s="1"/>
  <c r="L41" i="93" a="1"/>
  <c r="L41" i="93" s="1"/>
  <c r="M41" i="93" a="1"/>
  <c r="M41" i="93" s="1"/>
  <c r="N41" i="93" a="1"/>
  <c r="N41" i="93" s="1"/>
  <c r="O41" i="93" a="1"/>
  <c r="O41" i="93" s="1"/>
  <c r="P41" i="93" a="1"/>
  <c r="P41" i="93" s="1"/>
  <c r="Q41" i="93" a="1"/>
  <c r="Q41" i="93" s="1"/>
  <c r="R41" i="93" a="1"/>
  <c r="R41" i="93" s="1"/>
  <c r="E42" i="93" a="1"/>
  <c r="E42" i="93" s="1"/>
  <c r="F42" i="93" a="1"/>
  <c r="F42" i="93" s="1"/>
  <c r="G42" i="93" a="1"/>
  <c r="G42" i="93" s="1"/>
  <c r="H42" i="93" a="1"/>
  <c r="H42" i="93" s="1"/>
  <c r="I42" i="93" a="1"/>
  <c r="I42" i="93" s="1"/>
  <c r="J42" i="93" a="1"/>
  <c r="J42" i="93" s="1"/>
  <c r="K42" i="93" a="1"/>
  <c r="K42" i="93" s="1"/>
  <c r="L42" i="93" a="1"/>
  <c r="L42" i="93" s="1"/>
  <c r="M42" i="93" a="1"/>
  <c r="M42" i="93" s="1"/>
  <c r="N42" i="93" a="1"/>
  <c r="N42" i="93" s="1"/>
  <c r="O42" i="93" a="1"/>
  <c r="O42" i="93" s="1"/>
  <c r="P42" i="93" a="1"/>
  <c r="P42" i="93" s="1"/>
  <c r="Q42" i="93" a="1"/>
  <c r="Q42" i="93" s="1"/>
  <c r="R42" i="93" a="1"/>
  <c r="R42" i="93" s="1"/>
  <c r="E43" i="93" a="1"/>
  <c r="E43" i="93" s="1"/>
  <c r="F43" i="93" a="1"/>
  <c r="F43" i="93" s="1"/>
  <c r="G43" i="93" a="1"/>
  <c r="G43" i="93" s="1"/>
  <c r="H43" i="93" a="1"/>
  <c r="H43" i="93" s="1"/>
  <c r="I43" i="93" a="1"/>
  <c r="I43" i="93" s="1"/>
  <c r="J43" i="93" a="1"/>
  <c r="J43" i="93" s="1"/>
  <c r="K43" i="93" a="1"/>
  <c r="K43" i="93" s="1"/>
  <c r="L43" i="93" a="1"/>
  <c r="L43" i="93" s="1"/>
  <c r="M43" i="93" a="1"/>
  <c r="M43" i="93" s="1"/>
  <c r="N43" i="93" a="1"/>
  <c r="N43" i="93" s="1"/>
  <c r="O43" i="93" a="1"/>
  <c r="O43" i="93" s="1"/>
  <c r="P43" i="93" a="1"/>
  <c r="P43" i="93" s="1"/>
  <c r="Q43" i="93" a="1"/>
  <c r="Q43" i="93" s="1"/>
  <c r="R43" i="93" a="1"/>
  <c r="R43" i="93" s="1"/>
  <c r="E44" i="93" a="1"/>
  <c r="E44" i="93" s="1"/>
  <c r="F44" i="93" a="1"/>
  <c r="F44" i="93" s="1"/>
  <c r="G44" i="93" a="1"/>
  <c r="G44" i="93" s="1"/>
  <c r="H44" i="93" a="1"/>
  <c r="H44" i="93" s="1"/>
  <c r="I44" i="93" a="1"/>
  <c r="I44" i="93" s="1"/>
  <c r="J44" i="93" a="1"/>
  <c r="J44" i="93" s="1"/>
  <c r="K44" i="93" a="1"/>
  <c r="K44" i="93" s="1"/>
  <c r="L44" i="93" a="1"/>
  <c r="L44" i="93" s="1"/>
  <c r="M44" i="93" a="1"/>
  <c r="M44" i="93" s="1"/>
  <c r="N44" i="93" a="1"/>
  <c r="N44" i="93" s="1"/>
  <c r="O44" i="93" a="1"/>
  <c r="O44" i="93" s="1"/>
  <c r="P44" i="93" a="1"/>
  <c r="P44" i="93" s="1"/>
  <c r="Q44" i="93" a="1"/>
  <c r="Q44" i="93" s="1"/>
  <c r="R44" i="93" a="1"/>
  <c r="R44" i="93" s="1"/>
  <c r="E45" i="93" a="1"/>
  <c r="E45" i="93" s="1"/>
  <c r="F45" i="93" a="1"/>
  <c r="F45" i="93" s="1"/>
  <c r="G45" i="93" a="1"/>
  <c r="G45" i="93" s="1"/>
  <c r="H45" i="93" a="1"/>
  <c r="H45" i="93" s="1"/>
  <c r="I45" i="93" a="1"/>
  <c r="I45" i="93" s="1"/>
  <c r="J45" i="93" a="1"/>
  <c r="J45" i="93" s="1"/>
  <c r="K45" i="93" a="1"/>
  <c r="K45" i="93" s="1"/>
  <c r="L45" i="93" a="1"/>
  <c r="L45" i="93" s="1"/>
  <c r="M45" i="93" a="1"/>
  <c r="M45" i="93" s="1"/>
  <c r="N45" i="93" a="1"/>
  <c r="N45" i="93" s="1"/>
  <c r="O45" i="93" a="1"/>
  <c r="O45" i="93" s="1"/>
  <c r="P45" i="93" a="1"/>
  <c r="P45" i="93" s="1"/>
  <c r="Q45" i="93" a="1"/>
  <c r="Q45" i="93" s="1"/>
  <c r="R45" i="93" a="1"/>
  <c r="R45" i="93" s="1"/>
  <c r="E46" i="93" a="1"/>
  <c r="E46" i="93" s="1"/>
  <c r="F46" i="93" a="1"/>
  <c r="F46" i="93" s="1"/>
  <c r="G46" i="93" a="1"/>
  <c r="G46" i="93" s="1"/>
  <c r="H46" i="93" a="1"/>
  <c r="H46" i="93" s="1"/>
  <c r="I46" i="93" a="1"/>
  <c r="I46" i="93" s="1"/>
  <c r="J46" i="93" a="1"/>
  <c r="J46" i="93" s="1"/>
  <c r="K46" i="93" a="1"/>
  <c r="K46" i="93" s="1"/>
  <c r="L46" i="93" a="1"/>
  <c r="L46" i="93" s="1"/>
  <c r="M46" i="93" a="1"/>
  <c r="M46" i="93" s="1"/>
  <c r="N46" i="93" a="1"/>
  <c r="N46" i="93" s="1"/>
  <c r="O46" i="93" a="1"/>
  <c r="O46" i="93" s="1"/>
  <c r="P46" i="93" a="1"/>
  <c r="P46" i="93" s="1"/>
  <c r="Q46" i="93" a="1"/>
  <c r="Q46" i="93" s="1"/>
  <c r="R46" i="93" a="1"/>
  <c r="R46" i="93" s="1"/>
  <c r="E47" i="93" a="1"/>
  <c r="E47" i="93" s="1"/>
  <c r="F47" i="93" a="1"/>
  <c r="F47" i="93" s="1"/>
  <c r="G47" i="93" a="1"/>
  <c r="G47" i="93" s="1"/>
  <c r="H47" i="93" a="1"/>
  <c r="H47" i="93" s="1"/>
  <c r="I47" i="93" a="1"/>
  <c r="I47" i="93" s="1"/>
  <c r="J47" i="93" a="1"/>
  <c r="J47" i="93" s="1"/>
  <c r="K47" i="93" a="1"/>
  <c r="K47" i="93" s="1"/>
  <c r="L47" i="93" a="1"/>
  <c r="L47" i="93" s="1"/>
  <c r="M47" i="93" a="1"/>
  <c r="M47" i="93" s="1"/>
  <c r="N47" i="93" a="1"/>
  <c r="N47" i="93" s="1"/>
  <c r="O47" i="93" a="1"/>
  <c r="O47" i="93" s="1"/>
  <c r="P47" i="93" a="1"/>
  <c r="P47" i="93" s="1"/>
  <c r="Q47" i="93" a="1"/>
  <c r="Q47" i="93" s="1"/>
  <c r="R47" i="93" a="1"/>
  <c r="R47" i="93" s="1"/>
  <c r="E48" i="93" a="1"/>
  <c r="E48" i="93" s="1"/>
  <c r="F48" i="93" a="1"/>
  <c r="F48" i="93" s="1"/>
  <c r="G48" i="93" a="1"/>
  <c r="G48" i="93" s="1"/>
  <c r="H48" i="93" a="1"/>
  <c r="H48" i="93" s="1"/>
  <c r="I48" i="93" a="1"/>
  <c r="I48" i="93" s="1"/>
  <c r="J48" i="93" a="1"/>
  <c r="J48" i="93" s="1"/>
  <c r="K48" i="93" a="1"/>
  <c r="K48" i="93" s="1"/>
  <c r="L48" i="93" a="1"/>
  <c r="L48" i="93" s="1"/>
  <c r="M48" i="93" a="1"/>
  <c r="M48" i="93" s="1"/>
  <c r="N48" i="93" a="1"/>
  <c r="N48" i="93" s="1"/>
  <c r="O48" i="93" a="1"/>
  <c r="O48" i="93" s="1"/>
  <c r="P48" i="93" a="1"/>
  <c r="P48" i="93" s="1"/>
  <c r="Q48" i="93" a="1"/>
  <c r="Q48" i="93" s="1"/>
  <c r="R48" i="93" a="1"/>
  <c r="R48" i="93" s="1"/>
  <c r="E49" i="93" a="1"/>
  <c r="E49" i="93" s="1"/>
  <c r="F49" i="93" a="1"/>
  <c r="F49" i="93" s="1"/>
  <c r="G49" i="93" a="1"/>
  <c r="G49" i="93" s="1"/>
  <c r="H49" i="93" a="1"/>
  <c r="H49" i="93" s="1"/>
  <c r="I49" i="93" a="1"/>
  <c r="I49" i="93" s="1"/>
  <c r="J49" i="93" a="1"/>
  <c r="J49" i="93" s="1"/>
  <c r="K49" i="93" a="1"/>
  <c r="K49" i="93" s="1"/>
  <c r="L49" i="93" a="1"/>
  <c r="L49" i="93" s="1"/>
  <c r="M49" i="93" a="1"/>
  <c r="M49" i="93" s="1"/>
  <c r="N49" i="93" a="1"/>
  <c r="N49" i="93" s="1"/>
  <c r="O49" i="93" a="1"/>
  <c r="O49" i="93" s="1"/>
  <c r="P49" i="93" a="1"/>
  <c r="P49" i="93" s="1"/>
  <c r="Q49" i="93" a="1"/>
  <c r="Q49" i="93" s="1"/>
  <c r="R49" i="93" a="1"/>
  <c r="R49" i="93" s="1"/>
  <c r="E50" i="93" a="1"/>
  <c r="E50" i="93" s="1"/>
  <c r="F50" i="93" a="1"/>
  <c r="F50" i="93" s="1"/>
  <c r="G50" i="93" a="1"/>
  <c r="G50" i="93" s="1"/>
  <c r="H50" i="93" a="1"/>
  <c r="H50" i="93" s="1"/>
  <c r="I50" i="93" a="1"/>
  <c r="I50" i="93" s="1"/>
  <c r="J50" i="93" a="1"/>
  <c r="J50" i="93" s="1"/>
  <c r="K50" i="93" a="1"/>
  <c r="K50" i="93" s="1"/>
  <c r="L50" i="93" a="1"/>
  <c r="L50" i="93" s="1"/>
  <c r="M50" i="93" a="1"/>
  <c r="M50" i="93" s="1"/>
  <c r="N50" i="93" a="1"/>
  <c r="N50" i="93" s="1"/>
  <c r="O50" i="93" a="1"/>
  <c r="O50" i="93" s="1"/>
  <c r="P50" i="93" a="1"/>
  <c r="P50" i="93" s="1"/>
  <c r="Q50" i="93" a="1"/>
  <c r="Q50" i="93" s="1"/>
  <c r="R50" i="93" a="1"/>
  <c r="R50" i="93" s="1"/>
  <c r="E51" i="93" a="1"/>
  <c r="E51" i="93" s="1"/>
  <c r="F51" i="93" a="1"/>
  <c r="F51" i="93" s="1"/>
  <c r="G51" i="93" a="1"/>
  <c r="G51" i="93" s="1"/>
  <c r="H51" i="93" a="1"/>
  <c r="H51" i="93" s="1"/>
  <c r="I51" i="93" a="1"/>
  <c r="I51" i="93" s="1"/>
  <c r="J51" i="93" a="1"/>
  <c r="J51" i="93" s="1"/>
  <c r="K51" i="93" a="1"/>
  <c r="K51" i="93" s="1"/>
  <c r="L51" i="93" a="1"/>
  <c r="L51" i="93" s="1"/>
  <c r="M51" i="93" a="1"/>
  <c r="M51" i="93" s="1"/>
  <c r="N51" i="93" a="1"/>
  <c r="N51" i="93" s="1"/>
  <c r="O51" i="93" a="1"/>
  <c r="O51" i="93" s="1"/>
  <c r="P51" i="93" a="1"/>
  <c r="P51" i="93" s="1"/>
  <c r="Q51" i="93" a="1"/>
  <c r="Q51" i="93" s="1"/>
  <c r="R51" i="93" a="1"/>
  <c r="R51" i="93" s="1"/>
  <c r="E52" i="93" a="1"/>
  <c r="E52" i="93" s="1"/>
  <c r="F52" i="93" a="1"/>
  <c r="F52" i="93" s="1"/>
  <c r="G52" i="93" a="1"/>
  <c r="G52" i="93" s="1"/>
  <c r="H52" i="93" a="1"/>
  <c r="H52" i="93" s="1"/>
  <c r="I52" i="93" a="1"/>
  <c r="I52" i="93" s="1"/>
  <c r="J52" i="93" a="1"/>
  <c r="J52" i="93" s="1"/>
  <c r="K52" i="93" a="1"/>
  <c r="K52" i="93" s="1"/>
  <c r="L52" i="93" a="1"/>
  <c r="L52" i="93" s="1"/>
  <c r="M52" i="93" a="1"/>
  <c r="M52" i="93" s="1"/>
  <c r="N52" i="93" a="1"/>
  <c r="N52" i="93" s="1"/>
  <c r="O52" i="93" a="1"/>
  <c r="O52" i="93" s="1"/>
  <c r="P52" i="93" a="1"/>
  <c r="P52" i="93" s="1"/>
  <c r="Q52" i="93" a="1"/>
  <c r="Q52" i="93" s="1"/>
  <c r="R52" i="93" a="1"/>
  <c r="R52" i="93" s="1"/>
  <c r="E53" i="93" a="1"/>
  <c r="E53" i="93" s="1"/>
  <c r="F53" i="93" a="1"/>
  <c r="F53" i="93" s="1"/>
  <c r="G53" i="93" a="1"/>
  <c r="G53" i="93" s="1"/>
  <c r="H53" i="93" a="1"/>
  <c r="H53" i="93" s="1"/>
  <c r="I53" i="93" a="1"/>
  <c r="I53" i="93" s="1"/>
  <c r="J53" i="93" a="1"/>
  <c r="J53" i="93" s="1"/>
  <c r="K53" i="93" a="1"/>
  <c r="K53" i="93" s="1"/>
  <c r="L53" i="93" a="1"/>
  <c r="L53" i="93" s="1"/>
  <c r="M53" i="93" a="1"/>
  <c r="M53" i="93" s="1"/>
  <c r="N53" i="93" a="1"/>
  <c r="N53" i="93" s="1"/>
  <c r="O53" i="93" a="1"/>
  <c r="O53" i="93" s="1"/>
  <c r="P53" i="93" a="1"/>
  <c r="P53" i="93" s="1"/>
  <c r="Q53" i="93" a="1"/>
  <c r="Q53" i="93" s="1"/>
  <c r="R53" i="93" a="1"/>
  <c r="R53" i="93" s="1"/>
  <c r="E54" i="93" a="1"/>
  <c r="E54" i="93" s="1"/>
  <c r="F54" i="93" a="1"/>
  <c r="F54" i="93" s="1"/>
  <c r="G54" i="93" a="1"/>
  <c r="G54" i="93" s="1"/>
  <c r="H54" i="93" a="1"/>
  <c r="H54" i="93" s="1"/>
  <c r="I54" i="93" a="1"/>
  <c r="I54" i="93" s="1"/>
  <c r="J54" i="93" a="1"/>
  <c r="J54" i="93" s="1"/>
  <c r="K54" i="93" a="1"/>
  <c r="K54" i="93" s="1"/>
  <c r="L54" i="93" a="1"/>
  <c r="L54" i="93" s="1"/>
  <c r="M54" i="93" a="1"/>
  <c r="M54" i="93" s="1"/>
  <c r="N54" i="93" a="1"/>
  <c r="N54" i="93" s="1"/>
  <c r="O54" i="93" a="1"/>
  <c r="O54" i="93" s="1"/>
  <c r="P54" i="93" a="1"/>
  <c r="P54" i="93" s="1"/>
  <c r="Q54" i="93" a="1"/>
  <c r="Q54" i="93" s="1"/>
  <c r="R54" i="93" a="1"/>
  <c r="R54" i="93" s="1"/>
  <c r="E55" i="93" a="1"/>
  <c r="E55" i="93" s="1"/>
  <c r="F55" i="93" a="1"/>
  <c r="F55" i="93" s="1"/>
  <c r="G55" i="93" a="1"/>
  <c r="G55" i="93" s="1"/>
  <c r="H55" i="93" a="1"/>
  <c r="H55" i="93" s="1"/>
  <c r="I55" i="93" a="1"/>
  <c r="I55" i="93" s="1"/>
  <c r="J55" i="93" a="1"/>
  <c r="J55" i="93" s="1"/>
  <c r="K55" i="93" a="1"/>
  <c r="K55" i="93" s="1"/>
  <c r="L55" i="93" a="1"/>
  <c r="L55" i="93" s="1"/>
  <c r="M55" i="93" a="1"/>
  <c r="M55" i="93" s="1"/>
  <c r="N55" i="93" a="1"/>
  <c r="N55" i="93" s="1"/>
  <c r="O55" i="93" a="1"/>
  <c r="O55" i="93" s="1"/>
  <c r="P55" i="93" a="1"/>
  <c r="P55" i="93" s="1"/>
  <c r="Q55" i="93" a="1"/>
  <c r="Q55" i="93" s="1"/>
  <c r="R55" i="93" a="1"/>
  <c r="R55" i="93" s="1"/>
  <c r="E56" i="93" a="1"/>
  <c r="E56" i="93" s="1"/>
  <c r="F56" i="93" a="1"/>
  <c r="F56" i="93" s="1"/>
  <c r="G56" i="93" a="1"/>
  <c r="G56" i="93" s="1"/>
  <c r="H56" i="93" a="1"/>
  <c r="H56" i="93" s="1"/>
  <c r="I56" i="93" a="1"/>
  <c r="I56" i="93" s="1"/>
  <c r="J56" i="93" a="1"/>
  <c r="J56" i="93" s="1"/>
  <c r="K56" i="93" a="1"/>
  <c r="K56" i="93" s="1"/>
  <c r="L56" i="93" a="1"/>
  <c r="L56" i="93" s="1"/>
  <c r="M56" i="93" a="1"/>
  <c r="M56" i="93" s="1"/>
  <c r="N56" i="93" a="1"/>
  <c r="N56" i="93" s="1"/>
  <c r="O56" i="93" a="1"/>
  <c r="O56" i="93" s="1"/>
  <c r="P56" i="93" a="1"/>
  <c r="P56" i="93" s="1"/>
  <c r="Q56" i="93" a="1"/>
  <c r="Q56" i="93" s="1"/>
  <c r="R56" i="93" a="1"/>
  <c r="R56" i="93" s="1"/>
  <c r="E57" i="93" a="1"/>
  <c r="E57" i="93" s="1"/>
  <c r="F57" i="93" a="1"/>
  <c r="F57" i="93" s="1"/>
  <c r="G57" i="93" a="1"/>
  <c r="G57" i="93" s="1"/>
  <c r="H57" i="93" a="1"/>
  <c r="H57" i="93" s="1"/>
  <c r="I57" i="93" a="1"/>
  <c r="I57" i="93" s="1"/>
  <c r="J57" i="93" a="1"/>
  <c r="J57" i="93" s="1"/>
  <c r="K57" i="93" a="1"/>
  <c r="K57" i="93" s="1"/>
  <c r="L57" i="93" a="1"/>
  <c r="L57" i="93" s="1"/>
  <c r="M57" i="93" a="1"/>
  <c r="M57" i="93" s="1"/>
  <c r="N57" i="93" a="1"/>
  <c r="N57" i="93" s="1"/>
  <c r="O57" i="93" a="1"/>
  <c r="O57" i="93" s="1"/>
  <c r="P57" i="93" a="1"/>
  <c r="P57" i="93" s="1"/>
  <c r="Q57" i="93" a="1"/>
  <c r="Q57" i="93" s="1"/>
  <c r="R57" i="93" a="1"/>
  <c r="R57" i="93" s="1"/>
  <c r="E58" i="93" a="1"/>
  <c r="E58" i="93" s="1"/>
  <c r="F58" i="93" a="1"/>
  <c r="F58" i="93" s="1"/>
  <c r="G58" i="93" a="1"/>
  <c r="G58" i="93" s="1"/>
  <c r="H58" i="93" a="1"/>
  <c r="H58" i="93" s="1"/>
  <c r="I58" i="93" a="1"/>
  <c r="I58" i="93" s="1"/>
  <c r="J58" i="93" a="1"/>
  <c r="J58" i="93" s="1"/>
  <c r="K58" i="93" a="1"/>
  <c r="K58" i="93" s="1"/>
  <c r="L58" i="93" a="1"/>
  <c r="L58" i="93" s="1"/>
  <c r="M58" i="93" a="1"/>
  <c r="M58" i="93" s="1"/>
  <c r="N58" i="93" a="1"/>
  <c r="N58" i="93" s="1"/>
  <c r="O58" i="93" a="1"/>
  <c r="O58" i="93" s="1"/>
  <c r="P58" i="93" a="1"/>
  <c r="P58" i="93" s="1"/>
  <c r="Q58" i="93" a="1"/>
  <c r="Q58" i="93" s="1"/>
  <c r="R58" i="93" a="1"/>
  <c r="R58" i="93" s="1"/>
  <c r="E59" i="93" a="1"/>
  <c r="E59" i="93" s="1"/>
  <c r="F59" i="93" a="1"/>
  <c r="F59" i="93" s="1"/>
  <c r="G59" i="93" a="1"/>
  <c r="G59" i="93" s="1"/>
  <c r="H59" i="93" a="1"/>
  <c r="H59" i="93" s="1"/>
  <c r="I59" i="93" a="1"/>
  <c r="I59" i="93" s="1"/>
  <c r="J59" i="93" a="1"/>
  <c r="J59" i="93" s="1"/>
  <c r="K59" i="93" a="1"/>
  <c r="K59" i="93" s="1"/>
  <c r="L59" i="93" a="1"/>
  <c r="L59" i="93" s="1"/>
  <c r="M59" i="93" a="1"/>
  <c r="M59" i="93" s="1"/>
  <c r="N59" i="93" a="1"/>
  <c r="N59" i="93" s="1"/>
  <c r="O59" i="93" a="1"/>
  <c r="O59" i="93" s="1"/>
  <c r="P59" i="93" a="1"/>
  <c r="P59" i="93" s="1"/>
  <c r="Q59" i="93" a="1"/>
  <c r="Q59" i="93" s="1"/>
  <c r="R59" i="93" a="1"/>
  <c r="R59" i="93" s="1"/>
  <c r="E60" i="93" a="1"/>
  <c r="E60" i="93" s="1"/>
  <c r="F60" i="93" a="1"/>
  <c r="F60" i="93" s="1"/>
  <c r="G60" i="93" a="1"/>
  <c r="G60" i="93" s="1"/>
  <c r="H60" i="93" a="1"/>
  <c r="H60" i="93" s="1"/>
  <c r="I60" i="93" a="1"/>
  <c r="I60" i="93" s="1"/>
  <c r="J60" i="93" a="1"/>
  <c r="J60" i="93" s="1"/>
  <c r="K60" i="93" a="1"/>
  <c r="K60" i="93" s="1"/>
  <c r="L60" i="93" a="1"/>
  <c r="L60" i="93" s="1"/>
  <c r="M60" i="93" a="1"/>
  <c r="M60" i="93" s="1"/>
  <c r="N60" i="93" a="1"/>
  <c r="N60" i="93" s="1"/>
  <c r="O60" i="93" a="1"/>
  <c r="O60" i="93" s="1"/>
  <c r="P60" i="93" a="1"/>
  <c r="P60" i="93" s="1"/>
  <c r="Q60" i="93" a="1"/>
  <c r="Q60" i="93" s="1"/>
  <c r="R60" i="93" a="1"/>
  <c r="R60" i="93" s="1"/>
  <c r="E61" i="93" a="1"/>
  <c r="E61" i="93" s="1"/>
  <c r="F61" i="93" a="1"/>
  <c r="F61" i="93" s="1"/>
  <c r="G61" i="93" a="1"/>
  <c r="G61" i="93" s="1"/>
  <c r="H61" i="93" a="1"/>
  <c r="H61" i="93" s="1"/>
  <c r="I61" i="93" a="1"/>
  <c r="I61" i="93" s="1"/>
  <c r="J61" i="93" a="1"/>
  <c r="J61" i="93" s="1"/>
  <c r="K61" i="93" a="1"/>
  <c r="K61" i="93" s="1"/>
  <c r="L61" i="93" a="1"/>
  <c r="L61" i="93" s="1"/>
  <c r="M61" i="93" a="1"/>
  <c r="M61" i="93" s="1"/>
  <c r="N61" i="93" a="1"/>
  <c r="N61" i="93" s="1"/>
  <c r="O61" i="93" a="1"/>
  <c r="O61" i="93" s="1"/>
  <c r="P61" i="93" a="1"/>
  <c r="P61" i="93" s="1"/>
  <c r="Q61" i="93" a="1"/>
  <c r="Q61" i="93" s="1"/>
  <c r="R61" i="93" a="1"/>
  <c r="R61" i="93" s="1"/>
  <c r="E62" i="93" a="1"/>
  <c r="E62" i="93" s="1"/>
  <c r="F62" i="93" a="1"/>
  <c r="F62" i="93" s="1"/>
  <c r="G62" i="93" a="1"/>
  <c r="G62" i="93" s="1"/>
  <c r="H62" i="93" a="1"/>
  <c r="H62" i="93" s="1"/>
  <c r="I62" i="93" a="1"/>
  <c r="I62" i="93" s="1"/>
  <c r="J62" i="93" a="1"/>
  <c r="J62" i="93" s="1"/>
  <c r="K62" i="93" a="1"/>
  <c r="K62" i="93" s="1"/>
  <c r="L62" i="93" a="1"/>
  <c r="L62" i="93" s="1"/>
  <c r="M62" i="93" a="1"/>
  <c r="M62" i="93" s="1"/>
  <c r="N62" i="93" a="1"/>
  <c r="N62" i="93" s="1"/>
  <c r="O62" i="93" a="1"/>
  <c r="O62" i="93" s="1"/>
  <c r="P62" i="93" a="1"/>
  <c r="P62" i="93" s="1"/>
  <c r="Q62" i="93" a="1"/>
  <c r="Q62" i="93" s="1"/>
  <c r="R62" i="93" a="1"/>
  <c r="R62" i="93" s="1"/>
  <c r="E63" i="93" a="1"/>
  <c r="E63" i="93" s="1"/>
  <c r="F63" i="93" a="1"/>
  <c r="F63" i="93" s="1"/>
  <c r="G63" i="93" a="1"/>
  <c r="G63" i="93" s="1"/>
  <c r="H63" i="93" a="1"/>
  <c r="H63" i="93" s="1"/>
  <c r="I63" i="93" a="1"/>
  <c r="I63" i="93" s="1"/>
  <c r="J63" i="93" a="1"/>
  <c r="J63" i="93" s="1"/>
  <c r="K63" i="93" a="1"/>
  <c r="K63" i="93" s="1"/>
  <c r="L63" i="93" a="1"/>
  <c r="L63" i="93" s="1"/>
  <c r="M63" i="93" a="1"/>
  <c r="M63" i="93" s="1"/>
  <c r="N63" i="93" a="1"/>
  <c r="N63" i="93" s="1"/>
  <c r="O63" i="93" a="1"/>
  <c r="O63" i="93" s="1"/>
  <c r="P63" i="93" a="1"/>
  <c r="P63" i="93" s="1"/>
  <c r="Q63" i="93" a="1"/>
  <c r="Q63" i="93" s="1"/>
  <c r="R63" i="93" a="1"/>
  <c r="R63" i="93" s="1"/>
  <c r="E64" i="93" a="1"/>
  <c r="E64" i="93" s="1"/>
  <c r="F64" i="93" a="1"/>
  <c r="F64" i="93" s="1"/>
  <c r="G64" i="93" a="1"/>
  <c r="G64" i="93" s="1"/>
  <c r="H64" i="93" a="1"/>
  <c r="H64" i="93" s="1"/>
  <c r="I64" i="93" a="1"/>
  <c r="I64" i="93" s="1"/>
  <c r="J64" i="93" a="1"/>
  <c r="J64" i="93" s="1"/>
  <c r="K64" i="93" a="1"/>
  <c r="K64" i="93" s="1"/>
  <c r="L64" i="93" a="1"/>
  <c r="L64" i="93" s="1"/>
  <c r="M64" i="93" a="1"/>
  <c r="M64" i="93" s="1"/>
  <c r="N64" i="93" a="1"/>
  <c r="N64" i="93" s="1"/>
  <c r="O64" i="93" a="1"/>
  <c r="O64" i="93" s="1"/>
  <c r="P64" i="93" a="1"/>
  <c r="P64" i="93" s="1"/>
  <c r="Q64" i="93" a="1"/>
  <c r="Q64" i="93" s="1"/>
  <c r="R64" i="93" a="1"/>
  <c r="R64" i="93" s="1"/>
  <c r="E65" i="93" a="1"/>
  <c r="E65" i="93" s="1"/>
  <c r="F65" i="93" a="1"/>
  <c r="F65" i="93" s="1"/>
  <c r="G65" i="93" a="1"/>
  <c r="G65" i="93" s="1"/>
  <c r="H65" i="93" a="1"/>
  <c r="H65" i="93" s="1"/>
  <c r="I65" i="93" a="1"/>
  <c r="I65" i="93" s="1"/>
  <c r="J65" i="93" a="1"/>
  <c r="J65" i="93" s="1"/>
  <c r="K65" i="93" a="1"/>
  <c r="K65" i="93" s="1"/>
  <c r="L65" i="93" a="1"/>
  <c r="L65" i="93" s="1"/>
  <c r="M65" i="93" a="1"/>
  <c r="M65" i="93" s="1"/>
  <c r="N65" i="93" a="1"/>
  <c r="N65" i="93" s="1"/>
  <c r="O65" i="93" a="1"/>
  <c r="O65" i="93" s="1"/>
  <c r="P65" i="93" a="1"/>
  <c r="P65" i="93" s="1"/>
  <c r="Q65" i="93" a="1"/>
  <c r="Q65" i="93" s="1"/>
  <c r="R65" i="93" a="1"/>
  <c r="R65" i="93" s="1"/>
  <c r="E66" i="93" a="1"/>
  <c r="E66" i="93" s="1"/>
  <c r="F66" i="93" a="1"/>
  <c r="F66" i="93" s="1"/>
  <c r="G66" i="93" a="1"/>
  <c r="G66" i="93" s="1"/>
  <c r="H66" i="93" a="1"/>
  <c r="H66" i="93" s="1"/>
  <c r="I66" i="93" a="1"/>
  <c r="I66" i="93" s="1"/>
  <c r="J66" i="93" a="1"/>
  <c r="J66" i="93" s="1"/>
  <c r="K66" i="93" a="1"/>
  <c r="K66" i="93" s="1"/>
  <c r="L66" i="93" a="1"/>
  <c r="L66" i="93" s="1"/>
  <c r="M66" i="93" a="1"/>
  <c r="M66" i="93" s="1"/>
  <c r="N66" i="93" a="1"/>
  <c r="N66" i="93" s="1"/>
  <c r="O66" i="93" a="1"/>
  <c r="O66" i="93" s="1"/>
  <c r="P66" i="93" a="1"/>
  <c r="P66" i="93" s="1"/>
  <c r="Q66" i="93" a="1"/>
  <c r="Q66" i="93" s="1"/>
  <c r="R66" i="93" a="1"/>
  <c r="R66" i="93" s="1"/>
  <c r="E67" i="93" a="1"/>
  <c r="E67" i="93" s="1"/>
  <c r="F67" i="93" a="1"/>
  <c r="F67" i="93" s="1"/>
  <c r="G67" i="93" a="1"/>
  <c r="G67" i="93" s="1"/>
  <c r="H67" i="93" a="1"/>
  <c r="H67" i="93" s="1"/>
  <c r="I67" i="93" a="1"/>
  <c r="I67" i="93" s="1"/>
  <c r="J67" i="93" a="1"/>
  <c r="J67" i="93" s="1"/>
  <c r="K67" i="93" a="1"/>
  <c r="K67" i="93" s="1"/>
  <c r="L67" i="93" a="1"/>
  <c r="L67" i="93" s="1"/>
  <c r="M67" i="93" a="1"/>
  <c r="M67" i="93" s="1"/>
  <c r="N67" i="93" a="1"/>
  <c r="N67" i="93" s="1"/>
  <c r="O67" i="93" a="1"/>
  <c r="O67" i="93" s="1"/>
  <c r="P67" i="93" a="1"/>
  <c r="P67" i="93" s="1"/>
  <c r="Q67" i="93" a="1"/>
  <c r="Q67" i="93" s="1"/>
  <c r="R67" i="93" a="1"/>
  <c r="R67" i="93" s="1"/>
  <c r="E68" i="93" a="1"/>
  <c r="E68" i="93" s="1"/>
  <c r="F68" i="93" a="1"/>
  <c r="F68" i="93" s="1"/>
  <c r="G68" i="93" a="1"/>
  <c r="G68" i="93" s="1"/>
  <c r="H68" i="93" a="1"/>
  <c r="H68" i="93" s="1"/>
  <c r="I68" i="93" a="1"/>
  <c r="I68" i="93" s="1"/>
  <c r="J68" i="93" a="1"/>
  <c r="J68" i="93" s="1"/>
  <c r="K68" i="93" a="1"/>
  <c r="K68" i="93" s="1"/>
  <c r="L68" i="93" a="1"/>
  <c r="L68" i="93" s="1"/>
  <c r="M68" i="93" a="1"/>
  <c r="M68" i="93" s="1"/>
  <c r="N68" i="93" a="1"/>
  <c r="N68" i="93" s="1"/>
  <c r="O68" i="93" a="1"/>
  <c r="O68" i="93" s="1"/>
  <c r="P68" i="93" a="1"/>
  <c r="P68" i="93" s="1"/>
  <c r="Q68" i="93" a="1"/>
  <c r="Q68" i="93" s="1"/>
  <c r="R68" i="93" a="1"/>
  <c r="R68" i="93" s="1"/>
  <c r="E69" i="93" a="1"/>
  <c r="E69" i="93" s="1"/>
  <c r="F69" i="93" a="1"/>
  <c r="F69" i="93" s="1"/>
  <c r="G69" i="93" a="1"/>
  <c r="G69" i="93" s="1"/>
  <c r="H69" i="93" a="1"/>
  <c r="H69" i="93" s="1"/>
  <c r="I69" i="93" a="1"/>
  <c r="I69" i="93" s="1"/>
  <c r="J69" i="93" a="1"/>
  <c r="J69" i="93" s="1"/>
  <c r="K69" i="93" a="1"/>
  <c r="K69" i="93" s="1"/>
  <c r="L69" i="93" a="1"/>
  <c r="L69" i="93" s="1"/>
  <c r="M69" i="93" a="1"/>
  <c r="M69" i="93" s="1"/>
  <c r="N69" i="93" a="1"/>
  <c r="N69" i="93" s="1"/>
  <c r="O69" i="93" a="1"/>
  <c r="O69" i="93" s="1"/>
  <c r="P69" i="93" a="1"/>
  <c r="P69" i="93" s="1"/>
  <c r="Q69" i="93" a="1"/>
  <c r="Q69" i="93" s="1"/>
  <c r="R69" i="93" a="1"/>
  <c r="R69" i="93" s="1"/>
  <c r="E70" i="93" a="1"/>
  <c r="E70" i="93" s="1"/>
  <c r="F70" i="93" a="1"/>
  <c r="F70" i="93" s="1"/>
  <c r="G70" i="93" a="1"/>
  <c r="G70" i="93" s="1"/>
  <c r="H70" i="93" a="1"/>
  <c r="H70" i="93" s="1"/>
  <c r="I70" i="93" a="1"/>
  <c r="I70" i="93" s="1"/>
  <c r="J70" i="93" a="1"/>
  <c r="J70" i="93" s="1"/>
  <c r="K70" i="93" a="1"/>
  <c r="K70" i="93" s="1"/>
  <c r="L70" i="93" a="1"/>
  <c r="L70" i="93" s="1"/>
  <c r="M70" i="93" a="1"/>
  <c r="M70" i="93" s="1"/>
  <c r="N70" i="93" a="1"/>
  <c r="N70" i="93" s="1"/>
  <c r="O70" i="93" a="1"/>
  <c r="O70" i="93" s="1"/>
  <c r="P70" i="93" a="1"/>
  <c r="P70" i="93" s="1"/>
  <c r="Q70" i="93" a="1"/>
  <c r="Q70" i="93" s="1"/>
  <c r="R70" i="93" a="1"/>
  <c r="R70" i="93" s="1"/>
  <c r="E71" i="93" a="1"/>
  <c r="E71" i="93" s="1"/>
  <c r="F71" i="93" a="1"/>
  <c r="F71" i="93" s="1"/>
  <c r="G71" i="93" a="1"/>
  <c r="G71" i="93" s="1"/>
  <c r="H71" i="93" a="1"/>
  <c r="H71" i="93" s="1"/>
  <c r="I71" i="93" a="1"/>
  <c r="I71" i="93" s="1"/>
  <c r="J71" i="93" a="1"/>
  <c r="J71" i="93" s="1"/>
  <c r="K71" i="93" a="1"/>
  <c r="K71" i="93" s="1"/>
  <c r="L71" i="93" a="1"/>
  <c r="L71" i="93" s="1"/>
  <c r="M71" i="93" a="1"/>
  <c r="M71" i="93" s="1"/>
  <c r="N71" i="93" a="1"/>
  <c r="N71" i="93" s="1"/>
  <c r="O71" i="93" a="1"/>
  <c r="O71" i="93" s="1"/>
  <c r="P71" i="93" a="1"/>
  <c r="P71" i="93" s="1"/>
  <c r="Q71" i="93" a="1"/>
  <c r="Q71" i="93" s="1"/>
  <c r="R71" i="93" a="1"/>
  <c r="R71" i="93" s="1"/>
  <c r="E72" i="93" a="1"/>
  <c r="E72" i="93" s="1"/>
  <c r="F72" i="93" a="1"/>
  <c r="F72" i="93" s="1"/>
  <c r="G72" i="93" a="1"/>
  <c r="G72" i="93" s="1"/>
  <c r="H72" i="93" a="1"/>
  <c r="H72" i="93" s="1"/>
  <c r="I72" i="93" a="1"/>
  <c r="I72" i="93" s="1"/>
  <c r="J72" i="93" a="1"/>
  <c r="J72" i="93" s="1"/>
  <c r="K72" i="93" a="1"/>
  <c r="K72" i="93" s="1"/>
  <c r="L72" i="93" a="1"/>
  <c r="L72" i="93" s="1"/>
  <c r="M72" i="93" a="1"/>
  <c r="M72" i="93" s="1"/>
  <c r="N72" i="93" a="1"/>
  <c r="N72" i="93" s="1"/>
  <c r="O72" i="93" a="1"/>
  <c r="O72" i="93" s="1"/>
  <c r="P72" i="93" a="1"/>
  <c r="P72" i="93" s="1"/>
  <c r="Q72" i="93" a="1"/>
  <c r="Q72" i="93" s="1"/>
  <c r="R72" i="93" a="1"/>
  <c r="R72" i="93" s="1"/>
  <c r="E73" i="93" a="1"/>
  <c r="E73" i="93" s="1"/>
  <c r="F73" i="93" a="1"/>
  <c r="F73" i="93" s="1"/>
  <c r="G73" i="93" a="1"/>
  <c r="G73" i="93" s="1"/>
  <c r="H73" i="93" a="1"/>
  <c r="H73" i="93" s="1"/>
  <c r="I73" i="93" a="1"/>
  <c r="I73" i="93" s="1"/>
  <c r="J73" i="93" a="1"/>
  <c r="J73" i="93" s="1"/>
  <c r="K73" i="93" a="1"/>
  <c r="K73" i="93" s="1"/>
  <c r="L73" i="93" a="1"/>
  <c r="L73" i="93" s="1"/>
  <c r="M73" i="93" a="1"/>
  <c r="M73" i="93" s="1"/>
  <c r="N73" i="93" a="1"/>
  <c r="N73" i="93" s="1"/>
  <c r="O73" i="93" a="1"/>
  <c r="O73" i="93" s="1"/>
  <c r="P73" i="93" a="1"/>
  <c r="P73" i="93" s="1"/>
  <c r="Q73" i="93" a="1"/>
  <c r="Q73" i="93" s="1"/>
  <c r="R73" i="93" a="1"/>
  <c r="R73" i="93" s="1"/>
  <c r="E74" i="93" a="1"/>
  <c r="E74" i="93" s="1"/>
  <c r="F74" i="93" a="1"/>
  <c r="F74" i="93" s="1"/>
  <c r="G74" i="93" a="1"/>
  <c r="G74" i="93" s="1"/>
  <c r="H74" i="93" a="1"/>
  <c r="H74" i="93" s="1"/>
  <c r="I74" i="93" a="1"/>
  <c r="I74" i="93" s="1"/>
  <c r="J74" i="93" a="1"/>
  <c r="J74" i="93" s="1"/>
  <c r="K74" i="93" a="1"/>
  <c r="K74" i="93" s="1"/>
  <c r="L74" i="93" a="1"/>
  <c r="L74" i="93" s="1"/>
  <c r="M74" i="93" a="1"/>
  <c r="M74" i="93" s="1"/>
  <c r="N74" i="93" a="1"/>
  <c r="N74" i="93" s="1"/>
  <c r="O74" i="93" a="1"/>
  <c r="O74" i="93" s="1"/>
  <c r="P74" i="93" a="1"/>
  <c r="P74" i="93" s="1"/>
  <c r="Q74" i="93" a="1"/>
  <c r="Q74" i="93" s="1"/>
  <c r="R74" i="93" a="1"/>
  <c r="R74" i="93" s="1"/>
  <c r="E75" i="93" a="1"/>
  <c r="E75" i="93" s="1"/>
  <c r="F75" i="93" a="1"/>
  <c r="F75" i="93" s="1"/>
  <c r="G75" i="93" a="1"/>
  <c r="G75" i="93" s="1"/>
  <c r="H75" i="93" a="1"/>
  <c r="H75" i="93" s="1"/>
  <c r="I75" i="93" a="1"/>
  <c r="I75" i="93" s="1"/>
  <c r="J75" i="93" a="1"/>
  <c r="J75" i="93" s="1"/>
  <c r="K75" i="93" a="1"/>
  <c r="K75" i="93" s="1"/>
  <c r="L75" i="93" a="1"/>
  <c r="L75" i="93" s="1"/>
  <c r="M75" i="93" a="1"/>
  <c r="M75" i="93" s="1"/>
  <c r="N75" i="93" a="1"/>
  <c r="N75" i="93" s="1"/>
  <c r="O75" i="93" a="1"/>
  <c r="O75" i="93" s="1"/>
  <c r="P75" i="93" a="1"/>
  <c r="P75" i="93" s="1"/>
  <c r="Q75" i="93" a="1"/>
  <c r="Q75" i="93" s="1"/>
  <c r="R75" i="93" a="1"/>
  <c r="R75" i="93" s="1"/>
  <c r="E76" i="93" a="1"/>
  <c r="E76" i="93" s="1"/>
  <c r="F76" i="93" a="1"/>
  <c r="F76" i="93" s="1"/>
  <c r="G76" i="93" a="1"/>
  <c r="G76" i="93" s="1"/>
  <c r="H76" i="93" a="1"/>
  <c r="H76" i="93" s="1"/>
  <c r="I76" i="93" a="1"/>
  <c r="I76" i="93" s="1"/>
  <c r="J76" i="93" a="1"/>
  <c r="J76" i="93" s="1"/>
  <c r="K76" i="93" a="1"/>
  <c r="K76" i="93" s="1"/>
  <c r="L76" i="93" a="1"/>
  <c r="L76" i="93" s="1"/>
  <c r="M76" i="93" a="1"/>
  <c r="M76" i="93" s="1"/>
  <c r="N76" i="93" a="1"/>
  <c r="N76" i="93" s="1"/>
  <c r="O76" i="93" a="1"/>
  <c r="O76" i="93" s="1"/>
  <c r="P76" i="93" a="1"/>
  <c r="P76" i="93" s="1"/>
  <c r="Q76" i="93" a="1"/>
  <c r="Q76" i="93" s="1"/>
  <c r="R76" i="93" a="1"/>
  <c r="R76" i="93" s="1"/>
  <c r="E77" i="93" a="1"/>
  <c r="E77" i="93" s="1"/>
  <c r="F77" i="93" a="1"/>
  <c r="F77" i="93" s="1"/>
  <c r="G77" i="93" a="1"/>
  <c r="G77" i="93" s="1"/>
  <c r="H77" i="93" a="1"/>
  <c r="H77" i="93" s="1"/>
  <c r="I77" i="93" a="1"/>
  <c r="I77" i="93" s="1"/>
  <c r="J77" i="93" a="1"/>
  <c r="J77" i="93" s="1"/>
  <c r="K77" i="93" a="1"/>
  <c r="K77" i="93" s="1"/>
  <c r="L77" i="93" a="1"/>
  <c r="L77" i="93" s="1"/>
  <c r="M77" i="93" a="1"/>
  <c r="M77" i="93" s="1"/>
  <c r="N77" i="93" a="1"/>
  <c r="N77" i="93" s="1"/>
  <c r="O77" i="93" a="1"/>
  <c r="O77" i="93" s="1"/>
  <c r="P77" i="93" a="1"/>
  <c r="P77" i="93" s="1"/>
  <c r="Q77" i="93" a="1"/>
  <c r="Q77" i="93" s="1"/>
  <c r="R77" i="93" a="1"/>
  <c r="R77" i="93" s="1"/>
  <c r="E78" i="93" a="1"/>
  <c r="E78" i="93" s="1"/>
  <c r="F78" i="93" a="1"/>
  <c r="F78" i="93" s="1"/>
  <c r="G78" i="93" a="1"/>
  <c r="G78" i="93" s="1"/>
  <c r="H78" i="93" a="1"/>
  <c r="H78" i="93" s="1"/>
  <c r="I78" i="93" a="1"/>
  <c r="I78" i="93" s="1"/>
  <c r="J78" i="93" a="1"/>
  <c r="J78" i="93" s="1"/>
  <c r="K78" i="93" a="1"/>
  <c r="K78" i="93" s="1"/>
  <c r="L78" i="93" a="1"/>
  <c r="L78" i="93" s="1"/>
  <c r="M78" i="93" a="1"/>
  <c r="M78" i="93" s="1"/>
  <c r="N78" i="93" a="1"/>
  <c r="N78" i="93" s="1"/>
  <c r="O78" i="93" a="1"/>
  <c r="O78" i="93" s="1"/>
  <c r="P78" i="93" a="1"/>
  <c r="P78" i="93" s="1"/>
  <c r="Q78" i="93" a="1"/>
  <c r="Q78" i="93" s="1"/>
  <c r="R78" i="93" a="1"/>
  <c r="R78" i="93" s="1"/>
  <c r="E79" i="93" a="1"/>
  <c r="E79" i="93" s="1"/>
  <c r="F79" i="93" a="1"/>
  <c r="F79" i="93" s="1"/>
  <c r="G79" i="93" a="1"/>
  <c r="G79" i="93" s="1"/>
  <c r="H79" i="93" a="1"/>
  <c r="H79" i="93" s="1"/>
  <c r="I79" i="93" a="1"/>
  <c r="I79" i="93" s="1"/>
  <c r="J79" i="93" a="1"/>
  <c r="J79" i="93" s="1"/>
  <c r="K79" i="93" a="1"/>
  <c r="K79" i="93" s="1"/>
  <c r="L79" i="93" a="1"/>
  <c r="L79" i="93" s="1"/>
  <c r="M79" i="93" a="1"/>
  <c r="M79" i="93" s="1"/>
  <c r="N79" i="93" a="1"/>
  <c r="N79" i="93" s="1"/>
  <c r="O79" i="93" a="1"/>
  <c r="O79" i="93" s="1"/>
  <c r="P79" i="93" a="1"/>
  <c r="P79" i="93" s="1"/>
  <c r="Q79" i="93" a="1"/>
  <c r="Q79" i="93" s="1"/>
  <c r="R79" i="93" a="1"/>
  <c r="R79" i="93" s="1"/>
  <c r="E80" i="93" a="1"/>
  <c r="E80" i="93" s="1"/>
  <c r="F80" i="93" a="1"/>
  <c r="F80" i="93" s="1"/>
  <c r="G80" i="93" a="1"/>
  <c r="G80" i="93" s="1"/>
  <c r="H80" i="93" a="1"/>
  <c r="H80" i="93" s="1"/>
  <c r="I80" i="93" a="1"/>
  <c r="I80" i="93" s="1"/>
  <c r="J80" i="93" a="1"/>
  <c r="J80" i="93" s="1"/>
  <c r="K80" i="93" a="1"/>
  <c r="K80" i="93" s="1"/>
  <c r="L80" i="93" a="1"/>
  <c r="L80" i="93" s="1"/>
  <c r="M80" i="93" a="1"/>
  <c r="M80" i="93" s="1"/>
  <c r="N80" i="93" a="1"/>
  <c r="N80" i="93" s="1"/>
  <c r="O80" i="93" a="1"/>
  <c r="O80" i="93" s="1"/>
  <c r="P80" i="93" a="1"/>
  <c r="P80" i="93" s="1"/>
  <c r="Q80" i="93" a="1"/>
  <c r="Q80" i="93" s="1"/>
  <c r="R80" i="93" a="1"/>
  <c r="R80" i="93" s="1"/>
  <c r="E81" i="93" a="1"/>
  <c r="E81" i="93" s="1"/>
  <c r="F81" i="93" a="1"/>
  <c r="F81" i="93" s="1"/>
  <c r="G81" i="93" a="1"/>
  <c r="G81" i="93" s="1"/>
  <c r="H81" i="93" a="1"/>
  <c r="H81" i="93" s="1"/>
  <c r="I81" i="93" a="1"/>
  <c r="I81" i="93" s="1"/>
  <c r="J81" i="93" a="1"/>
  <c r="J81" i="93" s="1"/>
  <c r="K81" i="93" a="1"/>
  <c r="K81" i="93" s="1"/>
  <c r="L81" i="93" a="1"/>
  <c r="L81" i="93" s="1"/>
  <c r="M81" i="93" a="1"/>
  <c r="M81" i="93" s="1"/>
  <c r="N81" i="93" a="1"/>
  <c r="N81" i="93" s="1"/>
  <c r="O81" i="93" a="1"/>
  <c r="O81" i="93" s="1"/>
  <c r="P81" i="93" a="1"/>
  <c r="P81" i="93" s="1"/>
  <c r="Q81" i="93" a="1"/>
  <c r="Q81" i="93" s="1"/>
  <c r="R81" i="93" a="1"/>
  <c r="R81" i="93" s="1"/>
  <c r="E82" i="93" a="1"/>
  <c r="E82" i="93" s="1"/>
  <c r="F82" i="93" a="1"/>
  <c r="F82" i="93" s="1"/>
  <c r="G82" i="93" a="1"/>
  <c r="G82" i="93" s="1"/>
  <c r="H82" i="93" a="1"/>
  <c r="H82" i="93" s="1"/>
  <c r="I82" i="93" a="1"/>
  <c r="I82" i="93" s="1"/>
  <c r="J82" i="93" a="1"/>
  <c r="J82" i="93" s="1"/>
  <c r="K82" i="93" a="1"/>
  <c r="K82" i="93" s="1"/>
  <c r="L82" i="93" a="1"/>
  <c r="L82" i="93" s="1"/>
  <c r="M82" i="93" a="1"/>
  <c r="M82" i="93" s="1"/>
  <c r="N82" i="93" a="1"/>
  <c r="N82" i="93" s="1"/>
  <c r="O82" i="93" a="1"/>
  <c r="O82" i="93" s="1"/>
  <c r="P82" i="93" a="1"/>
  <c r="P82" i="93" s="1"/>
  <c r="Q82" i="93" a="1"/>
  <c r="Q82" i="93" s="1"/>
  <c r="R82" i="93" a="1"/>
  <c r="R82" i="93" s="1"/>
  <c r="E83" i="93" a="1"/>
  <c r="E83" i="93" s="1"/>
  <c r="F83" i="93" a="1"/>
  <c r="F83" i="93" s="1"/>
  <c r="G83" i="93" a="1"/>
  <c r="G83" i="93" s="1"/>
  <c r="H83" i="93" a="1"/>
  <c r="H83" i="93" s="1"/>
  <c r="I83" i="93" a="1"/>
  <c r="I83" i="93" s="1"/>
  <c r="J83" i="93" a="1"/>
  <c r="J83" i="93" s="1"/>
  <c r="K83" i="93" a="1"/>
  <c r="K83" i="93" s="1"/>
  <c r="L83" i="93" a="1"/>
  <c r="L83" i="93" s="1"/>
  <c r="M83" i="93" a="1"/>
  <c r="M83" i="93" s="1"/>
  <c r="N83" i="93" a="1"/>
  <c r="N83" i="93" s="1"/>
  <c r="O83" i="93" a="1"/>
  <c r="O83" i="93" s="1"/>
  <c r="P83" i="93" a="1"/>
  <c r="P83" i="93" s="1"/>
  <c r="Q83" i="93" a="1"/>
  <c r="Q83" i="93" s="1"/>
  <c r="R83" i="93" a="1"/>
  <c r="R83" i="93" s="1"/>
  <c r="D4" i="93" a="1"/>
  <c r="D4" i="93" s="1"/>
  <c r="D5" i="93" a="1"/>
  <c r="D5" i="93" s="1"/>
  <c r="D6" i="93" a="1"/>
  <c r="D6" i="93" s="1"/>
  <c r="D7" i="93" a="1"/>
  <c r="D7" i="93" s="1"/>
  <c r="D8" i="93" a="1"/>
  <c r="D8" i="93" s="1"/>
  <c r="D9" i="93" a="1"/>
  <c r="D9" i="93" s="1"/>
  <c r="D10" i="93" a="1"/>
  <c r="D10" i="93" s="1"/>
  <c r="D11" i="93" a="1"/>
  <c r="D11" i="93" s="1"/>
  <c r="D12" i="93" a="1"/>
  <c r="D12" i="93" s="1"/>
  <c r="D13" i="93" a="1"/>
  <c r="D13" i="93" s="1"/>
  <c r="D14" i="93" a="1"/>
  <c r="D14" i="93" s="1"/>
  <c r="D15" i="93" a="1"/>
  <c r="D15" i="93" s="1"/>
  <c r="D16" i="93" a="1"/>
  <c r="D16" i="93" s="1"/>
  <c r="D17" i="93" a="1"/>
  <c r="D17" i="93" s="1"/>
  <c r="D18" i="93" a="1"/>
  <c r="D18" i="93" s="1"/>
  <c r="D19" i="93" a="1"/>
  <c r="D19" i="93" s="1"/>
  <c r="D20" i="93" a="1"/>
  <c r="D20" i="93" s="1"/>
  <c r="D21" i="93" a="1"/>
  <c r="D21" i="93" s="1"/>
  <c r="D22" i="93" a="1"/>
  <c r="D22" i="93" s="1"/>
  <c r="D23" i="93" a="1"/>
  <c r="D23" i="93" s="1"/>
  <c r="D24" i="93" a="1"/>
  <c r="D24" i="93" s="1"/>
  <c r="D25" i="93" a="1"/>
  <c r="D25" i="93" s="1"/>
  <c r="D26" i="93" a="1"/>
  <c r="D26" i="93" s="1"/>
  <c r="D27" i="93" a="1"/>
  <c r="D27" i="93" s="1"/>
  <c r="D28" i="93" a="1"/>
  <c r="D28" i="93" s="1"/>
  <c r="D29" i="93" a="1"/>
  <c r="D29" i="93" s="1"/>
  <c r="D30" i="93" a="1"/>
  <c r="D30" i="93" s="1"/>
  <c r="D31" i="93" a="1"/>
  <c r="D31" i="93" s="1"/>
  <c r="D32" i="93" a="1"/>
  <c r="D32" i="93" s="1"/>
  <c r="D33" i="93" a="1"/>
  <c r="D33" i="93" s="1"/>
  <c r="D34" i="93" a="1"/>
  <c r="D34" i="93" s="1"/>
  <c r="D35" i="93" a="1"/>
  <c r="D35" i="93" s="1"/>
  <c r="D36" i="93" a="1"/>
  <c r="D36" i="93" s="1"/>
  <c r="D37" i="93" a="1"/>
  <c r="D37" i="93" s="1"/>
  <c r="D38" i="93" a="1"/>
  <c r="D38" i="93" s="1"/>
  <c r="D39" i="93" a="1"/>
  <c r="D39" i="93" s="1"/>
  <c r="D40" i="93" a="1"/>
  <c r="D40" i="93" s="1"/>
  <c r="D41" i="93" a="1"/>
  <c r="D41" i="93" s="1"/>
  <c r="D42" i="93" a="1"/>
  <c r="D42" i="93" s="1"/>
  <c r="D43" i="93" a="1"/>
  <c r="D43" i="93" s="1"/>
  <c r="D44" i="93" a="1"/>
  <c r="D44" i="93" s="1"/>
  <c r="D45" i="93" a="1"/>
  <c r="D45" i="93" s="1"/>
  <c r="D46" i="93" a="1"/>
  <c r="D46" i="93" s="1"/>
  <c r="D47" i="93" a="1"/>
  <c r="D47" i="93" s="1"/>
  <c r="D48" i="93" a="1"/>
  <c r="D48" i="93" s="1"/>
  <c r="D49" i="93" a="1"/>
  <c r="D49" i="93" s="1"/>
  <c r="D50" i="93" a="1"/>
  <c r="D50" i="93" s="1"/>
  <c r="D51" i="93" a="1"/>
  <c r="D51" i="93" s="1"/>
  <c r="D52" i="93" a="1"/>
  <c r="D52" i="93" s="1"/>
  <c r="D53" i="93" a="1"/>
  <c r="D53" i="93" s="1"/>
  <c r="D54" i="93" a="1"/>
  <c r="D54" i="93" s="1"/>
  <c r="D55" i="93" a="1"/>
  <c r="D55" i="93" s="1"/>
  <c r="D56" i="93" a="1"/>
  <c r="D56" i="93" s="1"/>
  <c r="D57" i="93" a="1"/>
  <c r="D57" i="93" s="1"/>
  <c r="D58" i="93" a="1"/>
  <c r="D58" i="93" s="1"/>
  <c r="D59" i="93" a="1"/>
  <c r="D59" i="93" s="1"/>
  <c r="D60" i="93" a="1"/>
  <c r="D60" i="93" s="1"/>
  <c r="D61" i="93" a="1"/>
  <c r="D61" i="93" s="1"/>
  <c r="D62" i="93" a="1"/>
  <c r="D62" i="93" s="1"/>
  <c r="D63" i="93" a="1"/>
  <c r="D63" i="93" s="1"/>
  <c r="D64" i="93" a="1"/>
  <c r="D64" i="93" s="1"/>
  <c r="D65" i="93" a="1"/>
  <c r="D65" i="93" s="1"/>
  <c r="D66" i="93" a="1"/>
  <c r="D66" i="93" s="1"/>
  <c r="D67" i="93" a="1"/>
  <c r="D67" i="93" s="1"/>
  <c r="D68" i="93" a="1"/>
  <c r="D68" i="93" s="1"/>
  <c r="D69" i="93" a="1"/>
  <c r="D69" i="93" s="1"/>
  <c r="D70" i="93" a="1"/>
  <c r="D70" i="93" s="1"/>
  <c r="D71" i="93" a="1"/>
  <c r="D71" i="93" s="1"/>
  <c r="D72" i="93" a="1"/>
  <c r="D72" i="93" s="1"/>
  <c r="D73" i="93" a="1"/>
  <c r="D73" i="93" s="1"/>
  <c r="D74" i="93" a="1"/>
  <c r="D74" i="93" s="1"/>
  <c r="D75" i="93" a="1"/>
  <c r="D75" i="93" s="1"/>
  <c r="D76" i="93" a="1"/>
  <c r="D76" i="93" s="1"/>
  <c r="D77" i="93" a="1"/>
  <c r="D77" i="93" s="1"/>
  <c r="D78" i="93" a="1"/>
  <c r="D78" i="93" s="1"/>
  <c r="D79" i="93" a="1"/>
  <c r="D79" i="93" s="1"/>
  <c r="D80" i="93" a="1"/>
  <c r="D80" i="93" s="1"/>
  <c r="D81" i="93" a="1"/>
  <c r="D81" i="93" s="1"/>
  <c r="D82" i="93" a="1"/>
  <c r="D82" i="93" s="1"/>
  <c r="D83" i="93" a="1"/>
  <c r="D83" i="93" s="1"/>
  <c r="D3" i="93" a="1"/>
  <c r="D3" i="93" s="1"/>
  <c r="E4" i="92"/>
  <c r="C4" i="92"/>
  <c r="B4" i="92"/>
  <c r="E190" i="82" l="1"/>
  <c r="M190" i="82"/>
  <c r="F190" i="82"/>
  <c r="N190" i="82"/>
  <c r="G190" i="82"/>
  <c r="O190" i="82"/>
  <c r="H190" i="82"/>
  <c r="P190" i="82"/>
  <c r="I190" i="82"/>
  <c r="Q190" i="82"/>
  <c r="J190" i="82"/>
  <c r="R190" i="82"/>
  <c r="L190" i="82"/>
  <c r="K190" i="82"/>
  <c r="S190" i="82"/>
  <c r="D190" i="82"/>
  <c r="E88" i="28"/>
  <c r="L88" i="28" s="1"/>
  <c r="C30" i="92" s="1"/>
  <c r="E30" i="92" s="1"/>
  <c r="A88" i="28"/>
  <c r="AA88" i="28" s="1"/>
  <c r="C88" i="28"/>
  <c r="B69" i="28"/>
  <c r="B57" i="28" l="1"/>
  <c r="B56" i="28"/>
  <c r="B55" i="28"/>
  <c r="B54" i="28"/>
  <c r="B53" i="28"/>
  <c r="B52" i="28"/>
  <c r="C57" i="28" l="1"/>
  <c r="C56" i="28"/>
  <c r="C55" i="28"/>
  <c r="C54" i="28"/>
  <c r="C53" i="28"/>
  <c r="C52" i="28"/>
  <c r="C69" i="28"/>
  <c r="C68" i="28"/>
  <c r="C67" i="28"/>
  <c r="C66" i="28"/>
  <c r="C65" i="28"/>
  <c r="C64" i="28"/>
  <c r="B68" i="28"/>
  <c r="B67" i="28"/>
  <c r="B66" i="28"/>
  <c r="B65" i="28"/>
  <c r="B64" i="28"/>
  <c r="C63" i="28"/>
  <c r="C62" i="28"/>
  <c r="C61" i="28"/>
  <c r="C60" i="28"/>
  <c r="C59" i="28"/>
  <c r="C58" i="28"/>
  <c r="B63" i="28"/>
  <c r="B62" i="28"/>
  <c r="B61" i="28"/>
  <c r="B60" i="28"/>
  <c r="B59" i="28"/>
  <c r="B58" i="28"/>
  <c r="G92" i="1"/>
  <c r="G91" i="1"/>
  <c r="H90" i="1"/>
  <c r="A43" i="91" l="1"/>
  <c r="B39" i="91"/>
  <c r="B37" i="91"/>
  <c r="B35" i="91"/>
  <c r="L97" i="28" l="1"/>
  <c r="G18" i="1" l="1"/>
  <c r="E16" i="28"/>
  <c r="L16" i="28" s="1"/>
  <c r="A16" i="28"/>
  <c r="AA16" i="28" s="1"/>
  <c r="B16" i="28"/>
  <c r="C16" i="28"/>
  <c r="E77" i="28" l="1"/>
  <c r="D194" i="82" l="1"/>
  <c r="D193" i="82" s="1"/>
  <c r="S194" i="82"/>
  <c r="S193" i="82" s="1"/>
  <c r="R194" i="82"/>
  <c r="R193" i="82" s="1"/>
  <c r="Q194" i="82"/>
  <c r="Q193" i="82" s="1"/>
  <c r="P194" i="82"/>
  <c r="P193" i="82" s="1"/>
  <c r="O194" i="82"/>
  <c r="O193" i="82" s="1"/>
  <c r="N194" i="82"/>
  <c r="N193" i="82" s="1"/>
  <c r="M194" i="82"/>
  <c r="M193" i="82" s="1"/>
  <c r="L194" i="82"/>
  <c r="L193" i="82" s="1"/>
  <c r="K194" i="82"/>
  <c r="K193" i="82" s="1"/>
  <c r="J194" i="82"/>
  <c r="J193" i="82" s="1"/>
  <c r="I194" i="82"/>
  <c r="I193" i="82" s="1"/>
  <c r="H194" i="82"/>
  <c r="H193" i="82" s="1"/>
  <c r="H192" i="82" s="1"/>
  <c r="G194" i="82"/>
  <c r="G193" i="82" s="1"/>
  <c r="F194" i="82"/>
  <c r="F193" i="82" s="1"/>
  <c r="E194" i="82"/>
  <c r="E193" i="82" s="1"/>
  <c r="M188" i="82"/>
  <c r="L188" i="82"/>
  <c r="I188" i="82" l="1"/>
  <c r="D188" i="82"/>
  <c r="E188" i="82"/>
  <c r="Q188" i="82"/>
  <c r="E192" i="82"/>
  <c r="M192" i="82"/>
  <c r="F192" i="82"/>
  <c r="N192" i="82"/>
  <c r="G192" i="82"/>
  <c r="O192" i="82"/>
  <c r="P192" i="82"/>
  <c r="I192" i="82"/>
  <c r="Q192" i="82"/>
  <c r="R192" i="82"/>
  <c r="R188" i="82"/>
  <c r="K188" i="82"/>
  <c r="S188" i="82"/>
  <c r="S192" i="82" s="1"/>
  <c r="K192" i="82"/>
  <c r="L192" i="82"/>
  <c r="F188" i="82"/>
  <c r="H188" i="82"/>
  <c r="G188" i="82"/>
  <c r="N188" i="82"/>
  <c r="P188" i="82"/>
  <c r="O188" i="82"/>
  <c r="J188" i="82"/>
  <c r="E111" i="28" l="1"/>
  <c r="E108" i="28"/>
  <c r="E81" i="28" l="1"/>
  <c r="E80" i="28"/>
  <c r="L80" i="28" s="1"/>
  <c r="E84" i="28"/>
  <c r="E72" i="28"/>
  <c r="E71" i="28"/>
  <c r="C84" i="28"/>
  <c r="A84" i="28"/>
  <c r="E91" i="28"/>
  <c r="E90" i="28"/>
  <c r="E89" i="28"/>
  <c r="E87" i="28"/>
  <c r="E86" i="28"/>
  <c r="E79" i="28"/>
  <c r="E85" i="28"/>
  <c r="E78" i="28"/>
  <c r="L77" i="28"/>
  <c r="C10" i="92" s="1"/>
  <c r="E10" i="92" s="1"/>
  <c r="E76" i="28"/>
  <c r="E75" i="28"/>
  <c r="A73" i="28"/>
  <c r="B73" i="28"/>
  <c r="C73" i="28"/>
  <c r="E74" i="28"/>
  <c r="E73" i="28"/>
  <c r="E70" i="28"/>
  <c r="E64" i="28"/>
  <c r="E65" i="28"/>
  <c r="E66" i="28"/>
  <c r="E67" i="28"/>
  <c r="E68" i="28"/>
  <c r="E69" i="28"/>
  <c r="E53" i="28"/>
  <c r="E54" i="28"/>
  <c r="E55" i="28"/>
  <c r="E56" i="28"/>
  <c r="E57" i="28"/>
  <c r="E58" i="28"/>
  <c r="E59" i="28"/>
  <c r="E60" i="28"/>
  <c r="E61" i="28"/>
  <c r="E62" i="28"/>
  <c r="A53" i="28"/>
  <c r="A54" i="28"/>
  <c r="A55" i="28"/>
  <c r="A56" i="28"/>
  <c r="A57" i="28"/>
  <c r="A58" i="28"/>
  <c r="A59" i="28"/>
  <c r="A60" i="28"/>
  <c r="A61" i="28"/>
  <c r="A62" i="28"/>
  <c r="E52" i="28"/>
  <c r="A52" i="28"/>
  <c r="E63" i="28"/>
  <c r="A69" i="28"/>
  <c r="A64" i="28"/>
  <c r="A65" i="28"/>
  <c r="A66" i="28"/>
  <c r="A67" i="28"/>
  <c r="A68" i="28"/>
  <c r="A63" i="28"/>
  <c r="L76" i="28" l="1"/>
  <c r="L75" i="28"/>
  <c r="L74" i="28"/>
  <c r="L72" i="28"/>
  <c r="L71" i="28"/>
  <c r="L70" i="28"/>
  <c r="L69" i="28"/>
  <c r="L68" i="28"/>
  <c r="L67" i="28"/>
  <c r="L66" i="28"/>
  <c r="L65" i="28"/>
  <c r="L64" i="28"/>
  <c r="L63" i="28"/>
  <c r="L62" i="28"/>
  <c r="L61" i="28"/>
  <c r="L60" i="28"/>
  <c r="L59" i="28"/>
  <c r="L58" i="28"/>
  <c r="C29" i="92" s="1"/>
  <c r="E29" i="92" s="1"/>
  <c r="L57" i="28"/>
  <c r="C31" i="92" s="1"/>
  <c r="E31" i="92" s="1"/>
  <c r="L56" i="28"/>
  <c r="L55" i="28"/>
  <c r="C28" i="92" s="1"/>
  <c r="E28" i="92" s="1"/>
  <c r="L54" i="28"/>
  <c r="L53" i="28"/>
  <c r="C26" i="92" s="1"/>
  <c r="L52" i="28"/>
  <c r="L91" i="28"/>
  <c r="L90" i="28"/>
  <c r="E14" i="88" s="1"/>
  <c r="L89" i="28"/>
  <c r="L87" i="28"/>
  <c r="L86" i="28"/>
  <c r="L85" i="28"/>
  <c r="L84" i="28"/>
  <c r="L81" i="28"/>
  <c r="L78" i="28"/>
  <c r="L79" i="28"/>
  <c r="L73" i="28"/>
  <c r="E12" i="88" l="1"/>
  <c r="E26" i="92"/>
  <c r="E32" i="92" s="1"/>
  <c r="C32" i="92"/>
  <c r="D28" i="91"/>
  <c r="D27" i="91"/>
  <c r="D16" i="91"/>
  <c r="D15" i="91"/>
  <c r="D10" i="91"/>
  <c r="D9" i="91"/>
  <c r="E114" i="28" l="1"/>
  <c r="C114" i="28"/>
  <c r="C80" i="28"/>
  <c r="C81" i="28"/>
  <c r="A80" i="28"/>
  <c r="AA80" i="28" s="1"/>
  <c r="A81" i="28"/>
  <c r="AA81" i="28" s="1"/>
  <c r="C91" i="28"/>
  <c r="A91" i="28"/>
  <c r="C90" i="28"/>
  <c r="A90" i="28"/>
  <c r="C85" i="28"/>
  <c r="C86" i="28"/>
  <c r="C87" i="28"/>
  <c r="C89" i="28"/>
  <c r="A86" i="28"/>
  <c r="A87" i="28"/>
  <c r="A89" i="28"/>
  <c r="A85" i="28"/>
  <c r="C79" i="28"/>
  <c r="A79" i="28"/>
  <c r="C78" i="28"/>
  <c r="A78" i="28"/>
  <c r="E51" i="28"/>
  <c r="B51" i="28"/>
  <c r="C51" i="28"/>
  <c r="A51" i="28"/>
  <c r="AA51" i="28" s="1"/>
  <c r="L51" i="28" l="1"/>
  <c r="C4" i="88" l="1"/>
  <c r="G14" i="88"/>
  <c r="E112" i="28" l="1"/>
  <c r="AA96" i="28"/>
  <c r="AA97" i="28"/>
  <c r="AA98" i="28"/>
  <c r="AA99" i="28"/>
  <c r="AA100" i="28"/>
  <c r="AB100" i="28"/>
  <c r="AA101" i="28"/>
  <c r="AB101" i="28"/>
  <c r="AA102" i="28"/>
  <c r="AB102" i="28"/>
  <c r="AA103" i="28"/>
  <c r="AB103" i="28"/>
  <c r="AA104" i="28"/>
  <c r="AB104" i="28"/>
  <c r="AA105" i="28"/>
  <c r="AB105" i="28"/>
  <c r="AB97" i="28" l="1"/>
  <c r="AB99" i="28"/>
  <c r="AB98" i="28"/>
  <c r="Y127" i="28" l="1"/>
  <c r="X125" i="28"/>
  <c r="X124" i="28"/>
  <c r="X127" i="28" s="1"/>
  <c r="Z127" i="28" s="1"/>
  <c r="D192" i="82" l="1"/>
  <c r="J192" i="82" l="1"/>
  <c r="A118" i="1"/>
  <c r="F114" i="1" l="1"/>
  <c r="E114" i="1"/>
  <c r="F112" i="1"/>
  <c r="E112" i="1"/>
  <c r="F111" i="1"/>
  <c r="E111" i="1"/>
  <c r="F110" i="1"/>
  <c r="E110" i="1"/>
  <c r="F109" i="1"/>
  <c r="E109" i="1"/>
  <c r="G9" i="1"/>
  <c r="G73" i="1" l="1"/>
  <c r="H37" i="1" l="1"/>
  <c r="I37" i="1" s="1"/>
  <c r="G37" i="1" l="1"/>
  <c r="C108" i="28"/>
  <c r="AA89" i="28" l="1"/>
  <c r="AB89" i="28" l="1"/>
  <c r="E105" i="28" l="1"/>
  <c r="L114" i="28" l="1"/>
  <c r="AA91" i="28" l="1"/>
  <c r="AA87" i="28"/>
  <c r="AA86" i="28"/>
  <c r="AA85" i="28"/>
  <c r="AA79" i="28"/>
  <c r="AA78" i="28"/>
  <c r="AB78" i="28" l="1"/>
  <c r="AB79" i="28"/>
  <c r="G12" i="88" l="1"/>
  <c r="AB91" i="28"/>
  <c r="AB87" i="28"/>
  <c r="AB86" i="28"/>
  <c r="AB85" i="28"/>
  <c r="E110" i="28" l="1"/>
  <c r="L111" i="28"/>
  <c r="L112" i="28"/>
  <c r="E113" i="28"/>
  <c r="E109" i="28"/>
  <c r="A110" i="28"/>
  <c r="AA112" i="28" s="1"/>
  <c r="A111" i="28"/>
  <c r="AA113" i="28" s="1"/>
  <c r="A112" i="28"/>
  <c r="AA114" i="28" s="1"/>
  <c r="A113" i="28"/>
  <c r="AA116" i="28" s="1"/>
  <c r="A109" i="28"/>
  <c r="AA111" i="28" s="1"/>
  <c r="F108" i="28"/>
  <c r="G98" i="1"/>
  <c r="F105" i="28" s="1"/>
  <c r="G99" i="1"/>
  <c r="F106" i="28" s="1"/>
  <c r="G100" i="1"/>
  <c r="F107" i="28" s="1"/>
  <c r="G97" i="1"/>
  <c r="F104" i="28" s="1"/>
  <c r="AB114" i="28" l="1"/>
  <c r="AB113" i="28"/>
  <c r="L113" i="28"/>
  <c r="AB116" i="28" s="1"/>
  <c r="L110" i="28"/>
  <c r="AB112" i="28" s="1"/>
  <c r="L109" i="28"/>
  <c r="AB111" i="28" s="1"/>
  <c r="C110" i="28"/>
  <c r="C111" i="28"/>
  <c r="C113" i="28"/>
  <c r="C109" i="28"/>
  <c r="G87" i="1" l="1"/>
  <c r="G19" i="1"/>
  <c r="F113" i="28"/>
  <c r="F112" i="28"/>
  <c r="F111" i="28"/>
  <c r="F110" i="28"/>
  <c r="F109" i="28"/>
  <c r="D3" i="1" l="1"/>
  <c r="C5" i="88" l="1"/>
  <c r="L8" i="88" s="1"/>
  <c r="L4" i="28"/>
  <c r="C8" i="88" l="1"/>
  <c r="M8" i="88"/>
  <c r="D8" i="88" s="1"/>
  <c r="AA110" i="28" l="1"/>
  <c r="AA109" i="28"/>
  <c r="A108" i="28"/>
  <c r="E107" i="28"/>
  <c r="C107" i="28"/>
  <c r="A107" i="28"/>
  <c r="E106" i="28"/>
  <c r="C106" i="28"/>
  <c r="A106" i="28"/>
  <c r="AA108" i="28" s="1"/>
  <c r="C105" i="28"/>
  <c r="A105" i="28"/>
  <c r="AA107" i="28" s="1"/>
  <c r="E104" i="28"/>
  <c r="C104" i="28"/>
  <c r="A104" i="28"/>
  <c r="AA106" i="28" s="1"/>
  <c r="C77" i="28"/>
  <c r="B77" i="28"/>
  <c r="A77" i="28"/>
  <c r="AA77" i="28" s="1"/>
  <c r="C76" i="28"/>
  <c r="B76" i="28"/>
  <c r="A76" i="28"/>
  <c r="AA76" i="28" s="1"/>
  <c r="C75" i="28"/>
  <c r="B75" i="28"/>
  <c r="A75" i="28"/>
  <c r="AA75" i="28" s="1"/>
  <c r="H76" i="28"/>
  <c r="C74" i="28"/>
  <c r="B74" i="28"/>
  <c r="A74" i="28"/>
  <c r="AA74" i="28" s="1"/>
  <c r="H75" i="28"/>
  <c r="AA73" i="28"/>
  <c r="C72" i="28"/>
  <c r="B72" i="28"/>
  <c r="A72" i="28"/>
  <c r="C71" i="28"/>
  <c r="B71" i="28"/>
  <c r="A71" i="28"/>
  <c r="AA72" i="28"/>
  <c r="AA71" i="28"/>
  <c r="C70" i="28"/>
  <c r="B70" i="28"/>
  <c r="A70" i="28"/>
  <c r="H50" i="28"/>
  <c r="E50" i="28"/>
  <c r="C50" i="28"/>
  <c r="B50" i="28"/>
  <c r="A50" i="28"/>
  <c r="AA50" i="28" s="1"/>
  <c r="H49" i="28"/>
  <c r="E49" i="28"/>
  <c r="C49" i="28"/>
  <c r="B49" i="28"/>
  <c r="A49" i="28"/>
  <c r="AA49" i="28" s="1"/>
  <c r="H48" i="28"/>
  <c r="E48" i="28"/>
  <c r="C48" i="28"/>
  <c r="B48" i="28"/>
  <c r="A48" i="28"/>
  <c r="AA48" i="28" s="1"/>
  <c r="H47" i="28"/>
  <c r="E47" i="28"/>
  <c r="C47" i="28"/>
  <c r="B47" i="28"/>
  <c r="A47" i="28"/>
  <c r="AA47" i="28" s="1"/>
  <c r="H46" i="28"/>
  <c r="E46" i="28"/>
  <c r="C46" i="28"/>
  <c r="B46" i="28"/>
  <c r="A46" i="28"/>
  <c r="AA46" i="28" s="1"/>
  <c r="H45" i="28"/>
  <c r="E45" i="28"/>
  <c r="C45" i="28"/>
  <c r="B45" i="28"/>
  <c r="A45" i="28"/>
  <c r="AA45" i="28" s="1"/>
  <c r="H44" i="28"/>
  <c r="E44" i="28"/>
  <c r="C44" i="28"/>
  <c r="B44" i="28"/>
  <c r="A44" i="28"/>
  <c r="AA44" i="28" s="1"/>
  <c r="H43" i="28"/>
  <c r="E43" i="28"/>
  <c r="C43" i="28"/>
  <c r="B43" i="28"/>
  <c r="A43" i="28"/>
  <c r="AA43" i="28" s="1"/>
  <c r="H42" i="28"/>
  <c r="E42" i="28"/>
  <c r="C42" i="28"/>
  <c r="B42" i="28"/>
  <c r="A42" i="28"/>
  <c r="AA42" i="28" s="1"/>
  <c r="E41" i="28"/>
  <c r="C41" i="28"/>
  <c r="B41" i="28"/>
  <c r="A41" i="28"/>
  <c r="AA41" i="28" s="1"/>
  <c r="H40" i="28"/>
  <c r="E40" i="28"/>
  <c r="C40" i="28"/>
  <c r="B40" i="28"/>
  <c r="A40" i="28"/>
  <c r="AA40" i="28" s="1"/>
  <c r="H39" i="28"/>
  <c r="E39" i="28"/>
  <c r="C39" i="28"/>
  <c r="B39" i="28"/>
  <c r="A39" i="28"/>
  <c r="AA39" i="28" s="1"/>
  <c r="H35" i="28"/>
  <c r="E35" i="28"/>
  <c r="C35" i="28"/>
  <c r="B35" i="28"/>
  <c r="A35" i="28"/>
  <c r="AA35" i="28" s="1"/>
  <c r="H34" i="28"/>
  <c r="E34" i="28"/>
  <c r="C34" i="28"/>
  <c r="B34" i="28"/>
  <c r="A34" i="28"/>
  <c r="AA34" i="28" s="1"/>
  <c r="H33" i="28"/>
  <c r="E33" i="28"/>
  <c r="C33" i="28"/>
  <c r="B33" i="28"/>
  <c r="A33" i="28"/>
  <c r="AA33" i="28" s="1"/>
  <c r="H32" i="28"/>
  <c r="E32" i="28"/>
  <c r="C32" i="28"/>
  <c r="B32" i="28"/>
  <c r="A32" i="28"/>
  <c r="AA32" i="28" s="1"/>
  <c r="H31" i="28"/>
  <c r="E31" i="28"/>
  <c r="C31" i="28"/>
  <c r="B31" i="28"/>
  <c r="A31" i="28"/>
  <c r="AA31" i="28" s="1"/>
  <c r="H30" i="28"/>
  <c r="E30" i="28"/>
  <c r="C30" i="28"/>
  <c r="B30" i="28"/>
  <c r="A30" i="28"/>
  <c r="AA30" i="28" s="1"/>
  <c r="H29" i="28"/>
  <c r="E29" i="28"/>
  <c r="C29" i="28"/>
  <c r="B29" i="28"/>
  <c r="A29" i="28"/>
  <c r="AA29" i="28" s="1"/>
  <c r="H28" i="28"/>
  <c r="E28" i="28"/>
  <c r="C28" i="28"/>
  <c r="B28" i="28"/>
  <c r="A28" i="28"/>
  <c r="AA28" i="28" s="1"/>
  <c r="H27" i="28"/>
  <c r="E27" i="28"/>
  <c r="C27" i="28"/>
  <c r="B27" i="28"/>
  <c r="A27" i="28"/>
  <c r="AA27" i="28" s="1"/>
  <c r="H26" i="28"/>
  <c r="E26" i="28"/>
  <c r="C26" i="28"/>
  <c r="B26" i="28"/>
  <c r="A26" i="28"/>
  <c r="AA26" i="28" s="1"/>
  <c r="H25" i="28"/>
  <c r="E25" i="28"/>
  <c r="C25" i="28"/>
  <c r="B25" i="28"/>
  <c r="A25" i="28"/>
  <c r="AA25" i="28" s="1"/>
  <c r="H24" i="28"/>
  <c r="E24" i="28"/>
  <c r="C24" i="28"/>
  <c r="B24" i="28"/>
  <c r="A24" i="28"/>
  <c r="AA24" i="28" s="1"/>
  <c r="H23" i="28"/>
  <c r="E23" i="28"/>
  <c r="C23" i="28"/>
  <c r="B23" i="28"/>
  <c r="A23" i="28"/>
  <c r="AA23" i="28" s="1"/>
  <c r="H22" i="28"/>
  <c r="E22" i="28"/>
  <c r="C22" i="28"/>
  <c r="B22" i="28"/>
  <c r="A22" i="28"/>
  <c r="AA22" i="28" s="1"/>
  <c r="H21" i="28"/>
  <c r="E21" i="28"/>
  <c r="C21" i="28"/>
  <c r="B21" i="28"/>
  <c r="A21" i="28"/>
  <c r="AA21" i="28" s="1"/>
  <c r="H20" i="28"/>
  <c r="E20" i="28"/>
  <c r="C20" i="28"/>
  <c r="B20" i="28"/>
  <c r="A20" i="28"/>
  <c r="AA20" i="28" s="1"/>
  <c r="H19" i="28"/>
  <c r="E19" i="28"/>
  <c r="C19" i="28"/>
  <c r="B19" i="28"/>
  <c r="A19" i="28"/>
  <c r="AA19" i="28" s="1"/>
  <c r="H18" i="28"/>
  <c r="E18" i="28"/>
  <c r="C18" i="28"/>
  <c r="B18" i="28"/>
  <c r="A18" i="28"/>
  <c r="AA18" i="28" s="1"/>
  <c r="H17" i="28"/>
  <c r="E17" i="28"/>
  <c r="C17" i="28"/>
  <c r="B17" i="28"/>
  <c r="A17" i="28"/>
  <c r="AA17"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H10" i="28"/>
  <c r="C10" i="28"/>
  <c r="B10" i="28"/>
  <c r="A10" i="28"/>
  <c r="AA10" i="28" s="1"/>
  <c r="H9" i="28"/>
  <c r="E9" i="28"/>
  <c r="C9" i="28"/>
  <c r="B9" i="28"/>
  <c r="A9" i="28"/>
  <c r="AA9" i="28" s="1"/>
  <c r="H8" i="28"/>
  <c r="E8" i="28"/>
  <c r="C8" i="28"/>
  <c r="B8" i="28"/>
  <c r="A8" i="28"/>
  <c r="AA8" i="28" s="1"/>
  <c r="H7" i="28"/>
  <c r="G7" i="28"/>
  <c r="E7" i="28"/>
  <c r="C7" i="28"/>
  <c r="B7" i="28"/>
  <c r="A7" i="28"/>
  <c r="AA7" i="28" s="1"/>
  <c r="H6" i="28"/>
  <c r="E6" i="28"/>
  <c r="C6" i="28"/>
  <c r="B6" i="28"/>
  <c r="A6" i="28"/>
  <c r="AA6" i="28" s="1"/>
  <c r="H5" i="28"/>
  <c r="E5" i="28"/>
  <c r="C5" i="28"/>
  <c r="B5" i="28"/>
  <c r="A5" i="28"/>
  <c r="AA5" i="28" s="1"/>
  <c r="C2" i="28"/>
  <c r="G95" i="1"/>
  <c r="H92" i="1"/>
  <c r="G89" i="1"/>
  <c r="G84" i="1"/>
  <c r="G74" i="1"/>
  <c r="H72" i="1"/>
  <c r="G72" i="1" s="1"/>
  <c r="G70" i="1"/>
  <c r="G67" i="1"/>
  <c r="G65" i="1"/>
  <c r="H61" i="1"/>
  <c r="G61" i="1"/>
  <c r="H73" i="1"/>
  <c r="I73" i="1" s="1"/>
  <c r="G60" i="1"/>
  <c r="G59" i="1"/>
  <c r="G58" i="1"/>
  <c r="G57" i="1"/>
  <c r="G56" i="1"/>
  <c r="G55" i="1"/>
  <c r="G54" i="1"/>
  <c r="G53" i="1"/>
  <c r="G52" i="1"/>
  <c r="G51" i="1"/>
  <c r="G50" i="1"/>
  <c r="G40" i="1"/>
  <c r="O33" i="28"/>
  <c r="H36" i="1"/>
  <c r="G36" i="1" s="1"/>
  <c r="O32" i="28"/>
  <c r="G34" i="1"/>
  <c r="G33" i="1"/>
  <c r="G32" i="1"/>
  <c r="G31" i="1"/>
  <c r="G30" i="1"/>
  <c r="G29" i="1"/>
  <c r="G28" i="1"/>
  <c r="G26" i="1"/>
  <c r="G25" i="1"/>
  <c r="H23" i="1"/>
  <c r="G23" i="1" s="1"/>
  <c r="O21" i="28"/>
  <c r="O20" i="28"/>
  <c r="G20" i="1"/>
  <c r="G11" i="1"/>
  <c r="G10" i="1"/>
  <c r="G8" i="1"/>
  <c r="L116" i="28"/>
  <c r="L17" i="28" l="1"/>
  <c r="L104" i="28"/>
  <c r="AB106" i="28" s="1"/>
  <c r="AB76" i="28"/>
  <c r="AB73" i="28"/>
  <c r="AB71" i="28"/>
  <c r="AB72" i="28"/>
  <c r="L49" i="28"/>
  <c r="AB49" i="28" s="1"/>
  <c r="L50" i="28"/>
  <c r="L47" i="28"/>
  <c r="L48" i="28"/>
  <c r="AB48" i="28" s="1"/>
  <c r="L46" i="28"/>
  <c r="L44" i="28"/>
  <c r="C11" i="92" s="1"/>
  <c r="E11" i="92" s="1"/>
  <c r="L43" i="28"/>
  <c r="C9" i="92" s="1"/>
  <c r="E9" i="92" s="1"/>
  <c r="L45" i="28"/>
  <c r="AB45" i="28" s="1"/>
  <c r="L40" i="28"/>
  <c r="L42" i="28"/>
  <c r="AB42" i="28" s="1"/>
  <c r="L39" i="28"/>
  <c r="C7" i="92" s="1"/>
  <c r="L41" i="28"/>
  <c r="AB41" i="28" s="1"/>
  <c r="L35" i="28"/>
  <c r="AB35" i="28" s="1"/>
  <c r="L34" i="28"/>
  <c r="AB34" i="28" s="1"/>
  <c r="L28" i="28"/>
  <c r="AB28" i="28" s="1"/>
  <c r="L25" i="28"/>
  <c r="AB25" i="28" s="1"/>
  <c r="L33" i="28"/>
  <c r="AB33" i="28" s="1"/>
  <c r="L30" i="28"/>
  <c r="AB30" i="28" s="1"/>
  <c r="L27" i="28"/>
  <c r="AB27" i="28" s="1"/>
  <c r="L24" i="28"/>
  <c r="AB24" i="28" s="1"/>
  <c r="L32" i="28"/>
  <c r="AB32" i="28" s="1"/>
  <c r="L29" i="28"/>
  <c r="AB29" i="28" s="1"/>
  <c r="L26" i="28"/>
  <c r="AB26" i="28" s="1"/>
  <c r="L31" i="28"/>
  <c r="AB31" i="28" s="1"/>
  <c r="L23" i="28"/>
  <c r="AB23" i="28" s="1"/>
  <c r="L22" i="28"/>
  <c r="AB22" i="28" s="1"/>
  <c r="L21" i="28"/>
  <c r="AB21" i="28" s="1"/>
  <c r="L20" i="28"/>
  <c r="AB20" i="28" s="1"/>
  <c r="L19" i="28"/>
  <c r="AB19" i="28" s="1"/>
  <c r="L18" i="28"/>
  <c r="AB18" i="28" s="1"/>
  <c r="L15" i="28"/>
  <c r="AB15" i="28" s="1"/>
  <c r="L14" i="28"/>
  <c r="AB14" i="28" s="1"/>
  <c r="L13" i="28"/>
  <c r="AB13" i="28" s="1"/>
  <c r="L12" i="28"/>
  <c r="AB12" i="28" s="1"/>
  <c r="L11" i="28"/>
  <c r="AB11" i="28" s="1"/>
  <c r="L9" i="28"/>
  <c r="AB9" i="28" s="1"/>
  <c r="L8" i="28"/>
  <c r="AB8" i="28" s="1"/>
  <c r="L6" i="28"/>
  <c r="AB6" i="28" s="1"/>
  <c r="L5" i="28"/>
  <c r="L7" i="28"/>
  <c r="AB7" i="28" s="1"/>
  <c r="L106" i="28"/>
  <c r="AB108" i="28" s="1"/>
  <c r="L107" i="28"/>
  <c r="AB109" i="28"/>
  <c r="L105" i="28"/>
  <c r="L108" i="28"/>
  <c r="AB110" i="28"/>
  <c r="E10" i="28"/>
  <c r="L10" i="28" s="1"/>
  <c r="G12" i="1"/>
  <c r="G13" i="1"/>
  <c r="G14" i="1"/>
  <c r="G15" i="1"/>
  <c r="G16" i="1"/>
  <c r="G17" i="1"/>
  <c r="O50" i="28"/>
  <c r="O19" i="28"/>
  <c r="F9" i="28"/>
  <c r="N8" i="88" l="1"/>
  <c r="E8" i="88" s="1"/>
  <c r="G8" i="88" s="1"/>
  <c r="C14" i="92"/>
  <c r="D1" i="28"/>
  <c r="AB40" i="28"/>
  <c r="C8" i="92"/>
  <c r="C12" i="92" s="1"/>
  <c r="C34" i="92" s="1"/>
  <c r="AB46" i="28"/>
  <c r="C20" i="92"/>
  <c r="E7" i="92"/>
  <c r="E12" i="92" s="1"/>
  <c r="E34" i="92" s="1"/>
  <c r="AB47" i="28"/>
  <c r="C17" i="92"/>
  <c r="AB107" i="28"/>
  <c r="AB5" i="28"/>
  <c r="AB77" i="28"/>
  <c r="AB44" i="28"/>
  <c r="AB17" i="28"/>
  <c r="AB74" i="28"/>
  <c r="AB75" i="28"/>
  <c r="AB50" i="28"/>
  <c r="AB43" i="28"/>
  <c r="AB39" i="28"/>
  <c r="F33" i="28"/>
  <c r="F18" i="28"/>
  <c r="F24" i="28"/>
  <c r="F48" i="28"/>
  <c r="F8" i="28"/>
  <c r="F49" i="28"/>
  <c r="F30" i="28"/>
  <c r="F6" i="28"/>
  <c r="F45" i="28"/>
  <c r="F26" i="28"/>
  <c r="F29" i="28"/>
  <c r="F28" i="28"/>
  <c r="F27" i="28"/>
  <c r="F23" i="28"/>
  <c r="F22" i="28"/>
  <c r="F35" i="28"/>
  <c r="F47" i="28"/>
  <c r="F46" i="28"/>
  <c r="F25" i="28"/>
  <c r="F39" i="28"/>
  <c r="F40" i="28"/>
  <c r="F43" i="28"/>
  <c r="F44" i="28"/>
  <c r="F5" i="28"/>
  <c r="F42" i="28"/>
  <c r="G33" i="28"/>
  <c r="G50" i="28"/>
  <c r="F50" i="28"/>
  <c r="F21" i="28"/>
  <c r="G21" i="28"/>
  <c r="F32" i="28"/>
  <c r="F7" i="28"/>
  <c r="G32" i="28"/>
  <c r="H73" i="28"/>
  <c r="C15" i="92" l="1"/>
  <c r="C18" i="92" s="1"/>
  <c r="L96" i="28"/>
  <c r="L119" i="28" s="1"/>
  <c r="L121" i="28" s="1"/>
  <c r="F17" i="28"/>
  <c r="AB10" i="28"/>
  <c r="F10" i="28"/>
  <c r="B21" i="92" l="1"/>
  <c r="B22" i="92"/>
  <c r="C21" i="92"/>
  <c r="AB96" i="2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<sst xmlns="http://schemas.openxmlformats.org/spreadsheetml/2006/main" count="1708" uniqueCount="959">
  <si>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</si>
  <si>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</si>
  <si>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</si>
  <si>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</si>
  <si>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</si>
  <si>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</si>
  <si>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</si>
  <si>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</si>
  <si>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</si>
  <si>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</si>
  <si>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</si>
  <si>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</si>
  <si>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</si>
  <si>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</si>
  <si>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</si>
  <si>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</si>
  <si>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</si>
  <si>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</si>
  <si>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</si>
  <si>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</si>
  <si>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</si>
  <si>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</si>
  <si>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</si>
  <si>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Review Summary</t>
  </si>
  <si>
    <t>Error Detection</t>
  </si>
  <si>
    <t>Dashboard,
Electric Memo</t>
  </si>
  <si>
    <t>Cash &amp; Tax Memo,
Dashboard</t>
  </si>
  <si>
    <t>Review Summary - FBA</t>
  </si>
  <si>
    <t>General Info used to evaluate health of unit</t>
  </si>
  <si>
    <t>Fiduciary Funds</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</si>
  <si>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</si>
  <si>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</si>
  <si>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</si>
  <si>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</si>
  <si>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</si>
  <si>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</si>
  <si>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</si>
  <si>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</si>
  <si>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</si>
  <si>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</si>
  <si>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</si>
  <si>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</si>
  <si>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</si>
  <si>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</si>
  <si>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</si>
  <si>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</si>
  <si>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</si>
  <si>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</si>
  <si>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</si>
  <si>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</si>
  <si>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</si>
  <si>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</si>
  <si>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</si>
  <si>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</si>
  <si>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</si>
  <si>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</si>
  <si>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</si>
  <si>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</si>
  <si>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</si>
  <si>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</si>
  <si>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</si>
  <si>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</si>
  <si>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</si>
  <si>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</si>
  <si>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</si>
  <si>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</si>
  <si>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</si>
  <si>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</si>
  <si>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</si>
  <si>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</si>
  <si>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</si>
  <si>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</si>
  <si>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</si>
  <si>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</si>
  <si>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</si>
  <si>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</si>
  <si>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</si>
  <si>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</si>
  <si>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</si>
  <si>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</si>
  <si>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</si>
  <si>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</si>
  <si>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</si>
  <si>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</si>
  <si>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</si>
  <si>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</si>
  <si>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</si>
  <si>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</si>
  <si>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</si>
  <si>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</si>
  <si>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</si>
  <si>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</si>
  <si>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</si>
  <si>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</si>
  <si>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</si>
  <si>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</si>
  <si>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</si>
  <si>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</si>
  <si>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</si>
  <si>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</si>
  <si>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</si>
  <si>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</si>
  <si>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</si>
  <si>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</si>
  <si>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</si>
  <si>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</si>
  <si>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</si>
  <si>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</si>
  <si>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</si>
  <si>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</si>
  <si>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</si>
  <si>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</si>
  <si>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</si>
  <si>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</si>
  <si>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</si>
  <si>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</si>
  <si>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</si>
  <si>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</si>
  <si>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</si>
  <si>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</si>
  <si>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</si>
  <si>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</si>
  <si>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</si>
  <si>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</si>
  <si>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</si>
  <si>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</si>
  <si>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</si>
  <si>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</si>
  <si>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</si>
  <si>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</si>
  <si>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</si>
  <si>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</si>
  <si>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</si>
  <si>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</si>
  <si>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</si>
  <si>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</si>
  <si>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</si>
  <si>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</si>
  <si>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</si>
  <si>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</si>
  <si>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</si>
  <si>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</si>
  <si>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</si>
  <si>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</si>
  <si>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</si>
  <si>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</si>
  <si>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</si>
  <si>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</si>
  <si>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</si>
  <si>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</si>
  <si>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</si>
  <si>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</si>
  <si>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</si>
  <si>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</si>
  <si>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</si>
  <si>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</si>
  <si>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</si>
  <si>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</si>
  <si>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</si>
  <si>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</si>
  <si>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</si>
  <si>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</si>
  <si>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</si>
  <si>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</si>
  <si>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</si>
  <si>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</si>
  <si>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</si>
  <si>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</si>
  <si>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</si>
  <si>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</si>
  <si>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</si>
  <si>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</si>
  <si>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</si>
  <si>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</si>
  <si>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</si>
  <si>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</si>
  <si>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</si>
  <si>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</si>
  <si>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</si>
  <si>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</si>
  <si>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</si>
  <si>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</si>
  <si>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</si>
  <si>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</si>
  <si>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</si>
  <si>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</si>
  <si>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</si>
  <si>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</si>
  <si>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</si>
  <si>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</si>
  <si>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</si>
  <si>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</si>
  <si>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</si>
  <si>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</si>
  <si>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</si>
  <si>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</si>
  <si>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</si>
  <si>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</si>
  <si>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</si>
  <si>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</si>
  <si>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</si>
  <si>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</si>
  <si>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</si>
  <si>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</si>
  <si>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</si>
  <si>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</si>
  <si>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</si>
  <si>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</si>
  <si>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</si>
  <si>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</si>
  <si>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</si>
  <si>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</si>
  <si>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</si>
  <si>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</si>
  <si>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</si>
  <si>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</si>
  <si>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</si>
  <si>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</si>
  <si>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</si>
  <si>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</si>
  <si>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</si>
  <si>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</si>
  <si>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</si>
  <si>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</si>
  <si>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</si>
  <si>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</si>
  <si>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</si>
  <si>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</si>
  <si>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</si>
  <si>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</si>
  <si>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</si>
  <si>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</si>
  <si>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</si>
  <si>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</si>
  <si>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</si>
  <si>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</si>
  <si>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</si>
  <si>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</si>
  <si>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</si>
  <si>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</si>
  <si>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Debt Service Fund</t>
  </si>
  <si>
    <t>Please enter the Total Fund Balance for any Debt Service Funds</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</si>
  <si>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</si>
  <si>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</si>
  <si>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</si>
  <si>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</si>
  <si>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</si>
  <si>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</si>
  <si>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</si>
  <si>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</si>
  <si>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</si>
  <si>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 xml:space="preserve"> GF - Fund balance, Assigned </t>
  </si>
  <si>
    <t>GF - Fund Balance, Unassigned</t>
  </si>
  <si>
    <t>Acct #</t>
  </si>
  <si>
    <t>Fund balance, Assigned (total of all assigned components)</t>
  </si>
  <si>
    <t>Unit Data From Audit Worksheet</t>
  </si>
  <si>
    <t>Charlotte</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</si>
  <si>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</si>
  <si>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</si>
  <si>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</si>
  <si>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</si>
  <si>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</si>
  <si>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</si>
  <si>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</si>
  <si>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</si>
  <si>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</si>
  <si>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</si>
  <si>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</si>
  <si>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</si>
  <si>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</si>
  <si>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</si>
  <si>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</si>
  <si>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</si>
  <si>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</si>
  <si>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</si>
  <si>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</si>
  <si>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</si>
  <si>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</si>
  <si>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</si>
  <si>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</si>
  <si>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</si>
  <si>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</si>
  <si>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</si>
  <si>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</si>
  <si>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</si>
  <si>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</si>
  <si>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</si>
  <si>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</si>
  <si>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Dashboard; Determination of Fiscal Health</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</si>
  <si>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</si>
  <si>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</si>
  <si>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</si>
  <si>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</si>
  <si>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</si>
  <si>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</si>
  <si>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</si>
  <si>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</si>
  <si>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</si>
  <si>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</si>
  <si>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</si>
  <si>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</si>
  <si>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</si>
  <si>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</si>
  <si>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</si>
  <si>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</si>
  <si>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</si>
  <si>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</si>
  <si>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</si>
  <si>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</si>
  <si>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</si>
  <si>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Amount of transfer out to the General Fund that is for Payment in Lieu of Taxes (PILOT)</t>
  </si>
  <si>
    <t>Performance Indicator</t>
  </si>
  <si>
    <t>Unit Number:</t>
  </si>
  <si>
    <t>Date the Auditor presented or plans to present the Audit to the Governing Board</t>
  </si>
  <si>
    <t>Did the audit disclose any statutory violations in the notes that were not covered by findings?  Select Yes or No</t>
  </si>
  <si>
    <t>Of the transfers-in above in acct # 352, list amount of transfers-in that were used to support Water Sewer operations  (exclude capital transfers)</t>
  </si>
  <si>
    <t>Unit Data from Audit worksheet tab :  CCH acct # 9</t>
  </si>
  <si>
    <t>hidden data</t>
  </si>
  <si>
    <t>TD Auditor</t>
  </si>
  <si>
    <t>Auditor indicated that there was at least one Performance indicator of Concern on the PI tab</t>
  </si>
  <si>
    <t>Tax rate for year audited</t>
  </si>
  <si>
    <t>Unit Name:</t>
  </si>
  <si>
    <t>D</t>
  </si>
  <si>
    <t>E</t>
  </si>
  <si>
    <t>F</t>
  </si>
  <si>
    <t>G</t>
  </si>
  <si>
    <t>H</t>
  </si>
  <si>
    <t># of other matters that auditor asked the unit to respond to.</t>
  </si>
  <si>
    <t>If the unit had PIs of concern, the issues were presented to the board and informed they needed to send Response Letter in 60 days</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</si>
  <si>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</si>
  <si>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</si>
  <si>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</si>
  <si>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</si>
  <si>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</si>
  <si>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</si>
  <si>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</si>
  <si>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</si>
  <si>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</si>
  <si>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</si>
  <si>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</si>
  <si>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</si>
  <si>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</si>
  <si>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</si>
  <si>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</si>
  <si>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</si>
  <si>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</si>
  <si>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</si>
  <si>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</si>
  <si>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</si>
  <si>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</si>
  <si>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</si>
  <si>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</si>
  <si>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</si>
  <si>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</si>
  <si>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</si>
  <si>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</si>
  <si>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</si>
  <si>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</si>
  <si>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</si>
  <si>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</si>
  <si>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</si>
  <si>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</si>
  <si>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</si>
  <si>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</si>
  <si>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</si>
  <si>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</si>
  <si>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</si>
  <si>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</si>
  <si>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</si>
  <si>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</si>
  <si>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</si>
  <si>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</si>
  <si>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</si>
  <si>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</si>
  <si>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</si>
  <si>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</si>
  <si>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</si>
  <si>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</si>
  <si>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</si>
  <si>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</si>
  <si>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</si>
  <si>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</si>
  <si>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</si>
  <si>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Mental Health Net Position - Unrestricted Net Position</t>
  </si>
  <si>
    <t>Messages</t>
  </si>
  <si>
    <t>Leave blank if data not available</t>
  </si>
  <si>
    <t>Did unit have problems with debt service payments being late, debt restructured or not meeting bond covenants</t>
  </si>
  <si>
    <t>Select Unit Name from Drop Down List</t>
  </si>
  <si>
    <t>Section 1: Data Collection NOTE:  the data submitted below may be used in various published reports</t>
  </si>
  <si>
    <t>GENERAL FUND:</t>
  </si>
  <si>
    <t>Unit Results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</si>
  <si>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</si>
  <si>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</si>
  <si>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</si>
  <si>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or not the unit has issues with debt service payments or bond covenants.</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</si>
  <si>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</si>
  <si>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</si>
  <si>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</si>
  <si>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</si>
  <si>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</si>
  <si>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</si>
  <si>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</si>
  <si>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</si>
  <si>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</si>
  <si>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</si>
  <si>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</si>
  <si>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</si>
  <si>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</si>
  <si>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</si>
  <si>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</si>
  <si>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</si>
  <si>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</si>
  <si>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</si>
  <si>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</si>
  <si>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</si>
  <si>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</si>
  <si>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</si>
  <si>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</si>
  <si>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</si>
  <si>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</si>
  <si>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</si>
  <si>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</si>
  <si>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</si>
  <si>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</si>
  <si>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</si>
  <si>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</si>
  <si>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</si>
  <si>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</si>
  <si>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</si>
  <si>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</si>
  <si>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</si>
  <si>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</si>
  <si>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</si>
  <si>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</si>
  <si>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</si>
  <si>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</si>
  <si>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</si>
  <si>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</si>
  <si>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</si>
  <si>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</si>
  <si>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</si>
  <si>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</si>
  <si>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</si>
  <si>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</si>
  <si>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</si>
  <si>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</si>
  <si>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</si>
  <si>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</si>
  <si>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</si>
  <si>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</si>
  <si>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</si>
  <si>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</si>
  <si>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</si>
  <si>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</si>
  <si>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</si>
  <si>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</si>
  <si>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</si>
  <si>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</si>
  <si>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</si>
  <si>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</si>
  <si>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</si>
  <si>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</si>
  <si>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</si>
  <si>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</si>
  <si>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</si>
  <si>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</si>
  <si>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</si>
  <si>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</si>
  <si>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</si>
  <si>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</si>
  <si>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</si>
  <si>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</si>
  <si>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</si>
  <si>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</si>
  <si>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</si>
  <si>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</si>
  <si>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</si>
  <si>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</si>
  <si>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</si>
  <si>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</si>
  <si>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</si>
  <si>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</si>
  <si>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</si>
  <si>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</si>
  <si>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</si>
  <si>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</si>
  <si>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</si>
  <si>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</si>
  <si>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</si>
  <si>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</si>
  <si>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</si>
  <si>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</si>
  <si>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</si>
  <si>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</si>
  <si>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</si>
  <si>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</si>
  <si>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</si>
  <si>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</si>
  <si>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</si>
  <si>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</si>
  <si>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</si>
  <si>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</si>
  <si>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</si>
  <si>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</si>
  <si>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</si>
  <si>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</si>
  <si>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</si>
  <si>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</si>
  <si>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</si>
  <si>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</si>
  <si>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</si>
  <si>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</si>
  <si>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Date the FO signed the Data Input worksheet</t>
  </si>
  <si>
    <t>12/1/2021</t>
  </si>
  <si>
    <t>11/29/2021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</si>
  <si>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</si>
  <si>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</si>
  <si>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</si>
  <si>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</si>
  <si>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</si>
  <si>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</si>
  <si>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</si>
  <si>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</si>
  <si>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</si>
  <si>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</si>
  <si>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</si>
  <si>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</si>
  <si>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</si>
  <si>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</si>
  <si>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</si>
  <si>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</si>
  <si>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</si>
  <si>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</si>
  <si>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</si>
  <si>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</si>
  <si>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</si>
  <si>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</si>
  <si>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</si>
  <si>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</si>
  <si>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</si>
  <si>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</si>
  <si>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</si>
  <si>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</si>
  <si>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</si>
  <si>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</si>
  <si>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</si>
  <si>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</si>
  <si>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</si>
  <si>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</si>
  <si>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</si>
  <si>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</si>
  <si>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</si>
  <si>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</si>
  <si>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</si>
  <si>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</si>
  <si>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</si>
  <si>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</si>
  <si>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</si>
  <si>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</si>
  <si>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</si>
  <si>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Janet</t>
  </si>
  <si>
    <t>1/1/2019</t>
  </si>
  <si>
    <t>10/28/2021</t>
  </si>
  <si>
    <t>11/23/2021</t>
  </si>
  <si>
    <t>1/26/2022</t>
  </si>
  <si>
    <t>Governmental Activities - Benchmarking Tool uses account 336 in the code to calculate liquidity quick ratio.  Must be included on imported to CCH and SQL database.  Memos used these accounts as well.</t>
  </si>
  <si>
    <t>Telephone Number and Ext., etc.</t>
  </si>
  <si>
    <t>1/1/2015</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</si>
  <si>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</si>
  <si>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</si>
  <si>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</si>
  <si>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</si>
  <si>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</si>
  <si>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3.</t>
  </si>
  <si>
    <t>4.</t>
  </si>
  <si>
    <t>The unit had problems with debt service payments being late and/or did not comply with the bond covenants.</t>
  </si>
  <si>
    <t>Roper</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</si>
  <si>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</si>
  <si>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Not collected in prior year</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</si>
  <si>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</si>
  <si>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</si>
  <si>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</si>
  <si>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</si>
  <si>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Trial Balance</t>
  </si>
  <si>
    <t xml:space="preserve">NC DEPARTMENT OF STATE TREASURER- STATE AND LOCAL GOVERNMENT FINANCE DIVISION
TD Info Completed by Auditor
</t>
  </si>
  <si>
    <t>Please see the INSTRUCTIONS worksheet before completing this form</t>
  </si>
  <si>
    <t>1/1/2009</t>
  </si>
  <si>
    <t>10/25/2021</t>
  </si>
  <si>
    <t>GF FBA% of Exp w/o Powell Bill Formula: (506+536-4-5-6-11+647)/(532+20+509-533-508)</t>
  </si>
  <si>
    <t>Enterprise Funds other than WS and Electric</t>
  </si>
  <si>
    <t>Net Position</t>
  </si>
  <si>
    <t>Combined Totals of all Proprietary Funds - Amount of Inventories and Prepaids in current assets</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</si>
  <si>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</si>
  <si>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</si>
  <si>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</si>
  <si>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</si>
  <si>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</si>
  <si>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</si>
  <si>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</si>
  <si>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CCH Upload Batch Total</t>
  </si>
  <si>
    <t>Albemarle Commission</t>
  </si>
  <si>
    <t>Cape Fear Council of Governments</t>
  </si>
  <si>
    <t>Centralina Council of Governments</t>
  </si>
  <si>
    <t>Foothills Regional Commission</t>
  </si>
  <si>
    <t>High Country Council of Governments</t>
  </si>
  <si>
    <t>Kerr-Tar Regional Council of Governments</t>
  </si>
  <si>
    <t>Land-Of-Sky Regional Council</t>
  </si>
  <si>
    <t>Lumber River Council of Governments</t>
  </si>
  <si>
    <t>Mid-Carolina Regional Council of Governments</t>
  </si>
  <si>
    <t>Mid-East Commission/Region Q</t>
  </si>
  <si>
    <t>Neuse River Council of Governments dba Eastern Carolina Council</t>
  </si>
  <si>
    <t>Piedmont Triad Council of Governments</t>
  </si>
  <si>
    <t>Southwestern North Carolina Planning and Economic Development Commission</t>
  </si>
  <si>
    <t>Triangle J Council of Governments</t>
  </si>
  <si>
    <t>Upper Coastal Plain Council of Governments dba Region L Council of Governments</t>
  </si>
  <si>
    <t>Western Piedmont Council of Governments</t>
  </si>
  <si>
    <t>Jeri</t>
  </si>
  <si>
    <t>Dawn</t>
  </si>
  <si>
    <t>Denise</t>
  </si>
  <si>
    <t>Julie</t>
  </si>
  <si>
    <t>Donna</t>
  </si>
  <si>
    <t>Jo-Annah</t>
  </si>
  <si>
    <t>Glenda</t>
  </si>
  <si>
    <t>Jarrod</t>
  </si>
  <si>
    <t>Ryan</t>
  </si>
  <si>
    <t>Judy</t>
  </si>
  <si>
    <t>Mark</t>
  </si>
  <si>
    <t>Andrea</t>
  </si>
  <si>
    <t>Hansen</t>
  </si>
  <si>
    <t>Tucker</t>
  </si>
  <si>
    <t>Strosser</t>
  </si>
  <si>
    <t>Page</t>
  </si>
  <si>
    <t>Lee</t>
  </si>
  <si>
    <t>Sullivan</t>
  </si>
  <si>
    <t>Sinclair</t>
  </si>
  <si>
    <t>Dye</t>
  </si>
  <si>
    <t>Dodge</t>
  </si>
  <si>
    <t>Hand</t>
  </si>
  <si>
    <t>Scaggs</t>
  </si>
  <si>
    <t>Weller</t>
  </si>
  <si>
    <t>Hill</t>
  </si>
  <si>
    <t>4/22/2019</t>
  </si>
  <si>
    <t>5/16/2018</t>
  </si>
  <si>
    <t>2/11/2020</t>
  </si>
  <si>
    <t>6/3/2019</t>
  </si>
  <si>
    <t>7/1/2016</t>
  </si>
  <si>
    <t>3/1/2020</t>
  </si>
  <si>
    <t>1/1/2017</t>
  </si>
  <si>
    <t>9/24/2007</t>
  </si>
  <si>
    <t>1/4/1994</t>
  </si>
  <si>
    <t>Jeri Hansen</t>
  </si>
  <si>
    <t>Dawn Tucker</t>
  </si>
  <si>
    <t>Denise Strosser</t>
  </si>
  <si>
    <t>Julie Page</t>
  </si>
  <si>
    <t>Donna Lee</t>
  </si>
  <si>
    <t>Charlotte Sullivan</t>
  </si>
  <si>
    <t>Jo-Annah Sinclair</t>
  </si>
  <si>
    <t>Glenda Dye</t>
  </si>
  <si>
    <t>Janet E Dodge</t>
  </si>
  <si>
    <t>Jarrod R. Hand</t>
  </si>
  <si>
    <t>Ryan Scaggs</t>
  </si>
  <si>
    <t>Judy Weller</t>
  </si>
  <si>
    <t>Mark Hill</t>
  </si>
  <si>
    <t>Andrea Roper</t>
  </si>
  <si>
    <t>Finacne Director</t>
  </si>
  <si>
    <t>Finance Manager</t>
  </si>
  <si>
    <t>10/29/2021</t>
  </si>
  <si>
    <t>11/8/2021</t>
  </si>
  <si>
    <t>11/2/2021</t>
  </si>
  <si>
    <t>12/29/2021</t>
  </si>
  <si>
    <t>10/31/2021</t>
  </si>
  <si>
    <t>11/17/2021</t>
  </si>
  <si>
    <t>12/17/2021</t>
  </si>
  <si>
    <t>11/24/2021</t>
  </si>
  <si>
    <t>11/12/2021</t>
  </si>
  <si>
    <t>252-404-7084</t>
  </si>
  <si>
    <t>910-395-4553 ext.207</t>
  </si>
  <si>
    <t>704-348-2704</t>
  </si>
  <si>
    <t>828-265-5434</t>
  </si>
  <si>
    <t>252-436-2040</t>
  </si>
  <si>
    <t>828-251-7470</t>
  </si>
  <si>
    <t>910-775-9769</t>
  </si>
  <si>
    <t>910-323-4191</t>
  </si>
  <si>
    <t>252-974-1853</t>
  </si>
  <si>
    <t>336-904-0300</t>
  </si>
  <si>
    <t>828-586-1962</t>
  </si>
  <si>
    <t>919-558-9321</t>
  </si>
  <si>
    <t>252-234-5953</t>
  </si>
  <si>
    <t>828-485-4255</t>
  </si>
  <si>
    <t>jhansen@accog.org</t>
  </si>
  <si>
    <t>dtucker@capefearcog.org</t>
  </si>
  <si>
    <t>dstrosser@centralina.org</t>
  </si>
  <si>
    <t>jpage@hccog.org</t>
  </si>
  <si>
    <t>dlee@kerrtarcog.org</t>
  </si>
  <si>
    <t>charlotte@landofsky.org</t>
  </si>
  <si>
    <t>Jo-Annah.Sinclair@lrcog.org</t>
  </si>
  <si>
    <t>gdye@mccog.org</t>
  </si>
  <si>
    <t>jdodge@mideastcom.org</t>
  </si>
  <si>
    <t>jhand@ptrc.org</t>
  </si>
  <si>
    <t>rscaggs@regiona.org</t>
  </si>
  <si>
    <t>jweller@tjcog.org</t>
  </si>
  <si>
    <t>mhill@ucpcog.org</t>
  </si>
  <si>
    <t>andrea.roper@wpcog.org</t>
  </si>
  <si>
    <t>11/18/2021</t>
  </si>
  <si>
    <t>12/13/2021</t>
  </si>
  <si>
    <t>11/10/2021</t>
  </si>
  <si>
    <t>1/6/2022</t>
  </si>
  <si>
    <t>12/3/2021</t>
  </si>
  <si>
    <t>1/27/2022</t>
  </si>
  <si>
    <t>1/17/2022</t>
  </si>
  <si>
    <t>11/3/2021</t>
  </si>
  <si>
    <t>11/22/2021</t>
  </si>
  <si>
    <t>1/18/2022</t>
  </si>
  <si>
    <t>jmiller@eccog.org</t>
  </si>
  <si>
    <t>Jenny</t>
  </si>
  <si>
    <t>Miller</t>
  </si>
  <si>
    <t>Jenny Miller</t>
  </si>
  <si>
    <t>Jarrod Hand</t>
  </si>
  <si>
    <t>Piedmont Triad Regional Council</t>
  </si>
  <si>
    <t>Please enter any landfill closure/postclosure liabilities that are classified as current liabilities and included in account 626 above (amounts entered should agree to the current amount included in the changes to long-term debt note)</t>
  </si>
  <si>
    <t xml:space="preserve">Current Liabilities - closure/Postclosure </t>
  </si>
  <si>
    <t>=626-627-628-629-630-631-632</t>
  </si>
  <si>
    <t xml:space="preserve">Explanation of Performance Indicator
</t>
  </si>
  <si>
    <t>Positive Total Fund Balance</t>
  </si>
  <si>
    <t>The General Fund had a total fund balance less than zero - Fund Deficit</t>
  </si>
  <si>
    <t>TD Info Completed by Auditor : CCH acct #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</si>
  <si>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</si>
  <si>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r>
      <t xml:space="preserve">Mark to Market unrealized losses in the General Fund. </t>
    </r>
    <r>
      <rPr>
        <sz val="11"/>
        <color theme="5" tint="-0.499984740745262"/>
        <rFont val="Calibri"/>
        <family val="2"/>
        <scheme val="minor"/>
      </rPr>
      <t>(enter as a negative number)</t>
    </r>
  </si>
  <si>
    <t>Mark to Market unrealized losses in the General Fund</t>
  </si>
  <si>
    <t xml:space="preserve">Gen Fund - Total Expenditures </t>
  </si>
  <si>
    <t xml:space="preserve">Gen Fund - Proceeds from LTD </t>
  </si>
  <si>
    <t>Gen Fund - Any Adj. to Beginning Net Assets</t>
  </si>
  <si>
    <t>If unit is an employer participant in one of the State Cost Sharing Plans rows 71-73 should be blank.  Unless they have an additional single employer plan.</t>
  </si>
  <si>
    <t>Is there a finding for lack of technical skills, knowledge and experience (SKE) at this unit</t>
  </si>
  <si>
    <t>Debt Service Fund Balance</t>
  </si>
  <si>
    <t>Comb-Proprietary Funds-Current Assets 
Exclude: any restricted assets
                  deferred outflows.</t>
  </si>
  <si>
    <t>Number of significant deficiency findings</t>
  </si>
  <si>
    <t xml:space="preserve">Number of material weaknesses findings </t>
  </si>
  <si>
    <t>Number of other matters that auditor asked the unit to respond to</t>
  </si>
  <si>
    <t>Did your audit disclose as a finding any statutory violations (not including budget violations) (Yes or No)</t>
  </si>
  <si>
    <t xml:space="preserve"> Did the unit have a board-appointed finance officer the entire fiscal year (Yes or No)</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</si>
  <si>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</si>
  <si>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</si>
  <si>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</si>
  <si>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</si>
  <si>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</si>
  <si>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t>Statutory Calculation of Fund Balance Available for Appropriation At June 30 for the General Fund
Restricted - Stabilization by State Statute</t>
  </si>
  <si>
    <t>Calculation</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</si>
  <si>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</si>
  <si>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</si>
  <si>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</si>
  <si>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</si>
  <si>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</si>
  <si>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</si>
  <si>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</si>
  <si>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</si>
  <si>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</si>
  <si>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</si>
  <si>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Column E Formula</t>
  </si>
  <si>
    <t>=506-4-6-5</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</si>
  <si>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</si>
  <si>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</si>
  <si>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</si>
  <si>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</si>
  <si>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</si>
  <si>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</si>
  <si>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</si>
  <si>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</si>
  <si>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</si>
  <si>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</si>
  <si>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</si>
  <si>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</si>
  <si>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</si>
  <si>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</si>
  <si>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</si>
  <si>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</si>
  <si>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</si>
  <si>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</si>
  <si>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</si>
  <si>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</si>
  <si>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=506+536-4-6-5</t>
  </si>
  <si>
    <t>=9-(506+536-4-6-5)</t>
  </si>
  <si>
    <t>=9-(506+536-4-6-5)-7</t>
  </si>
  <si>
    <t>=532+20+509-533-508</t>
  </si>
  <si>
    <t>For units of government that have Proprietary Funds that do not prepare Government-Wide Financial Statement need to answer the following questions.</t>
  </si>
  <si>
    <t xml:space="preserve">"Certain" Special Purpose Governments as defined by GASB 34 (a special purpose government that only has proprietary funds (no governmental funds)) are not required </t>
  </si>
  <si>
    <t>to prepare Government Wide Statements but can use an alternate presentation.  If your unit is a Special Purpose Government that did not prepare  Government Wide</t>
  </si>
  <si>
    <t xml:space="preserve">Statements but can use an alternate presentation.  If your unit is a Special Purpose Government that did not prepare  Government Wide financial statements please </t>
  </si>
  <si>
    <t>Revenue, Expenses &amp; Changes in Fund Net Position</t>
  </si>
  <si>
    <t>All Proprietary Funds -total of all expenses excluding transfers out</t>
  </si>
  <si>
    <t>All Proprietary Funds -Depreciation and amortization expense</t>
  </si>
  <si>
    <t>Cash Flow Statement</t>
  </si>
  <si>
    <r>
      <rPr>
        <b/>
        <u/>
        <sz val="11"/>
        <color rgb="FFFF0000"/>
        <rFont val="Calibri"/>
        <family val="2"/>
        <scheme val="minor"/>
      </rPr>
      <t>All Proprietary Funds</t>
    </r>
    <r>
      <rPr>
        <u/>
        <sz val="11"/>
        <color theme="1"/>
        <rFont val="Calibri"/>
        <family val="2"/>
        <scheme val="minor"/>
      </rPr>
      <t xml:space="preserve"> -total </t>
    </r>
    <r>
      <rPr>
        <b/>
        <u/>
        <sz val="11"/>
        <color rgb="FFFF0000"/>
        <rFont val="Calibri"/>
        <family val="2"/>
        <scheme val="minor"/>
      </rPr>
      <t>of all</t>
    </r>
    <r>
      <rPr>
        <u/>
        <sz val="11"/>
        <color theme="1"/>
        <rFont val="Calibri"/>
        <family val="2"/>
        <scheme val="minor"/>
      </rPr>
      <t xml:space="preserve"> expenses excluding transfers out</t>
    </r>
  </si>
  <si>
    <r>
      <rPr>
        <b/>
        <u/>
        <sz val="11"/>
        <color rgb="FFFF0000"/>
        <rFont val="Calibri"/>
        <family val="2"/>
        <scheme val="minor"/>
      </rPr>
      <t>All Proprietary Funds</t>
    </r>
    <r>
      <rPr>
        <u/>
        <sz val="11"/>
        <color theme="1"/>
        <rFont val="Calibri"/>
        <family val="2"/>
        <scheme val="minor"/>
      </rPr>
      <t xml:space="preserve"> -Depreciation and amortization expense</t>
    </r>
  </si>
  <si>
    <r>
      <rPr>
        <b/>
        <u/>
        <sz val="11"/>
        <color rgb="FFFF0000"/>
        <rFont val="Calibri"/>
        <family val="2"/>
        <scheme val="minor"/>
      </rPr>
      <t>All Proprietary Funds</t>
    </r>
    <r>
      <rPr>
        <u/>
        <sz val="11"/>
        <color theme="1"/>
        <rFont val="Calibri"/>
        <family val="2"/>
        <scheme val="minor"/>
      </rPr>
      <t xml:space="preserve"> -Principal paid on long-term debt.  Amount should be reduced by principal payments for debt refunding.</t>
    </r>
  </si>
  <si>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</si>
  <si>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</si>
  <si>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</si>
  <si>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</si>
  <si>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</si>
  <si>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</si>
  <si>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</si>
  <si>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</si>
  <si>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</si>
  <si>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</si>
  <si>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</si>
  <si>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</si>
  <si>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t>Data documenting the unit's compliance with General Statue 159-25 is captured in account numbers 947, 948, 949, 950, and 952.</t>
  </si>
  <si>
    <t>answer the following questions.   A special purpose government should not have completed questions in the Governmental Activities section in rows 7 through 40</t>
  </si>
  <si>
    <t>551100</t>
  </si>
  <si>
    <t>551101</t>
  </si>
  <si>
    <t>551102</t>
  </si>
  <si>
    <t>551103</t>
  </si>
  <si>
    <t>551113</t>
  </si>
  <si>
    <t>551104</t>
  </si>
  <si>
    <t>551105</t>
  </si>
  <si>
    <t>551106</t>
  </si>
  <si>
    <t>551107</t>
  </si>
  <si>
    <t>551108</t>
  </si>
  <si>
    <t>551109</t>
  </si>
  <si>
    <t>551112</t>
  </si>
  <si>
    <t>551115</t>
  </si>
  <si>
    <t>551116</t>
  </si>
  <si>
    <t>551114</t>
  </si>
  <si>
    <t>551117</t>
  </si>
  <si>
    <t>Robin</t>
  </si>
  <si>
    <t>Patricia</t>
  </si>
  <si>
    <t>John</t>
  </si>
  <si>
    <t>Hope</t>
  </si>
  <si>
    <t>Sass</t>
  </si>
  <si>
    <t>Rosenberg</t>
  </si>
  <si>
    <t>Moses</t>
  </si>
  <si>
    <t>Tally</t>
  </si>
  <si>
    <t>yes</t>
  </si>
  <si>
    <t>9/15/2022</t>
  </si>
  <si>
    <t>10/31/2022</t>
  </si>
  <si>
    <t>9/4/2022</t>
  </si>
  <si>
    <t>4/20/2015</t>
  </si>
  <si>
    <t>Robin Sass</t>
  </si>
  <si>
    <t>Charlotte Sulivan</t>
  </si>
  <si>
    <t>Patricia Rosenberg</t>
  </si>
  <si>
    <t>John Moses</t>
  </si>
  <si>
    <t>Hope Tally</t>
  </si>
  <si>
    <t>Chief Financial Officer</t>
  </si>
  <si>
    <t>2/7/2023</t>
  </si>
  <si>
    <t>11/30/2022</t>
  </si>
  <si>
    <t>11/2/2022</t>
  </si>
  <si>
    <t>3/24/2023</t>
  </si>
  <si>
    <t>4/14/2023</t>
  </si>
  <si>
    <t>12/1/2022</t>
  </si>
  <si>
    <t>3/3/2023</t>
  </si>
  <si>
    <t>11/21/2022</t>
  </si>
  <si>
    <t>1/25/2023</t>
  </si>
  <si>
    <t>2/21/2023</t>
  </si>
  <si>
    <t>828-351-2335</t>
  </si>
  <si>
    <t>828-265-5434 ext.109</t>
  </si>
  <si>
    <t>828-251-6622</t>
  </si>
  <si>
    <t>828-586-1962 ext.203</t>
  </si>
  <si>
    <t>919-558-9403</t>
  </si>
  <si>
    <t>828-322-9191 ext.255</t>
  </si>
  <si>
    <t>rsass@accog.org</t>
  </si>
  <si>
    <t>csullivan@foothillsregion.org</t>
  </si>
  <si>
    <t>patricia@landofsky.org</t>
  </si>
  <si>
    <t>jmoses@mideastcom.org</t>
  </si>
  <si>
    <t>htallly@tjcog.org</t>
  </si>
  <si>
    <t>Number of other matters that auditor asked the unit to respond to.</t>
  </si>
  <si>
    <t>2/16/2023</t>
  </si>
  <si>
    <t>7/1/2022</t>
  </si>
  <si>
    <t>11/9/2022</t>
  </si>
  <si>
    <t>5/11/2023</t>
  </si>
  <si>
    <t>12/19/2022</t>
  </si>
  <si>
    <t>6/14/2023</t>
  </si>
  <si>
    <t>1/15/2023</t>
  </si>
  <si>
    <t>1/19/2023</t>
  </si>
  <si>
    <t>5/20/2023</t>
  </si>
  <si>
    <t>12/7/2022</t>
  </si>
  <si>
    <t>1/17/2023</t>
  </si>
  <si>
    <t>3/28/2023</t>
  </si>
  <si>
    <t>Mark to Market unrealized losses in the General Fund.</t>
  </si>
  <si>
    <t>Did the unit have a board-appointed finance officer the entire fiscal year? (Yes or No)?</t>
  </si>
  <si>
    <t>Are the-á ARPA-related funds on target to be completely expended by December 31, 2026? (Yes or No)</t>
  </si>
  <si>
    <t>Single Audit Only - Coronavirus State and Local Recovery Funds expenditures (21.027)</t>
  </si>
  <si>
    <t>Date Audit First Received</t>
  </si>
  <si>
    <t>2023-02-07</t>
  </si>
  <si>
    <t>2022-11-30</t>
  </si>
  <si>
    <t>2022-11-09</t>
  </si>
  <si>
    <t>2023-03-24</t>
  </si>
  <si>
    <t>2022-10-31</t>
  </si>
  <si>
    <t>2023-05-08</t>
  </si>
  <si>
    <t>2022-12-01</t>
  </si>
  <si>
    <t>2023-03-13</t>
  </si>
  <si>
    <t>2022-11-22</t>
  </si>
  <si>
    <t>2023-01-31</t>
  </si>
  <si>
    <t>2023-02-28</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</si>
  <si>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</si>
  <si>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</si>
  <si>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</si>
  <si>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</si>
  <si>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 xml:space="preserve">                         -  </t>
  </si>
  <si>
    <t>PY1</t>
  </si>
  <si>
    <t>FYE 2022</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</si>
  <si>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</si>
  <si>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</si>
  <si>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</si>
  <si>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</si>
  <si>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</si>
  <si>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</si>
  <si>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</si>
  <si>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</si>
  <si>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</si>
  <si>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1/1/2022</t>
  </si>
  <si>
    <t>Finance Consultant</t>
  </si>
  <si>
    <t>252-638-3185 ext.3028</t>
  </si>
  <si>
    <t>12/13/2022</t>
  </si>
  <si>
    <t>9/8/2022</t>
  </si>
  <si>
    <t>Units with Electric Operations have 0.07, 0.08, 0.09</t>
  </si>
  <si>
    <t>TD Info Completed by Auditor tab: CCH acct # 1079</t>
  </si>
  <si>
    <t>Did your audit disclose as a finding any statutory violations? (not including budget violations) (Yes or No) If the answer  is "Yes", review whether this needs to be disclosed in the Stewardship, Compliance and Accountability Note</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</si>
  <si>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</si>
  <si>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</si>
  <si>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</si>
  <si>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t xml:space="preserve">Is there is a going concern noted in the audit report? </t>
  </si>
  <si>
    <r>
      <t xml:space="preserve">Number of significant deficiency findings (financial statement findings only)
</t>
    </r>
    <r>
      <rPr>
        <sz val="11"/>
        <color rgb="FFFF0000"/>
        <rFont val="Calibri"/>
        <family val="2"/>
        <scheme val="minor"/>
      </rPr>
      <t xml:space="preserve">Exclude findings reported in questions  907, 951 </t>
    </r>
  </si>
  <si>
    <r>
      <t xml:space="preserve">Number of material weaknesses findings (financial statements findings only)
</t>
    </r>
    <r>
      <rPr>
        <sz val="11"/>
        <color rgb="FFFF0000"/>
        <rFont val="Calibri"/>
        <family val="2"/>
        <scheme val="minor"/>
      </rPr>
      <t>Exclude findings reported in questions 907, 951</t>
    </r>
    <r>
      <rPr>
        <sz val="11"/>
        <color theme="1"/>
        <rFont val="Calibri"/>
        <family val="2"/>
        <scheme val="minor"/>
      </rPr>
      <t xml:space="preserve"> </t>
    </r>
  </si>
  <si>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</si>
  <si>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 xml:space="preserve">Was an AU-C Section 260 (The Auditor's Communication With Those Charged With Governance) letter issued?     </t>
  </si>
  <si>
    <t>Was an AU-C Section 265 (Communicating Internal Control Related Matters Identified in an Audit) letter issued?</t>
  </si>
  <si>
    <t>Section 2:</t>
  </si>
  <si>
    <t xml:space="preserve">Does the unit have a self-insurance fund? </t>
  </si>
  <si>
    <t>If the unit is self-insured for employee health care, does the unit use a qualified consultant to establish rates and appropriate reserve levels?</t>
  </si>
  <si>
    <r>
      <t xml:space="preserve">Does the Unit have a non-state administered pension plan?
</t>
    </r>
    <r>
      <rPr>
        <sz val="11"/>
        <color theme="5" tint="-0.249977111117893"/>
        <rFont val="Calibri"/>
        <family val="2"/>
        <scheme val="minor"/>
      </rPr>
      <t>(Note - OPEB is not a pension plan.)</t>
    </r>
  </si>
  <si>
    <t>Does the Performance Indicator Print worksheet in this workbook have a red shaded cell?</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</si>
  <si>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"7/1/2023" to indicate that a FPIC response is not required.</t>
    </r>
  </si>
  <si>
    <t>Please enter page number if information included in the audit report/other communications</t>
  </si>
  <si>
    <t xml:space="preserve">The Unit had material weaknesses, significant deficiencies, statutory violations and/or items identified on the TD Info Completed by Auditor tab that should be addressed in the FPIC Response Letter.  </t>
  </si>
  <si>
    <t>All Proprietary Funds -Principal paid on long-term debt.  Amount should be reduced by principal payments for debt refunding</t>
  </si>
  <si>
    <t>If the answer to 1059 is "No," then was the unit without a board-appointed interim or permanent finance officer for more than 2 weeks at any time in the fiscal year</t>
  </si>
  <si>
    <t xml:space="preserve">Was the finance officer or interim finance officer bonded pursuant to G.S. 159-29 </t>
  </si>
  <si>
    <t>Is there is a going concern noted in the audit report</t>
  </si>
  <si>
    <t>Does the Performance Indicator Print worksheet in this workbook have a red shaded cell</t>
  </si>
  <si>
    <t>Does the Unit have a non-state administered pension plan?
(Note - OPEB is not a pension plan.)</t>
  </si>
  <si>
    <t>Please list the amount of ARPA funds expended in total this fiscal year for non-capital purposes.  Enter "zero" if no ARPA funds expended for this fiscal year for non-capital purposes.</t>
  </si>
  <si>
    <t>This indicator identifies whether the unit has any material weaknesses, significant deficiencies, management letter comments or items identified on the TD Info Completed by Audit tab including 1058, 955 and 957, that require a response.</t>
  </si>
  <si>
    <t>J</t>
  </si>
  <si>
    <t>Please enter the fiscal year end reported on the unit's audited financial statements if other than 6/30/2023.              Format "MM/DD/YYYY"</t>
  </si>
  <si>
    <t>If the fiscal year-end is other than 6/30/2023, 9/30/2023, 12/31/2023 or 3/31/2024, please contact us.</t>
  </si>
  <si>
    <t>What date was the audit report submitted to the LGC?  (Note audit reports are due four months after fiscal year end regardless of the contract submission date.)</t>
  </si>
  <si>
    <t>Fiscal Year 2023</t>
  </si>
  <si>
    <t>C26</t>
  </si>
  <si>
    <t>C25</t>
  </si>
  <si>
    <t>What date was the audit report submitted to the LGC?</t>
  </si>
  <si>
    <t>Fiscal 2023 -  Data Input Workbook incorporates the
Unit Data from Audit Worksheet, TD Info Completed by Auditor Worksheet, Performance Indicators Print Worksheet</t>
  </si>
  <si>
    <t>Does the unit have a self-insurance fund</t>
  </si>
  <si>
    <t>If the unit is self-insured for employee health care, does the unit use a qualified consultant to establish rates and appropriate reserve levels</t>
  </si>
  <si>
    <t>Does the Unit have a non-state administered pension plan</t>
  </si>
  <si>
    <t>Amount of ARPA funds expended in total for fiscal year for non-capital purposes</t>
  </si>
  <si>
    <t>Must be linked to unit number on Unit Data from Audit Worksheet tab</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</si>
  <si>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</si>
  <si>
    <t>Version Date 10/13/2023; 12/8/2023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</si>
</sst>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0" formatCode="###\-###\-####"/>
    <numFmt numFmtId="181" formatCode="@*."/>
  </numFmts>
  <fonts count="180"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4"/>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color theme="5" tint="-0.499984740745262"/>
      <name val="Calibri"/>
      <family val="2"/>
      <scheme val="minor"/>
    </font>
    <font>
      <b/>
      <i/>
      <sz val="12"/>
      <color rgb="FFFF0000"/>
      <name val="Cambria"/>
      <family val="1"/>
    </font>
    <font>
      <sz val="11"/>
      <color theme="9" tint="-0.499984740745262"/>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u/>
      <sz val="11"/>
      <color rgb="FFFF0000"/>
      <name val="Calibri"/>
      <family val="2"/>
      <scheme val="minor"/>
    </font>
    <font>
      <b/>
      <sz val="12"/>
      <color theme="1"/>
      <name val="Century Schoolbook"/>
      <family val="1"/>
    </font>
    <font>
      <b/>
      <sz val="12"/>
      <color theme="1"/>
      <name val="Cambria"/>
      <family val="1"/>
    </font>
    <font>
      <sz val="8"/>
      <name val="Arial"/>
      <family val="2"/>
    </font>
    <font>
      <sz val="10"/>
      <name val="Arial"/>
      <family val="2"/>
    </font>
    <font>
      <sz val="12"/>
      <name val="Garamond"/>
      <family val="1"/>
    </font>
    <font>
      <sz val="11"/>
      <color rgb="FF000000"/>
      <name val="Calibri"/>
      <family val="2"/>
      <scheme val="minor"/>
    </font>
    <font>
      <b/>
      <u/>
      <sz val="11"/>
      <color theme="10"/>
      <name val="Calibri"/>
      <family val="2"/>
      <scheme val="minor"/>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92D050"/>
        <bgColor indexed="64"/>
      </patternFill>
    </fill>
    <fill>
      <patternFill patternType="solid">
        <fgColor theme="8" tint="0.79998168889431442"/>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3" tint="0.59996337778862885"/>
      </bottom>
      <diagonal/>
    </border>
    <border>
      <left/>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210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9" fillId="0" borderId="45" applyNumberFormat="0" applyFill="0" applyAlignment="0" applyProtection="0"/>
    <xf numFmtId="0" fontId="70" fillId="0" borderId="46" applyNumberFormat="0" applyFill="0" applyAlignment="0" applyProtection="0"/>
    <xf numFmtId="0" fontId="71" fillId="0" borderId="47" applyNumberFormat="0" applyFill="0" applyAlignment="0" applyProtection="0"/>
    <xf numFmtId="0" fontId="71" fillId="0" borderId="0" applyNumberFormat="0" applyFill="0" applyBorder="0" applyAlignment="0" applyProtection="0"/>
    <xf numFmtId="0" fontId="72" fillId="35" borderId="0" applyNumberFormat="0" applyBorder="0" applyAlignment="0" applyProtection="0"/>
    <xf numFmtId="0" fontId="73" fillId="36" borderId="0" applyNumberFormat="0" applyBorder="0" applyAlignment="0" applyProtection="0"/>
    <xf numFmtId="0" fontId="74" fillId="38" borderId="48" applyNumberFormat="0" applyAlignment="0" applyProtection="0"/>
    <xf numFmtId="0" fontId="75" fillId="39" borderId="49" applyNumberFormat="0" applyAlignment="0" applyProtection="0"/>
    <xf numFmtId="0" fontId="76" fillId="39" borderId="48" applyNumberFormat="0" applyAlignment="0" applyProtection="0"/>
    <xf numFmtId="0" fontId="77" fillId="0" borderId="50" applyNumberFormat="0" applyFill="0" applyAlignment="0" applyProtection="0"/>
    <xf numFmtId="0" fontId="78" fillId="40"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79" fillId="42"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8" fillId="37" borderId="0" applyNumberFormat="0" applyBorder="0" applyAlignment="0" applyProtection="0"/>
    <xf numFmtId="0" fontId="33" fillId="41" borderId="52" applyNumberFormat="0" applyFont="0" applyAlignment="0" applyProtection="0"/>
    <xf numFmtId="40" fontId="81" fillId="0" borderId="17">
      <alignment horizontal="right"/>
    </xf>
    <xf numFmtId="0" fontId="82" fillId="0" borderId="0">
      <alignment horizontal="left"/>
    </xf>
    <xf numFmtId="49" fontId="11" fillId="0" borderId="0"/>
    <xf numFmtId="0" fontId="82" fillId="0" borderId="0">
      <alignment horizontal="left"/>
    </xf>
    <xf numFmtId="174" fontId="81" fillId="0" borderId="17">
      <alignment horizontal="right"/>
    </xf>
    <xf numFmtId="49" fontId="81"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0" fillId="48" borderId="0">
      <alignment horizontal="right" vertical="center"/>
    </xf>
    <xf numFmtId="49" fontId="80" fillId="48" borderId="0">
      <alignment horizontal="left" vertical="center"/>
    </xf>
    <xf numFmtId="49" fontId="80" fillId="48" borderId="0">
      <alignment horizontal="center" vertical="center"/>
    </xf>
    <xf numFmtId="49" fontId="80" fillId="48" borderId="0">
      <alignment horizontal="center" vertical="center"/>
    </xf>
    <xf numFmtId="49" fontId="80" fillId="48" borderId="0">
      <alignment horizontal="right" vertical="center"/>
    </xf>
    <xf numFmtId="40" fontId="80" fillId="48" borderId="0">
      <alignment horizontal="right"/>
    </xf>
    <xf numFmtId="49" fontId="80"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0" fillId="48" borderId="0">
      <alignment horizontal="center" vertical="center"/>
    </xf>
    <xf numFmtId="49" fontId="80" fillId="48" borderId="0">
      <alignment horizontal="center" vertical="center"/>
    </xf>
    <xf numFmtId="174" fontId="80" fillId="48" borderId="0">
      <alignment horizontal="center" vertical="center"/>
    </xf>
    <xf numFmtId="49" fontId="80" fillId="48" borderId="0">
      <alignment horizontal="right"/>
    </xf>
    <xf numFmtId="40" fontId="81" fillId="0" borderId="19">
      <alignment horizontal="right"/>
    </xf>
    <xf numFmtId="0" fontId="82" fillId="0" borderId="0">
      <alignment horizontal="left"/>
    </xf>
    <xf numFmtId="49" fontId="11" fillId="0" borderId="0"/>
    <xf numFmtId="0" fontId="82" fillId="0" borderId="0">
      <alignment horizontal="left"/>
    </xf>
    <xf numFmtId="174" fontId="81" fillId="0" borderId="19">
      <alignment horizontal="right"/>
    </xf>
    <xf numFmtId="49" fontId="81" fillId="0" borderId="0">
      <alignment horizontal="right"/>
    </xf>
    <xf numFmtId="49" fontId="11" fillId="0" borderId="0"/>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1" fillId="49" borderId="0">
      <alignment horizontal="center" vertical="center"/>
    </xf>
    <xf numFmtId="49" fontId="11" fillId="49" borderId="0">
      <alignment horizontal="left" vertical="center"/>
    </xf>
    <xf numFmtId="49" fontId="81" fillId="49" borderId="0">
      <alignment horizontal="center" vertical="center"/>
    </xf>
    <xf numFmtId="0" fontId="81" fillId="50" borderId="0">
      <alignment horizontal="left"/>
    </xf>
    <xf numFmtId="49" fontId="11" fillId="0" borderId="0"/>
    <xf numFmtId="0" fontId="81" fillId="50" borderId="0">
      <alignment horizontal="left"/>
    </xf>
    <xf numFmtId="40" fontId="81" fillId="0" borderId="0">
      <alignment horizontal="right"/>
    </xf>
    <xf numFmtId="49" fontId="80" fillId="48" borderId="0"/>
    <xf numFmtId="49" fontId="80" fillId="48" borderId="0"/>
    <xf numFmtId="49" fontId="11" fillId="0" borderId="0"/>
    <xf numFmtId="0" fontId="83" fillId="51" borderId="0" applyFont="0" applyFill="0">
      <alignment horizontal="left" vertical="top" wrapText="1"/>
    </xf>
    <xf numFmtId="40" fontId="83" fillId="0" borderId="0"/>
    <xf numFmtId="40" fontId="83" fillId="0" borderId="0"/>
    <xf numFmtId="0" fontId="83" fillId="0" borderId="0">
      <alignment horizontal="left"/>
    </xf>
    <xf numFmtId="0" fontId="83" fillId="0" borderId="0">
      <alignment horizontal="center"/>
    </xf>
    <xf numFmtId="0" fontId="84" fillId="0" borderId="0">
      <alignment horizontal="center"/>
    </xf>
    <xf numFmtId="0" fontId="85" fillId="48" borderId="0">
      <alignment horizontal="left"/>
    </xf>
    <xf numFmtId="0" fontId="85" fillId="48" borderId="0">
      <alignment horizontal="left"/>
    </xf>
    <xf numFmtId="0" fontId="84" fillId="0" borderId="0">
      <alignment horizontal="center"/>
    </xf>
    <xf numFmtId="40" fontId="86" fillId="0" borderId="18"/>
    <xf numFmtId="40" fontId="86" fillId="0" borderId="18"/>
    <xf numFmtId="0" fontId="86" fillId="0" borderId="0"/>
    <xf numFmtId="0" fontId="86" fillId="0" borderId="0"/>
    <xf numFmtId="0" fontId="84" fillId="0" borderId="0">
      <alignment horizontal="center"/>
    </xf>
    <xf numFmtId="0" fontId="87" fillId="52" borderId="0">
      <alignment horizontal="left"/>
    </xf>
    <xf numFmtId="0" fontId="87" fillId="52" borderId="0">
      <alignment horizontal="left"/>
    </xf>
    <xf numFmtId="40" fontId="81" fillId="0" borderId="0">
      <alignment horizontal="right"/>
    </xf>
    <xf numFmtId="0" fontId="82" fillId="0" borderId="0">
      <alignment horizontal="left"/>
    </xf>
    <xf numFmtId="49" fontId="11" fillId="0" borderId="0"/>
    <xf numFmtId="0" fontId="82" fillId="0" borderId="0">
      <alignment horizontal="left"/>
    </xf>
    <xf numFmtId="174" fontId="81" fillId="0" borderId="0">
      <alignment horizontal="right"/>
    </xf>
    <xf numFmtId="49" fontId="81" fillId="0" borderId="0" applyBorder="0">
      <alignment horizontal="right"/>
    </xf>
    <xf numFmtId="0" fontId="11" fillId="0" borderId="0"/>
    <xf numFmtId="49" fontId="89" fillId="51" borderId="0">
      <alignment horizontal="left"/>
    </xf>
    <xf numFmtId="49" fontId="89" fillId="51" borderId="0">
      <alignment horizontal="left"/>
    </xf>
    <xf numFmtId="0" fontId="90" fillId="51" borderId="0">
      <alignment horizontal="left"/>
    </xf>
    <xf numFmtId="175" fontId="90" fillId="51" borderId="0">
      <alignment horizontal="left"/>
    </xf>
    <xf numFmtId="40" fontId="81" fillId="0" borderId="0">
      <alignment horizontal="right"/>
    </xf>
    <xf numFmtId="49" fontId="91" fillId="51" borderId="0">
      <alignment horizontal="left"/>
    </xf>
    <xf numFmtId="49" fontId="91" fillId="51" borderId="0">
      <alignment horizontal="left"/>
    </xf>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0" fontId="81" fillId="0" borderId="14">
      <alignment horizontal="right"/>
    </xf>
    <xf numFmtId="0" fontId="81" fillId="50" borderId="0">
      <alignment horizontal="left"/>
    </xf>
    <xf numFmtId="49" fontId="11" fillId="0" borderId="0"/>
    <xf numFmtId="0" fontId="81" fillId="50" borderId="0">
      <alignment horizontal="left"/>
    </xf>
    <xf numFmtId="174" fontId="81" fillId="0" borderId="14">
      <alignment horizontal="right"/>
    </xf>
    <xf numFmtId="49" fontId="81" fillId="0" borderId="0">
      <alignment horizontal="right"/>
    </xf>
    <xf numFmtId="0" fontId="86" fillId="0" borderId="0"/>
    <xf numFmtId="40" fontId="83" fillId="0" borderId="18"/>
    <xf numFmtId="40" fontId="83" fillId="0" borderId="18"/>
    <xf numFmtId="0" fontId="83" fillId="0" borderId="0"/>
    <xf numFmtId="0" fontId="83" fillId="0" borderId="0"/>
    <xf numFmtId="40" fontId="83" fillId="0" borderId="0"/>
    <xf numFmtId="176" fontId="83" fillId="0" borderId="0"/>
    <xf numFmtId="40" fontId="83" fillId="0" borderId="0"/>
    <xf numFmtId="0" fontId="83" fillId="0" borderId="0"/>
    <xf numFmtId="0" fontId="83" fillId="0" borderId="0"/>
    <xf numFmtId="40" fontId="81" fillId="0" borderId="18">
      <alignment horizontal="right"/>
    </xf>
    <xf numFmtId="49" fontId="81" fillId="0" borderId="0">
      <alignment horizontal="left"/>
    </xf>
    <xf numFmtId="49" fontId="11" fillId="0" borderId="0"/>
    <xf numFmtId="49" fontId="81" fillId="0" borderId="0">
      <alignment horizontal="left"/>
    </xf>
    <xf numFmtId="174" fontId="81" fillId="0" borderId="18">
      <alignment horizontal="right"/>
    </xf>
    <xf numFmtId="49" fontId="81"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92"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9" fillId="55" borderId="0" applyNumberFormat="0" applyBorder="0" applyAlignment="0" applyProtection="0"/>
    <xf numFmtId="0" fontId="93" fillId="55" borderId="0" applyNumberFormat="0" applyBorder="0" applyAlignment="0" applyProtection="0"/>
    <xf numFmtId="0" fontId="79" fillId="58" borderId="0" applyNumberFormat="0" applyBorder="0" applyAlignment="0" applyProtection="0"/>
    <xf numFmtId="0" fontId="93" fillId="58" borderId="0" applyNumberFormat="0" applyBorder="0" applyAlignment="0" applyProtection="0"/>
    <xf numFmtId="0" fontId="79" fillId="61" borderId="0" applyNumberFormat="0" applyBorder="0" applyAlignment="0" applyProtection="0"/>
    <xf numFmtId="0" fontId="93" fillId="61" borderId="0" applyNumberFormat="0" applyBorder="0" applyAlignment="0" applyProtection="0"/>
    <xf numFmtId="0" fontId="79" fillId="64" borderId="0" applyNumberFormat="0" applyBorder="0" applyAlignment="0" applyProtection="0"/>
    <xf numFmtId="0" fontId="93" fillId="64" borderId="0" applyNumberFormat="0" applyBorder="0" applyAlignment="0" applyProtection="0"/>
    <xf numFmtId="0" fontId="79" fillId="67" borderId="0" applyNumberFormat="0" applyBorder="0" applyAlignment="0" applyProtection="0"/>
    <xf numFmtId="0" fontId="93" fillId="67" borderId="0" applyNumberFormat="0" applyBorder="0" applyAlignment="0" applyProtection="0"/>
    <xf numFmtId="0" fontId="79" fillId="70" borderId="0" applyNumberFormat="0" applyBorder="0" applyAlignment="0" applyProtection="0"/>
    <xf numFmtId="0" fontId="93" fillId="70"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3" borderId="0" applyNumberFormat="0" applyBorder="0" applyAlignment="0" applyProtection="0"/>
    <xf numFmtId="0" fontId="93" fillId="43"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4" fillId="36" borderId="0" applyNumberFormat="0" applyBorder="0" applyAlignment="0" applyProtection="0"/>
    <xf numFmtId="0" fontId="95" fillId="39" borderId="48" applyNumberFormat="0" applyAlignment="0" applyProtection="0"/>
    <xf numFmtId="0" fontId="96" fillId="40"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7" fillId="0" borderId="0" applyNumberFormat="0" applyFill="0" applyBorder="0" applyAlignment="0" applyProtection="0"/>
    <xf numFmtId="0" fontId="98" fillId="35" borderId="0" applyNumberFormat="0" applyBorder="0" applyAlignment="0" applyProtection="0"/>
    <xf numFmtId="0" fontId="99" fillId="0" borderId="45" applyNumberFormat="0" applyFill="0" applyAlignment="0" applyProtection="0"/>
    <xf numFmtId="0" fontId="100"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1" fillId="0" borderId="47" applyNumberFormat="0" applyFill="0" applyAlignment="0" applyProtection="0"/>
    <xf numFmtId="0" fontId="101" fillId="0" borderId="0" applyNumberFormat="0" applyFill="0" applyBorder="0" applyAlignment="0" applyProtection="0"/>
    <xf numFmtId="0" fontId="102" fillId="38" borderId="48" applyNumberFormat="0" applyAlignment="0" applyProtection="0"/>
    <xf numFmtId="0" fontId="103" fillId="0" borderId="50" applyNumberFormat="0" applyFill="0" applyAlignment="0" applyProtection="0"/>
    <xf numFmtId="0" fontId="104"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2" applyNumberFormat="0" applyFont="0" applyAlignment="0" applyProtection="0"/>
    <xf numFmtId="0" fontId="105" fillId="39" borderId="49" applyNumberFormat="0" applyAlignment="0" applyProtection="0"/>
    <xf numFmtId="9" fontId="6" fillId="0" borderId="0" applyFont="0" applyFill="0" applyBorder="0" applyAlignment="0" applyProtection="0"/>
    <xf numFmtId="0" fontId="106" fillId="0" borderId="0" applyNumberFormat="0" applyFill="0" applyBorder="0" applyAlignment="0" applyProtection="0"/>
    <xf numFmtId="0" fontId="107" fillId="0" borderId="53" applyNumberFormat="0" applyFill="0" applyAlignment="0" applyProtection="0"/>
    <xf numFmtId="0" fontId="108" fillId="0" borderId="0" applyNumberFormat="0" applyFill="0" applyBorder="0" applyAlignment="0" applyProtection="0"/>
    <xf numFmtId="0" fontId="111" fillId="0" borderId="0"/>
    <xf numFmtId="43" fontId="112" fillId="0" borderId="0" applyFont="0" applyFill="0" applyBorder="0" applyAlignment="0" applyProtection="0"/>
    <xf numFmtId="0" fontId="112"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2" fillId="0" borderId="0"/>
    <xf numFmtId="0" fontId="1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1" fillId="0" borderId="0"/>
    <xf numFmtId="43" fontId="111" fillId="0" borderId="0" applyFont="0" applyFill="0" applyBorder="0" applyAlignment="0" applyProtection="0"/>
    <xf numFmtId="0" fontId="111" fillId="0" borderId="0"/>
    <xf numFmtId="0" fontId="123" fillId="0" borderId="0"/>
    <xf numFmtId="0" fontId="33" fillId="0" borderId="0"/>
    <xf numFmtId="0" fontId="123" fillId="0" borderId="0"/>
    <xf numFmtId="43" fontId="111" fillId="0" borderId="0" applyFont="0" applyFill="0" applyBorder="0" applyAlignment="0" applyProtection="0"/>
    <xf numFmtId="0" fontId="111" fillId="0" borderId="0"/>
    <xf numFmtId="0" fontId="111" fillId="0" borderId="0"/>
    <xf numFmtId="0" fontId="111" fillId="0" borderId="0"/>
    <xf numFmtId="0" fontId="124" fillId="0" borderId="0"/>
    <xf numFmtId="0" fontId="124" fillId="0" borderId="0"/>
    <xf numFmtId="0" fontId="125" fillId="0" borderId="0"/>
    <xf numFmtId="0" fontId="124" fillId="0" borderId="0"/>
    <xf numFmtId="0" fontId="123" fillId="0" borderId="0"/>
    <xf numFmtId="0" fontId="124"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3" fillId="0" borderId="0"/>
    <xf numFmtId="0" fontId="123" fillId="0" borderId="0"/>
    <xf numFmtId="0" fontId="124" fillId="0" borderId="0"/>
    <xf numFmtId="0" fontId="123" fillId="0" borderId="0"/>
    <xf numFmtId="0" fontId="123"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3" fillId="0" borderId="0"/>
    <xf numFmtId="0" fontId="125" fillId="0" borderId="0"/>
    <xf numFmtId="0" fontId="123"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1" fillId="0" borderId="0"/>
    <xf numFmtId="43" fontId="111" fillId="0" borderId="0" applyFont="0" applyFill="0" applyBorder="0" applyAlignment="0" applyProtection="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58" fillId="0" borderId="0"/>
    <xf numFmtId="0" fontId="161" fillId="0" borderId="0"/>
    <xf numFmtId="43" fontId="161" fillId="0" borderId="0" applyFont="0" applyFill="0" applyBorder="0" applyAlignment="0" applyProtection="0"/>
    <xf numFmtId="44" fontId="16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75" fillId="0" borderId="0"/>
    <xf numFmtId="0" fontId="175" fillId="0" borderId="0"/>
    <xf numFmtId="0" fontId="175" fillId="0" borderId="0"/>
    <xf numFmtId="0" fontId="175" fillId="0" borderId="0"/>
    <xf numFmtId="0" fontId="175"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5" fillId="0" borderId="0"/>
    <xf numFmtId="0" fontId="175" fillId="0" borderId="0"/>
    <xf numFmtId="0" fontId="175" fillId="0" borderId="0"/>
    <xf numFmtId="0" fontId="33"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7" fillId="0" borderId="0"/>
    <xf numFmtId="0" fontId="177" fillId="0" borderId="0"/>
    <xf numFmtId="0" fontId="177"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5" fillId="0" borderId="0"/>
    <xf numFmtId="0" fontId="175" fillId="0" borderId="0"/>
    <xf numFmtId="0" fontId="175" fillId="0" borderId="0"/>
    <xf numFmtId="0" fontId="175" fillId="0" borderId="0"/>
    <xf numFmtId="0" fontId="175" fillId="0" borderId="0"/>
    <xf numFmtId="0" fontId="33" fillId="0" borderId="0"/>
    <xf numFmtId="0" fontId="175" fillId="0" borderId="0"/>
    <xf numFmtId="0" fontId="176" fillId="0" borderId="0"/>
    <xf numFmtId="0" fontId="175" fillId="0" borderId="0"/>
    <xf numFmtId="0" fontId="175"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7" fillId="0" borderId="0"/>
    <xf numFmtId="0" fontId="177" fillId="0" borderId="0"/>
    <xf numFmtId="0" fontId="177" fillId="0" borderId="0"/>
    <xf numFmtId="0" fontId="177" fillId="0" borderId="0"/>
    <xf numFmtId="0" fontId="177" fillId="0" borderId="0"/>
    <xf numFmtId="0" fontId="33" fillId="0" borderId="0"/>
    <xf numFmtId="0" fontId="177" fillId="0" borderId="0"/>
    <xf numFmtId="0" fontId="177" fillId="0" borderId="0"/>
    <xf numFmtId="0" fontId="177" fillId="0" borderId="0"/>
    <xf numFmtId="0" fontId="19" fillId="0" borderId="0"/>
    <xf numFmtId="0" fontId="11" fillId="0" borderId="0"/>
    <xf numFmtId="0" fontId="176" fillId="0" borderId="0"/>
    <xf numFmtId="0" fontId="176" fillId="5" borderId="7" applyNumberFormat="0" applyFont="0" applyAlignment="0" applyProtection="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5"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6" fillId="0" borderId="0"/>
    <xf numFmtId="0" fontId="177"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6" fillId="0" borderId="0"/>
    <xf numFmtId="0" fontId="175" fillId="0" borderId="0"/>
    <xf numFmtId="0" fontId="175"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11" fillId="0" borderId="0"/>
    <xf numFmtId="0" fontId="11" fillId="0" borderId="0"/>
    <xf numFmtId="0" fontId="19" fillId="0" borderId="0"/>
    <xf numFmtId="0" fontId="19" fillId="0" borderId="0"/>
    <xf numFmtId="0" fontId="11" fillId="0" borderId="0"/>
    <xf numFmtId="0" fontId="21" fillId="0" borderId="0"/>
    <xf numFmtId="44" fontId="33" fillId="0" borderId="0" applyFont="0" applyFill="0" applyBorder="0" applyAlignment="0" applyProtection="0"/>
    <xf numFmtId="0" fontId="19" fillId="0" borderId="0"/>
    <xf numFmtId="44" fontId="33" fillId="0" borderId="0" applyFont="0" applyFill="0" applyBorder="0" applyAlignment="0" applyProtection="0"/>
    <xf numFmtId="0" fontId="11"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9" fillId="0" borderId="0"/>
    <xf numFmtId="0" fontId="11" fillId="0" borderId="0"/>
    <xf numFmtId="0" fontId="19" fillId="0" borderId="0"/>
    <xf numFmtId="0" fontId="11" fillId="0" borderId="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78" fillId="0" borderId="0"/>
  </cellStyleXfs>
  <cellXfs count="777">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61"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56" fillId="22" borderId="24" xfId="0" applyNumberFormat="1" applyFont="1" applyFill="1" applyBorder="1" applyAlignment="1" applyProtection="1">
      <alignment horizontal="left" vertical="center" wrapText="1"/>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0" fillId="32" borderId="22" xfId="0" applyFont="1" applyFill="1" applyBorder="1" applyAlignment="1" applyProtection="1">
      <alignment vertical="center" wrapText="1"/>
    </xf>
    <xf numFmtId="0" fontId="39" fillId="32" borderId="41" xfId="0" applyNumberFormat="1" applyFont="1" applyFill="1" applyBorder="1" applyAlignment="1" applyProtection="1">
      <alignment horizontal="center" vertical="center"/>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177" fontId="56" fillId="73" borderId="22"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0" fontId="0" fillId="0" borderId="0" xfId="0" applyAlignment="1">
      <alignment horizontal="center"/>
    </xf>
    <xf numFmtId="0" fontId="0" fillId="0" borderId="59" xfId="0" applyNumberFormat="1" applyFont="1" applyFill="1" applyBorder="1" applyAlignment="1">
      <alignment horizontal="center"/>
    </xf>
    <xf numFmtId="0" fontId="79" fillId="0" borderId="0" xfId="0" applyFont="1" applyAlignment="1">
      <alignment horizontal="center"/>
    </xf>
    <xf numFmtId="0" fontId="39" fillId="0" borderId="23" xfId="0" applyFont="1" applyBorder="1" applyAlignment="1">
      <alignment horizontal="center" vertical="center"/>
    </xf>
    <xf numFmtId="0" fontId="39" fillId="72" borderId="62" xfId="0" applyNumberFormat="1" applyFont="1" applyFill="1" applyBorder="1" applyAlignment="1" applyProtection="1">
      <alignment horizontal="center" vertical="center"/>
    </xf>
    <xf numFmtId="0" fontId="0" fillId="71" borderId="0" xfId="0" applyFill="1"/>
    <xf numFmtId="0" fontId="115" fillId="71" borderId="0" xfId="0" applyFont="1" applyFill="1" applyAlignment="1">
      <alignment vertical="center" wrapText="1"/>
    </xf>
    <xf numFmtId="0" fontId="46" fillId="71" borderId="0" xfId="0" applyFont="1" applyFill="1" applyAlignment="1">
      <alignment horizontal="justify" vertical="center"/>
    </xf>
    <xf numFmtId="0" fontId="120" fillId="75"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41" fillId="30" borderId="64" xfId="0" applyFont="1" applyFill="1" applyBorder="1" applyAlignment="1">
      <alignment wrapText="1"/>
    </xf>
    <xf numFmtId="14" fontId="41" fillId="30" borderId="64" xfId="0" applyNumberFormat="1" applyFont="1" applyFill="1" applyBorder="1" applyAlignment="1">
      <alignment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6" fillId="71" borderId="0" xfId="0" applyFont="1" applyFill="1" applyAlignment="1">
      <alignment horizontal="left" vertical="center" wrapText="1"/>
    </xf>
    <xf numFmtId="0" fontId="33" fillId="71" borderId="0" xfId="30097" applyFill="1"/>
    <xf numFmtId="0" fontId="119" fillId="75" borderId="0" xfId="30097" applyFont="1" applyFill="1" applyAlignment="1">
      <alignment horizontal="center" vertical="center" wrapText="1"/>
    </xf>
    <xf numFmtId="0" fontId="115" fillId="71" borderId="0" xfId="30097" applyFont="1" applyFill="1" applyAlignment="1">
      <alignment vertical="center" wrapText="1"/>
    </xf>
    <xf numFmtId="0" fontId="46" fillId="71" borderId="0" xfId="30097" applyFont="1" applyFill="1" applyAlignment="1">
      <alignment vertical="center" wrapText="1"/>
    </xf>
    <xf numFmtId="0" fontId="120" fillId="75" borderId="0" xfId="30097"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0" fillId="32"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56" fillId="32"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2"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2"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0" fontId="39" fillId="32" borderId="24" xfId="0" applyNumberFormat="1" applyFont="1" applyFill="1" applyBorder="1" applyAlignment="1" applyProtection="1">
      <alignment horizontal="center" vertical="center"/>
    </xf>
    <xf numFmtId="0" fontId="56" fillId="76" borderId="24" xfId="0" applyNumberFormat="1" applyFont="1" applyFill="1" applyBorder="1" applyAlignment="1" applyProtection="1">
      <alignment horizontal="left" vertical="center" wrapText="1"/>
    </xf>
    <xf numFmtId="0" fontId="56" fillId="76" borderId="22" xfId="0" applyNumberFormat="1" applyFont="1" applyFill="1" applyBorder="1" applyAlignment="1" applyProtection="1">
      <alignment horizontal="left" vertical="center" wrapText="1"/>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0" fontId="41" fillId="76" borderId="0" xfId="0" applyFont="1" applyFill="1" applyBorder="1" applyAlignment="1">
      <alignment wrapText="1"/>
    </xf>
    <xf numFmtId="0" fontId="39" fillId="76" borderId="62"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0" fontId="0" fillId="76" borderId="10" xfId="0" applyFont="1" applyFill="1" applyBorder="1" applyAlignment="1">
      <alignment vertical="center" wrapText="1"/>
    </xf>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0" fontId="0" fillId="0" borderId="43"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2" borderId="24" xfId="0" applyNumberFormat="1" applyFont="1" applyFill="1" applyBorder="1" applyAlignment="1" applyProtection="1">
      <alignment horizontal="left" vertical="center" wrapText="1"/>
    </xf>
    <xf numFmtId="0" fontId="0" fillId="32" borderId="22" xfId="0" applyNumberFormat="1" applyFont="1" applyFill="1" applyBorder="1" applyAlignment="1" applyProtection="1">
      <alignment horizontal="left" vertical="center" wrapText="1"/>
    </xf>
    <xf numFmtId="37" fontId="0" fillId="32" borderId="28"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8" fillId="74" borderId="61" xfId="1561" applyNumberFormat="1" applyFont="1" applyFill="1" applyBorder="1" applyAlignment="1">
      <alignment horizontal="center" vertical="center" wrapText="1"/>
    </xf>
    <xf numFmtId="0" fontId="128" fillId="76" borderId="0" xfId="0" applyFont="1" applyFill="1" applyAlignment="1" applyProtection="1">
      <alignment horizontal="left" vertical="center" wrapText="1"/>
    </xf>
    <xf numFmtId="164" fontId="0" fillId="76" borderId="22" xfId="439" applyNumberFormat="1" applyFont="1" applyFill="1" applyBorder="1" applyAlignment="1" applyProtection="1">
      <alignment horizontal="center" vertical="center" wrapText="1"/>
    </xf>
    <xf numFmtId="0" fontId="0" fillId="76" borderId="23" xfId="0" quotePrefix="1"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3" xfId="439" applyNumberFormat="1" applyFont="1" applyFill="1" applyBorder="1" applyAlignment="1" applyProtection="1">
      <alignment horizontal="center" vertical="center"/>
    </xf>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41" fontId="0" fillId="76" borderId="0" xfId="0" applyNumberFormat="1" applyFont="1" applyFill="1" applyBorder="1" applyAlignment="1">
      <alignment horizontal="center" vertical="center" wrapText="1"/>
    </xf>
    <xf numFmtId="14" fontId="0" fillId="76" borderId="62"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7" fillId="28" borderId="0" xfId="439" applyNumberFormat="1" applyFont="1" applyFill="1" applyAlignment="1" applyProtection="1">
      <alignment wrapText="1"/>
    </xf>
    <xf numFmtId="41" fontId="68" fillId="0" borderId="0" xfId="0" applyNumberFormat="1" applyFont="1" applyFill="1" applyAlignment="1" applyProtection="1">
      <alignment wrapText="1"/>
    </xf>
    <xf numFmtId="0" fontId="0" fillId="0" borderId="0" xfId="0" applyFont="1" applyFill="1" applyAlignment="1" applyProtection="1">
      <alignment wrapText="1"/>
      <protection locked="0"/>
    </xf>
    <xf numFmtId="164" fontId="0" fillId="0" borderId="0" xfId="0" applyNumberFormat="1" applyFont="1" applyFill="1" applyAlignment="1" applyProtection="1">
      <alignment wrapText="1"/>
      <protection locked="0"/>
    </xf>
    <xf numFmtId="0" fontId="0" fillId="0" borderId="43" xfId="0" applyFont="1" applyFill="1" applyBorder="1" applyAlignment="1" applyProtection="1">
      <alignment wrapText="1"/>
      <protection locked="0"/>
    </xf>
    <xf numFmtId="41" fontId="67" fillId="0" borderId="0" xfId="439" applyNumberFormat="1" applyFont="1" applyFill="1" applyAlignment="1" applyProtection="1">
      <alignment wrapText="1"/>
    </xf>
    <xf numFmtId="41" fontId="67" fillId="0" borderId="0" xfId="0" applyNumberFormat="1" applyFont="1" applyFill="1" applyAlignment="1" applyProtection="1">
      <alignment wrapText="1"/>
    </xf>
    <xf numFmtId="164" fontId="0" fillId="0" borderId="43"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31" borderId="0" xfId="0" applyFont="1" applyFill="1" applyProtection="1"/>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41" fontId="67"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2" fillId="0" borderId="0" xfId="0" applyNumberFormat="1" applyFont="1" applyFill="1" applyAlignment="1" applyProtection="1">
      <alignment horizontal="left" vertical="center" wrapText="1"/>
    </xf>
    <xf numFmtId="0" fontId="39" fillId="0" borderId="0" xfId="0" applyFont="1" applyFill="1" applyAlignment="1" applyProtection="1">
      <alignment horizontal="center" vertical="center"/>
    </xf>
    <xf numFmtId="0" fontId="0" fillId="72" borderId="0" xfId="0" applyNumberFormat="1" applyFont="1" applyFill="1" applyAlignment="1" applyProtection="1">
      <alignment horizontal="left" vertical="center" wrapText="1"/>
    </xf>
    <xf numFmtId="37" fontId="0" fillId="72" borderId="0" xfId="439" applyNumberFormat="1" applyFont="1" applyFill="1" applyAlignment="1" applyProtection="1">
      <alignment horizontal="center" vertical="center"/>
      <protection locked="0"/>
    </xf>
    <xf numFmtId="41" fontId="67" fillId="72" borderId="0" xfId="439" applyNumberFormat="1" applyFont="1" applyFill="1" applyAlignment="1" applyProtection="1">
      <alignment wrapText="1"/>
    </xf>
    <xf numFmtId="0" fontId="39"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horizontal="center" vertical="center"/>
      <protection locked="0"/>
    </xf>
    <xf numFmtId="41" fontId="68" fillId="72" borderId="0" xfId="439" applyNumberFormat="1" applyFont="1" applyFill="1" applyAlignment="1" applyProtection="1">
      <alignment wrapText="1"/>
    </xf>
    <xf numFmtId="0" fontId="57" fillId="72" borderId="0" xfId="0" applyFont="1" applyFill="1" applyAlignment="1" applyProtection="1">
      <alignment horizontal="left" vertical="center"/>
    </xf>
    <xf numFmtId="0" fontId="44" fillId="72" borderId="0" xfId="0" applyFont="1" applyFill="1" applyAlignment="1" applyProtection="1">
      <alignment horizontal="left" vertical="center"/>
    </xf>
    <xf numFmtId="0" fontId="0" fillId="72" borderId="0" xfId="0" applyNumberFormat="1" applyFont="1" applyFill="1" applyAlignment="1" applyProtection="1">
      <alignment wrapText="1"/>
    </xf>
    <xf numFmtId="0" fontId="0" fillId="72" borderId="0" xfId="0" applyFont="1" applyFill="1" applyAlignment="1" applyProtection="1">
      <alignment vertical="center"/>
    </xf>
    <xf numFmtId="164" fontId="0" fillId="72" borderId="0" xfId="0" applyNumberFormat="1" applyFont="1" applyFill="1" applyAlignment="1" applyProtection="1">
      <alignment vertical="center"/>
    </xf>
    <xf numFmtId="164" fontId="39" fillId="72" borderId="0" xfId="439" applyNumberFormat="1" applyFont="1" applyFill="1" applyAlignment="1" applyProtection="1">
      <alignment horizontal="center" vertical="center"/>
      <protection locked="0"/>
    </xf>
    <xf numFmtId="41" fontId="68" fillId="72" borderId="0" xfId="0" applyNumberFormat="1" applyFont="1" applyFill="1" applyAlignment="1" applyProtection="1">
      <alignment wrapText="1"/>
    </xf>
    <xf numFmtId="0" fontId="39" fillId="72" borderId="0" xfId="0" applyFont="1" applyFill="1" applyAlignment="1" applyProtection="1">
      <alignment horizontal="left" vertical="center"/>
    </xf>
    <xf numFmtId="0" fontId="0" fillId="72" borderId="0" xfId="0" applyFont="1" applyFill="1" applyAlignment="1" applyProtection="1">
      <alignment horizontal="left" vertical="center"/>
    </xf>
    <xf numFmtId="3" fontId="39" fillId="72" borderId="0" xfId="439" applyNumberFormat="1" applyFont="1" applyFill="1" applyAlignment="1" applyProtection="1">
      <alignment horizontal="center" vertical="center"/>
      <protection locked="0"/>
    </xf>
    <xf numFmtId="38" fontId="44" fillId="72" borderId="0" xfId="439" applyNumberFormat="1" applyFont="1" applyFill="1" applyAlignment="1" applyProtection="1">
      <alignment horizontal="center" vertical="center" wrapText="1"/>
    </xf>
    <xf numFmtId="164" fontId="0" fillId="72" borderId="0" xfId="439" applyNumberFormat="1" applyFont="1" applyFill="1" applyAlignment="1" applyProtection="1">
      <alignment horizontal="center" vertical="center"/>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40" fillId="72" borderId="0" xfId="0" applyFont="1" applyFill="1" applyAlignment="1" applyProtection="1">
      <alignment horizontal="left" vertical="center"/>
    </xf>
    <xf numFmtId="0" fontId="79" fillId="72" borderId="0" xfId="0" applyFont="1" applyFill="1" applyAlignment="1" applyProtection="1">
      <alignment vertical="center"/>
    </xf>
    <xf numFmtId="0" fontId="141" fillId="72" borderId="0" xfId="0" applyFont="1" applyFill="1" applyAlignment="1" applyProtection="1">
      <alignment vertical="center"/>
      <protection locked="0"/>
    </xf>
    <xf numFmtId="0" fontId="57" fillId="72" borderId="0" xfId="0" applyFont="1" applyFill="1" applyAlignment="1">
      <alignment vertical="center" wrapText="1"/>
    </xf>
    <xf numFmtId="41" fontId="142" fillId="0" borderId="0" xfId="0" applyNumberFormat="1" applyFont="1" applyFill="1" applyAlignment="1" applyProtection="1">
      <alignment wrapText="1"/>
    </xf>
    <xf numFmtId="0" fontId="57" fillId="72"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68" xfId="0" applyBorder="1"/>
    <xf numFmtId="0" fontId="0" fillId="0" borderId="78" xfId="0" applyBorder="1"/>
    <xf numFmtId="0" fontId="0" fillId="0" borderId="0" xfId="0" applyAlignment="1">
      <alignment horizontal="center" wrapText="1"/>
    </xf>
    <xf numFmtId="0" fontId="0" fillId="76" borderId="66" xfId="0" applyFill="1" applyBorder="1" applyAlignment="1">
      <alignment horizontal="left" vertical="center" wrapText="1"/>
    </xf>
    <xf numFmtId="0" fontId="39" fillId="0" borderId="55" xfId="0" applyFont="1" applyBorder="1" applyAlignment="1">
      <alignment horizontal="center"/>
    </xf>
    <xf numFmtId="0" fontId="39" fillId="76" borderId="65" xfId="0" applyFont="1" applyFill="1" applyBorder="1" applyAlignment="1">
      <alignment horizontal="center"/>
    </xf>
    <xf numFmtId="0" fontId="0" fillId="76" borderId="55" xfId="0" applyFill="1" applyBorder="1"/>
    <xf numFmtId="0" fontId="0" fillId="76" borderId="55" xfId="0" applyFill="1" applyBorder="1" applyAlignment="1">
      <alignment horizontal="center"/>
    </xf>
    <xf numFmtId="0" fontId="0" fillId="0" borderId="71" xfId="0" applyBorder="1"/>
    <xf numFmtId="0" fontId="0" fillId="0" borderId="76" xfId="0" applyBorder="1"/>
    <xf numFmtId="0" fontId="37" fillId="76" borderId="55" xfId="0" applyFont="1" applyFill="1" applyBorder="1" applyAlignment="1">
      <alignment vertical="center" wrapText="1"/>
    </xf>
    <xf numFmtId="0" fontId="0" fillId="76" borderId="55" xfId="0" applyFill="1" applyBorder="1" applyAlignment="1">
      <alignment vertical="center"/>
    </xf>
    <xf numFmtId="0" fontId="37" fillId="76" borderId="55" xfId="0" applyFont="1" applyFill="1" applyBorder="1" applyAlignment="1">
      <alignment horizontal="justify" vertical="center"/>
    </xf>
    <xf numFmtId="0" fontId="45" fillId="76" borderId="13" xfId="0" applyFont="1" applyFill="1" applyBorder="1" applyAlignment="1">
      <alignment vertical="center" wrapText="1"/>
    </xf>
    <xf numFmtId="0" fontId="40" fillId="76" borderId="13" xfId="0" applyFont="1" applyFill="1" applyBorder="1" applyAlignment="1">
      <alignment horizontal="center" vertical="center"/>
    </xf>
    <xf numFmtId="0" fontId="45" fillId="76" borderId="13" xfId="0" applyFont="1" applyFill="1" applyBorder="1" applyAlignment="1">
      <alignment vertical="center"/>
    </xf>
    <xf numFmtId="0" fontId="0" fillId="0" borderId="55"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8" fillId="0" borderId="0" xfId="439" applyNumberFormat="1" applyFont="1" applyFill="1" applyAlignment="1" applyProtection="1">
      <alignment horizontal="center" vertical="center" wrapText="1"/>
      <protection locked="0"/>
    </xf>
    <xf numFmtId="0" fontId="146" fillId="75" borderId="55" xfId="0" applyFont="1" applyFill="1" applyBorder="1" applyAlignment="1">
      <alignment horizontal="center" vertical="center" wrapText="1"/>
    </xf>
    <xf numFmtId="0" fontId="143" fillId="0" borderId="0" xfId="0" applyFont="1"/>
    <xf numFmtId="0" fontId="147" fillId="71" borderId="0" xfId="0" applyFont="1" applyFill="1" applyAlignment="1">
      <alignment horizontal="justify" vertical="center"/>
    </xf>
    <xf numFmtId="0" fontId="147" fillId="71" borderId="0" xfId="0" applyFont="1" applyFill="1" applyAlignment="1">
      <alignment vertical="center"/>
    </xf>
    <xf numFmtId="0" fontId="0" fillId="0" borderId="0" xfId="0" applyAlignment="1">
      <alignment vertical="center"/>
    </xf>
    <xf numFmtId="0" fontId="147" fillId="71" borderId="0" xfId="0" applyFont="1" applyFill="1" applyAlignment="1">
      <alignment vertical="center" wrapText="1"/>
    </xf>
    <xf numFmtId="0" fontId="151" fillId="71" borderId="0" xfId="611" applyFont="1" applyFill="1" applyAlignment="1">
      <alignment vertical="center"/>
    </xf>
    <xf numFmtId="0" fontId="152" fillId="71" borderId="0" xfId="0" applyFont="1" applyFill="1" applyAlignment="1">
      <alignment vertical="center"/>
    </xf>
    <xf numFmtId="0" fontId="153" fillId="71" borderId="0" xfId="611" applyFont="1" applyFill="1" applyAlignment="1" applyProtection="1">
      <alignment vertical="center"/>
      <protection locked="0"/>
    </xf>
    <xf numFmtId="0" fontId="152" fillId="71" borderId="0" xfId="0" applyFont="1" applyFill="1"/>
    <xf numFmtId="0" fontId="153" fillId="71" borderId="0" xfId="611" applyFont="1" applyFill="1" applyProtection="1">
      <protection locked="0"/>
    </xf>
    <xf numFmtId="0" fontId="115" fillId="71" borderId="0" xfId="30097" quotePrefix="1" applyFont="1" applyFill="1" applyAlignment="1">
      <alignment horizontal="left" vertical="center" wrapText="1" indent="1"/>
    </xf>
    <xf numFmtId="0" fontId="156" fillId="71" borderId="0" xfId="30097" applyFont="1" applyFill="1" applyAlignment="1">
      <alignment vertical="center" wrapText="1"/>
    </xf>
    <xf numFmtId="0" fontId="35" fillId="0" borderId="0" xfId="611"/>
    <xf numFmtId="0" fontId="147" fillId="71" borderId="0" xfId="30097" applyFont="1" applyFill="1" applyAlignment="1">
      <alignment vertical="center" wrapText="1"/>
    </xf>
    <xf numFmtId="0" fontId="153"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3" fontId="0" fillId="32"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8" borderId="0" xfId="0" applyFill="1" applyAlignment="1">
      <alignment horizontal="center"/>
    </xf>
    <xf numFmtId="0" fontId="0" fillId="78" borderId="0" xfId="0" applyFill="1"/>
    <xf numFmtId="0" fontId="0" fillId="78" borderId="0" xfId="0" applyNumberFormat="1" applyFont="1" applyFill="1" applyAlignment="1" applyProtection="1">
      <alignment horizontal="center" vertical="center"/>
    </xf>
    <xf numFmtId="0" fontId="0" fillId="26" borderId="0" xfId="0" applyFill="1" applyAlignment="1">
      <alignment horizontal="center"/>
    </xf>
    <xf numFmtId="0" fontId="0" fillId="26"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4" fontId="0" fillId="0" borderId="0" xfId="0" applyNumberFormat="1" applyFont="1" applyProtection="1"/>
    <xf numFmtId="179" fontId="41" fillId="30" borderId="64" xfId="0" applyNumberFormat="1" applyFont="1" applyFill="1" applyBorder="1" applyAlignment="1">
      <alignment wrapText="1"/>
    </xf>
    <xf numFmtId="179"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5" xfId="0" applyBorder="1"/>
    <xf numFmtId="0" fontId="39" fillId="76" borderId="80" xfId="0" applyFont="1" applyFill="1" applyBorder="1" applyAlignment="1">
      <alignment horizontal="left"/>
    </xf>
    <xf numFmtId="0" fontId="0" fillId="76" borderId="81" xfId="0" applyFill="1" applyBorder="1"/>
    <xf numFmtId="0" fontId="0" fillId="76" borderId="87" xfId="0" applyFill="1" applyBorder="1"/>
    <xf numFmtId="0" fontId="0" fillId="0" borderId="79" xfId="0" applyBorder="1"/>
    <xf numFmtId="0" fontId="145" fillId="0" borderId="66" xfId="0" applyFont="1" applyBorder="1" applyAlignment="1">
      <alignment horizontal="center" vertical="center" wrapText="1"/>
    </xf>
    <xf numFmtId="0" fontId="0" fillId="0" borderId="66" xfId="0" applyBorder="1"/>
    <xf numFmtId="0" fontId="145" fillId="0" borderId="13" xfId="0" applyFont="1" applyBorder="1" applyAlignment="1">
      <alignment horizontal="center" vertical="center" wrapText="1"/>
    </xf>
    <xf numFmtId="0" fontId="39" fillId="0" borderId="55" xfId="0" quotePrefix="1" applyFont="1" applyBorder="1" applyAlignment="1">
      <alignment horizontal="center" vertical="center"/>
    </xf>
    <xf numFmtId="0" fontId="37" fillId="76" borderId="66" xfId="0" applyFont="1" applyFill="1" applyBorder="1" applyAlignment="1">
      <alignment vertical="center" wrapText="1"/>
    </xf>
    <xf numFmtId="0" fontId="0" fillId="76" borderId="66" xfId="0" applyFill="1" applyBorder="1" applyAlignment="1">
      <alignment vertical="center" wrapText="1"/>
    </xf>
    <xf numFmtId="37" fontId="0" fillId="0" borderId="55" xfId="0" applyNumberFormat="1" applyBorder="1" applyAlignment="1">
      <alignment horizontal="center" vertical="center" wrapText="1"/>
    </xf>
    <xf numFmtId="0" fontId="39" fillId="76" borderId="55" xfId="0" applyFont="1" applyFill="1" applyBorder="1" applyAlignment="1">
      <alignment horizontal="center" wrapText="1"/>
    </xf>
    <xf numFmtId="0" fontId="0" fillId="76" borderId="80" xfId="0" applyFill="1" applyBorder="1"/>
    <xf numFmtId="49" fontId="39" fillId="0" borderId="55" xfId="0" quotePrefix="1" applyNumberFormat="1" applyFont="1" applyBorder="1" applyAlignment="1">
      <alignment horizontal="center" vertical="center"/>
    </xf>
    <xf numFmtId="0" fontId="39" fillId="0" borderId="55" xfId="0" applyFont="1" applyBorder="1" applyAlignment="1">
      <alignment horizontal="center" vertical="center"/>
    </xf>
    <xf numFmtId="0" fontId="44" fillId="1" borderId="55" xfId="0" applyFont="1" applyFill="1" applyBorder="1" applyAlignment="1">
      <alignment horizontal="center" vertical="center" wrapText="1"/>
    </xf>
    <xf numFmtId="0" fontId="39" fillId="0" borderId="76" xfId="0" applyFont="1" applyBorder="1" applyAlignment="1">
      <alignment horizontal="center" vertical="center"/>
    </xf>
    <xf numFmtId="178" fontId="0" fillId="0" borderId="0" xfId="0" applyNumberFormat="1"/>
    <xf numFmtId="0" fontId="0" fillId="76" borderId="11" xfId="0" applyFill="1" applyBorder="1" applyAlignment="1">
      <alignment horizontal="center"/>
    </xf>
    <xf numFmtId="0" fontId="44" fillId="0" borderId="83" xfId="0" applyFont="1" applyBorder="1"/>
    <xf numFmtId="0" fontId="44" fillId="0" borderId="0" xfId="0" applyFont="1"/>
    <xf numFmtId="0" fontId="44" fillId="0" borderId="67" xfId="0" applyFont="1" applyBorder="1"/>
    <xf numFmtId="0" fontId="44" fillId="0" borderId="68" xfId="0" applyFont="1" applyBorder="1"/>
    <xf numFmtId="0" fontId="159" fillId="0" borderId="0" xfId="0" applyFont="1" applyAlignment="1">
      <alignment vertical="center" wrapText="1"/>
    </xf>
    <xf numFmtId="0" fontId="44" fillId="0" borderId="77" xfId="0" applyFont="1" applyBorder="1" applyAlignment="1">
      <alignment wrapText="1"/>
    </xf>
    <xf numFmtId="1" fontId="44" fillId="0" borderId="0" xfId="0" applyNumberFormat="1" applyFont="1"/>
    <xf numFmtId="0" fontId="44" fillId="0" borderId="75"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7" applyFont="1" applyFill="1" applyBorder="1"/>
    <xf numFmtId="10" fontId="44" fillId="0" borderId="67" xfId="0" applyNumberFormat="1" applyFont="1" applyBorder="1"/>
    <xf numFmtId="0" fontId="57" fillId="0" borderId="0" xfId="0" applyFont="1" applyAlignment="1">
      <alignment vertical="center"/>
    </xf>
    <xf numFmtId="0" fontId="44" fillId="0" borderId="78" xfId="0" applyFont="1" applyBorder="1"/>
    <xf numFmtId="0" fontId="0" fillId="0" borderId="0" xfId="0" applyFill="1" applyAlignment="1">
      <alignment horizontal="left" vertical="center"/>
    </xf>
    <xf numFmtId="0" fontId="0" fillId="0" borderId="0" xfId="0" applyFill="1" applyAlignment="1">
      <alignment wrapText="1"/>
    </xf>
    <xf numFmtId="0" fontId="160" fillId="0" borderId="0" xfId="0" applyFont="1" applyFill="1" applyAlignment="1">
      <alignment horizontal="left" vertical="center"/>
    </xf>
    <xf numFmtId="0" fontId="79" fillId="0" borderId="39" xfId="0" applyFont="1" applyFill="1" applyBorder="1"/>
    <xf numFmtId="0" fontId="0" fillId="32" borderId="10" xfId="0" applyFill="1" applyBorder="1" applyAlignment="1">
      <alignment horizontal="center" vertical="center"/>
    </xf>
    <xf numFmtId="0" fontId="0" fillId="32" borderId="10" xfId="0" applyFill="1" applyBorder="1" applyAlignment="1">
      <alignment vertical="center" wrapText="1"/>
    </xf>
    <xf numFmtId="0" fontId="0" fillId="32" borderId="0" xfId="0" applyFill="1" applyAlignment="1">
      <alignment vertical="center" wrapText="1"/>
    </xf>
    <xf numFmtId="38" fontId="44" fillId="32" borderId="0" xfId="439" applyNumberFormat="1" applyFont="1" applyFill="1" applyAlignment="1" applyProtection="1">
      <alignment horizontal="center" vertical="center" wrapText="1"/>
    </xf>
    <xf numFmtId="0" fontId="79" fillId="0" borderId="39" xfId="0" applyFont="1"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4" borderId="0" xfId="0" applyNumberFormat="1" applyFont="1" applyFill="1" applyAlignment="1" applyProtection="1">
      <alignment horizontal="center"/>
    </xf>
    <xf numFmtId="164" fontId="56" fillId="34" borderId="22" xfId="439" applyNumberFormat="1" applyFont="1" applyFill="1" applyBorder="1" applyAlignment="1" applyProtection="1">
      <alignment horizontal="center" vertical="center" wrapText="1"/>
      <protection locked="0"/>
    </xf>
    <xf numFmtId="0" fontId="44" fillId="0" borderId="43"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14" fontId="56" fillId="34" borderId="22" xfId="439"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xf>
    <xf numFmtId="164" fontId="0" fillId="0" borderId="0" xfId="0" applyNumberFormat="1" applyFont="1" applyFill="1" applyBorder="1" applyAlignment="1" applyProtection="1">
      <alignment wrapText="1"/>
      <protection locked="0"/>
    </xf>
    <xf numFmtId="0" fontId="39" fillId="72" borderId="0" xfId="0" applyFont="1" applyFill="1" applyAlignment="1">
      <alignment vertical="center" wrapText="1"/>
    </xf>
    <xf numFmtId="1" fontId="0" fillId="0" borderId="0" xfId="0" applyNumberFormat="1" applyAlignment="1">
      <alignment horizontal="center" vertical="center"/>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32" borderId="0" xfId="0" applyFont="1" applyFill="1" applyAlignment="1" applyProtection="1">
      <alignment horizontal="center" vertical="center"/>
    </xf>
    <xf numFmtId="172" fontId="39" fillId="72" borderId="0" xfId="439" applyNumberFormat="1" applyFont="1" applyFill="1" applyAlignment="1" applyProtection="1">
      <alignment horizontal="center" vertical="center"/>
      <protection locked="0"/>
    </xf>
    <xf numFmtId="1" fontId="0" fillId="0" borderId="24" xfId="0" applyNumberFormat="1" applyFont="1" applyFill="1" applyBorder="1" applyAlignment="1" applyProtection="1">
      <alignment horizontal="left" vertical="center" wrapText="1"/>
    </xf>
    <xf numFmtId="1" fontId="0" fillId="0" borderId="24" xfId="0" applyNumberFormat="1" applyFont="1" applyFill="1" applyBorder="1" applyAlignment="1" applyProtection="1">
      <alignment horizontal="center" vertical="center" wrapText="1"/>
    </xf>
    <xf numFmtId="0" fontId="39" fillId="0" borderId="35" xfId="0" applyFont="1" applyFill="1" applyBorder="1" applyAlignment="1">
      <alignment horizontal="center" vertical="center"/>
    </xf>
    <xf numFmtId="0" fontId="39" fillId="0" borderId="36" xfId="0" applyFont="1" applyFill="1" applyBorder="1" applyAlignment="1">
      <alignment horizontal="center" vertical="center"/>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10" xfId="0" applyFill="1" applyBorder="1"/>
    <xf numFmtId="0" fontId="39" fillId="0" borderId="10" xfId="0" applyFont="1" applyFill="1" applyBorder="1" applyAlignment="1">
      <alignment horizontal="left" vertical="center"/>
    </xf>
    <xf numFmtId="0" fontId="0" fillId="76" borderId="25" xfId="0" applyFont="1" applyFill="1" applyBorder="1" applyAlignment="1" applyProtection="1">
      <alignment vertical="center" wrapText="1"/>
    </xf>
    <xf numFmtId="0" fontId="39" fillId="0" borderId="41" xfId="0" applyFont="1" applyBorder="1" applyAlignment="1">
      <alignment horizontal="center" vertical="center"/>
    </xf>
    <xf numFmtId="0" fontId="0" fillId="0" borderId="43" xfId="0" applyNumberFormat="1" applyFont="1" applyFill="1" applyBorder="1" applyAlignment="1" applyProtection="1">
      <alignment horizontal="center" vertical="center" wrapText="1"/>
    </xf>
    <xf numFmtId="41" fontId="68" fillId="0" borderId="0" xfId="0" applyNumberFormat="1" applyFont="1" applyFill="1" applyAlignment="1" applyProtection="1">
      <alignment vertical="center" wrapText="1"/>
    </xf>
    <xf numFmtId="4" fontId="0" fillId="0" borderId="0" xfId="0" applyNumberFormat="1" applyAlignment="1">
      <alignment horizontal="right"/>
    </xf>
    <xf numFmtId="0" fontId="60" fillId="0" borderId="0" xfId="0" applyNumberFormat="1" applyFont="1" applyFill="1" applyBorder="1" applyAlignment="1" applyProtection="1">
      <alignment horizontal="left" vertical="center" wrapText="1"/>
    </xf>
    <xf numFmtId="0" fontId="0" fillId="0" borderId="0" xfId="0" applyFont="1" applyFill="1" applyBorder="1" applyAlignment="1" applyProtection="1">
      <alignment wrapText="1"/>
      <protection locked="0"/>
    </xf>
    <xf numFmtId="164" fontId="56" fillId="0" borderId="0" xfId="439" applyNumberFormat="1" applyFont="1" applyFill="1" applyBorder="1" applyAlignment="1" applyProtection="1">
      <alignment horizontal="center" vertical="center" wrapText="1"/>
    </xf>
    <xf numFmtId="39" fontId="56"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0" fillId="0" borderId="0" xfId="0" applyFont="1" applyFill="1" applyBorder="1" applyAlignment="1" applyProtection="1">
      <alignment horizontal="center" vertical="center"/>
    </xf>
    <xf numFmtId="0" fontId="0" fillId="0" borderId="43" xfId="0" applyBorder="1" applyAlignment="1">
      <alignment vertical="center" wrapText="1"/>
    </xf>
    <xf numFmtId="0" fontId="49" fillId="76" borderId="66" xfId="0" applyFont="1" applyFill="1" applyBorder="1" applyAlignment="1">
      <alignment horizontal="center" wrapText="1"/>
    </xf>
    <xf numFmtId="0" fontId="57" fillId="76" borderId="40" xfId="0" applyFont="1" applyFill="1" applyBorder="1" applyAlignment="1">
      <alignment wrapText="1"/>
    </xf>
    <xf numFmtId="0" fontId="57" fillId="76" borderId="66" xfId="0" applyFont="1" applyFill="1" applyBorder="1" applyAlignment="1">
      <alignment horizontal="center" wrapText="1"/>
    </xf>
    <xf numFmtId="0" fontId="37" fillId="76" borderId="55" xfId="0" applyFont="1" applyFill="1" applyBorder="1" applyAlignment="1">
      <alignment horizontal="center" vertical="center" wrapText="1"/>
    </xf>
    <xf numFmtId="0" fontId="37" fillId="76" borderId="13" xfId="0" applyFont="1" applyFill="1" applyBorder="1" applyAlignment="1">
      <alignment horizontal="center" vertical="center" wrapText="1"/>
    </xf>
    <xf numFmtId="6" fontId="44" fillId="0" borderId="0" xfId="4687" applyNumberFormat="1" applyFont="1"/>
    <xf numFmtId="6" fontId="44" fillId="0" borderId="68" xfId="0" applyNumberFormat="1" applyFont="1" applyBorder="1"/>
    <xf numFmtId="0" fontId="37" fillId="76" borderId="84" xfId="0" applyFont="1" applyFill="1" applyBorder="1" applyAlignment="1">
      <alignment horizontal="center" vertical="center" wrapText="1"/>
    </xf>
    <xf numFmtId="37" fontId="44" fillId="0" borderId="55" xfId="0" applyNumberFormat="1" applyFont="1" applyBorder="1" applyAlignment="1">
      <alignment horizontal="center" vertical="center" wrapText="1"/>
    </xf>
    <xf numFmtId="0" fontId="57" fillId="76" borderId="70" xfId="0" applyFont="1" applyFill="1" applyBorder="1" applyAlignment="1">
      <alignment horizontal="center" wrapText="1"/>
    </xf>
    <xf numFmtId="0" fontId="39" fillId="76" borderId="14" xfId="0" applyFont="1" applyFill="1" applyBorder="1" applyAlignment="1">
      <alignment horizontal="left" vertical="center" wrapText="1"/>
    </xf>
    <xf numFmtId="0" fontId="37" fillId="76" borderId="14" xfId="0" applyFont="1" applyFill="1" applyBorder="1" applyAlignment="1">
      <alignment vertical="center" wrapText="1"/>
    </xf>
    <xf numFmtId="0" fontId="67" fillId="0" borderId="10" xfId="0" applyFont="1" applyFill="1" applyBorder="1" applyAlignment="1">
      <alignment vertical="center" wrapText="1"/>
    </xf>
    <xf numFmtId="0" fontId="164" fillId="71" borderId="0" xfId="30097" applyFont="1" applyFill="1" applyAlignment="1">
      <alignment vertical="center" wrapText="1"/>
    </xf>
    <xf numFmtId="37" fontId="57" fillId="29" borderId="0" xfId="439" applyNumberFormat="1" applyFont="1" applyFill="1" applyAlignment="1" applyProtection="1">
      <alignment horizontal="center" vertical="center" wrapText="1"/>
      <protection locked="0"/>
    </xf>
    <xf numFmtId="38" fontId="44" fillId="0" borderId="0" xfId="439" applyNumberFormat="1" applyFont="1" applyFill="1" applyAlignment="1" applyProtection="1">
      <alignment horizontal="left" vertical="center" wrapText="1"/>
    </xf>
    <xf numFmtId="0" fontId="39" fillId="72" borderId="0" xfId="0" applyFont="1" applyFill="1" applyAlignment="1">
      <alignment horizontal="left" vertical="center" wrapText="1"/>
    </xf>
    <xf numFmtId="0" fontId="0" fillId="28" borderId="0" xfId="0" applyNumberFormat="1"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43" xfId="0" applyFont="1" applyFill="1" applyBorder="1" applyAlignment="1">
      <alignment horizontal="left" vertical="center" wrapText="1"/>
    </xf>
    <xf numFmtId="0" fontId="55" fillId="0" borderId="0" xfId="0" applyNumberFormat="1" applyFont="1" applyFill="1" applyAlignment="1" applyProtection="1">
      <alignment horizontal="left" vertical="center" wrapText="1"/>
    </xf>
    <xf numFmtId="38" fontId="44" fillId="72" borderId="0" xfId="439" applyNumberFormat="1" applyFont="1" applyFill="1" applyAlignment="1" applyProtection="1">
      <alignment horizontal="left" vertical="center" wrapText="1"/>
    </xf>
    <xf numFmtId="0" fontId="0" fillId="72" borderId="0" xfId="0" applyFont="1" applyFill="1" applyAlignment="1" applyProtection="1">
      <alignment horizontal="left" vertical="center" wrapText="1"/>
    </xf>
    <xf numFmtId="0" fontId="39" fillId="72" borderId="0" xfId="0" applyFont="1" applyFill="1" applyAlignment="1" applyProtection="1">
      <alignment horizontal="left" vertical="center" wrapText="1"/>
    </xf>
    <xf numFmtId="41" fontId="0" fillId="72" borderId="0" xfId="439" applyNumberFormat="1" applyFont="1" applyFill="1" applyAlignment="1" applyProtection="1">
      <alignment horizontal="left" vertical="center" wrapText="1"/>
      <protection locked="0"/>
    </xf>
    <xf numFmtId="169" fontId="39" fillId="0" borderId="0" xfId="439" applyNumberFormat="1" applyFont="1" applyFill="1" applyAlignment="1" applyProtection="1">
      <alignment horizontal="left" vertical="center"/>
      <protection locked="0"/>
    </xf>
    <xf numFmtId="0" fontId="39" fillId="0" borderId="15" xfId="0" applyFont="1" applyBorder="1" applyAlignment="1">
      <alignment horizontal="left" vertical="center"/>
    </xf>
    <xf numFmtId="0" fontId="39" fillId="0" borderId="0" xfId="0" applyFont="1" applyBorder="1" applyAlignment="1">
      <alignment horizontal="left" vertical="center"/>
    </xf>
    <xf numFmtId="0" fontId="39" fillId="0" borderId="17" xfId="0" applyFont="1" applyBorder="1" applyAlignment="1">
      <alignment horizontal="left" vertical="center"/>
    </xf>
    <xf numFmtId="0" fontId="39" fillId="0" borderId="57" xfId="0" applyFont="1" applyFill="1" applyBorder="1" applyAlignment="1">
      <alignment horizontal="left" vertical="center"/>
    </xf>
    <xf numFmtId="41" fontId="67" fillId="0" borderId="0" xfId="439" applyNumberFormat="1" applyFont="1" applyFill="1" applyAlignment="1" applyProtection="1">
      <alignment horizontal="left" vertical="center" wrapText="1"/>
      <protection locked="0"/>
    </xf>
    <xf numFmtId="0" fontId="39" fillId="0" borderId="0" xfId="0" applyFont="1" applyAlignment="1">
      <alignment horizontal="left" vertical="center"/>
    </xf>
    <xf numFmtId="0" fontId="39" fillId="30" borderId="35" xfId="0" applyFont="1" applyFill="1" applyBorder="1" applyAlignment="1">
      <alignment horizontal="left" vertical="center" wrapText="1"/>
    </xf>
    <xf numFmtId="0" fontId="39" fillId="30" borderId="37" xfId="0" applyFont="1" applyFill="1" applyBorder="1" applyAlignment="1">
      <alignment horizontal="left" vertical="center" wrapText="1"/>
    </xf>
    <xf numFmtId="41" fontId="67" fillId="0" borderId="0" xfId="439" applyNumberFormat="1" applyFont="1" applyAlignment="1">
      <alignment horizontal="left" vertical="center" wrapText="1"/>
    </xf>
    <xf numFmtId="41" fontId="68" fillId="30" borderId="73" xfId="439" applyNumberFormat="1" applyFont="1" applyFill="1" applyBorder="1" applyAlignment="1">
      <alignment horizontal="left" vertical="center" wrapText="1"/>
    </xf>
    <xf numFmtId="41" fontId="68" fillId="30" borderId="0" xfId="439" applyNumberFormat="1" applyFont="1" applyFill="1" applyAlignment="1">
      <alignment horizontal="left" vertical="center" wrapText="1"/>
    </xf>
    <xf numFmtId="41" fontId="68" fillId="30" borderId="86" xfId="439" applyNumberFormat="1" applyFont="1" applyFill="1" applyBorder="1" applyAlignment="1">
      <alignment horizontal="left" vertical="center" wrapText="1"/>
    </xf>
    <xf numFmtId="41" fontId="68" fillId="30" borderId="74" xfId="439" applyNumberFormat="1" applyFont="1" applyFill="1" applyBorder="1" applyAlignment="1">
      <alignment horizontal="left" vertical="center" wrapText="1"/>
    </xf>
    <xf numFmtId="0" fontId="39" fillId="72" borderId="0" xfId="0" applyFont="1" applyFill="1" applyAlignment="1" applyProtection="1">
      <alignment horizontal="center" vertical="center"/>
    </xf>
    <xf numFmtId="0" fontId="0" fillId="72" borderId="0" xfId="0" applyNumberFormat="1" applyFont="1" applyFill="1" applyAlignment="1" applyProtection="1">
      <alignment horizontal="center" vertical="center" wrapText="1"/>
    </xf>
    <xf numFmtId="0" fontId="39" fillId="72" borderId="0" xfId="0" applyFont="1" applyFill="1" applyAlignment="1">
      <alignment horizontal="center" vertical="center" wrapText="1"/>
    </xf>
    <xf numFmtId="164" fontId="0" fillId="28" borderId="0" xfId="439" applyNumberFormat="1" applyFont="1" applyFill="1" applyAlignment="1" applyProtection="1">
      <alignment horizontal="center" vertical="center"/>
    </xf>
    <xf numFmtId="0" fontId="0" fillId="0" borderId="34" xfId="0" applyNumberFormat="1" applyFont="1" applyFill="1" applyBorder="1" applyAlignment="1" applyProtection="1">
      <alignment horizontal="center" vertical="center" wrapText="1"/>
    </xf>
    <xf numFmtId="41" fontId="67" fillId="72" borderId="0" xfId="439"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57" fillId="72" borderId="0" xfId="0" applyFont="1" applyFill="1" applyAlignment="1">
      <alignment horizontal="center" vertical="center" wrapText="1"/>
    </xf>
    <xf numFmtId="0" fontId="0" fillId="0" borderId="21" xfId="0" applyFont="1" applyFill="1" applyBorder="1" applyAlignment="1">
      <alignment horizontal="center" vertical="center"/>
    </xf>
    <xf numFmtId="0" fontId="0" fillId="0" borderId="0" xfId="0" applyFont="1" applyAlignment="1" applyProtection="1">
      <alignment horizontal="left" vertical="center"/>
      <protection locked="0"/>
    </xf>
    <xf numFmtId="0" fontId="0" fillId="0" borderId="0" xfId="0" applyFont="1" applyBorder="1" applyAlignment="1">
      <alignment horizontal="left" vertical="center"/>
    </xf>
    <xf numFmtId="0" fontId="0" fillId="0" borderId="54" xfId="0" applyFont="1" applyBorder="1" applyAlignment="1">
      <alignment horizontal="left" vertical="center"/>
    </xf>
    <xf numFmtId="0" fontId="39" fillId="0" borderId="55" xfId="0" applyFont="1" applyBorder="1" applyAlignment="1">
      <alignment horizontal="left" vertical="center"/>
    </xf>
    <xf numFmtId="0" fontId="39" fillId="26" borderId="16" xfId="0" applyFont="1" applyFill="1" applyBorder="1" applyAlignment="1" applyProtection="1">
      <alignment horizontal="left" vertical="center"/>
    </xf>
    <xf numFmtId="0" fontId="0" fillId="26" borderId="16" xfId="0" applyFont="1" applyFill="1" applyBorder="1" applyAlignment="1" applyProtection="1">
      <alignment horizontal="left" vertical="center"/>
    </xf>
    <xf numFmtId="0" fontId="0" fillId="0" borderId="11" xfId="0" applyFont="1" applyFill="1" applyBorder="1" applyAlignment="1" applyProtection="1">
      <alignment horizontal="left" vertical="center"/>
    </xf>
    <xf numFmtId="41" fontId="68" fillId="0" borderId="0" xfId="0" applyNumberFormat="1" applyFont="1" applyFill="1" applyAlignment="1" applyProtection="1">
      <alignment horizontal="left" vertical="center" wrapText="1"/>
    </xf>
    <xf numFmtId="14" fontId="122" fillId="29" borderId="10" xfId="31721" applyNumberFormat="1" applyFont="1" applyFill="1" applyBorder="1" applyAlignment="1" applyProtection="1">
      <alignment horizontal="left" vertical="center"/>
      <protection locked="0"/>
    </xf>
    <xf numFmtId="0" fontId="0" fillId="0" borderId="25" xfId="0" applyNumberFormat="1" applyFont="1" applyFill="1" applyBorder="1" applyAlignment="1" applyProtection="1">
      <alignment horizontal="center" vertical="center" wrapText="1"/>
    </xf>
    <xf numFmtId="0" fontId="0" fillId="77" borderId="24" xfId="0" applyNumberFormat="1" applyFont="1" applyFill="1" applyBorder="1" applyAlignment="1" applyProtection="1">
      <alignment horizontal="center" vertical="center" wrapText="1"/>
    </xf>
    <xf numFmtId="0" fontId="0" fillId="32" borderId="24" xfId="0" applyNumberFormat="1" applyFont="1" applyFill="1" applyBorder="1" applyAlignment="1" applyProtection="1">
      <alignment horizontal="center" vertical="center" wrapText="1"/>
    </xf>
    <xf numFmtId="0" fontId="0" fillId="0" borderId="33" xfId="0" applyNumberFormat="1" applyFont="1" applyFill="1" applyBorder="1" applyAlignment="1" applyProtection="1">
      <alignment horizontal="center" vertical="center" wrapText="1"/>
    </xf>
    <xf numFmtId="0" fontId="0" fillId="23" borderId="24" xfId="0" applyNumberFormat="1" applyFont="1" applyFill="1" applyBorder="1" applyAlignment="1" applyProtection="1">
      <alignment horizontal="center" vertical="center" wrapText="1"/>
    </xf>
    <xf numFmtId="0" fontId="0" fillId="76" borderId="24" xfId="0"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center" vertical="center" wrapText="1"/>
    </xf>
    <xf numFmtId="0" fontId="0" fillId="30" borderId="64" xfId="0" applyFont="1" applyFill="1" applyBorder="1" applyAlignment="1">
      <alignment horizontal="center" vertical="center"/>
    </xf>
    <xf numFmtId="0" fontId="0" fillId="76" borderId="0" xfId="0" applyFont="1" applyFill="1" applyBorder="1" applyAlignment="1">
      <alignment horizontal="center" vertical="center"/>
    </xf>
    <xf numFmtId="0" fontId="0" fillId="0" borderId="22" xfId="0" applyBorder="1" applyAlignment="1">
      <alignment vertical="center" wrapText="1"/>
    </xf>
    <xf numFmtId="0" fontId="0" fillId="0" borderId="24" xfId="0" applyBorder="1" applyAlignment="1">
      <alignment horizontal="left" vertical="center" wrapText="1"/>
    </xf>
    <xf numFmtId="0" fontId="0" fillId="0" borderId="30" xfId="0" applyBorder="1" applyAlignment="1">
      <alignment vertical="center" wrapText="1"/>
    </xf>
    <xf numFmtId="0" fontId="0" fillId="76" borderId="63" xfId="0" applyFont="1" applyFill="1" applyBorder="1" applyAlignment="1">
      <alignment horizontal="center" vertical="center" wrapText="1"/>
    </xf>
    <xf numFmtId="0" fontId="0" fillId="76" borderId="25" xfId="0" applyFont="1" applyFill="1" applyBorder="1" applyAlignment="1" applyProtection="1">
      <alignment horizontal="center" vertical="center" wrapText="1"/>
    </xf>
    <xf numFmtId="172" fontId="0" fillId="73" borderId="28" xfId="439" applyNumberFormat="1" applyFont="1" applyFill="1" applyBorder="1" applyAlignment="1" applyProtection="1">
      <alignment vertical="center"/>
    </xf>
    <xf numFmtId="0" fontId="0" fillId="0" borderId="0" xfId="0" applyAlignment="1" applyProtection="1">
      <alignment vertical="center" wrapText="1"/>
      <protection locked="0"/>
    </xf>
    <xf numFmtId="3" fontId="0" fillId="0" borderId="28" xfId="439" applyNumberFormat="1" applyFont="1" applyFill="1" applyBorder="1" applyAlignment="1" applyProtection="1">
      <alignment vertical="center"/>
    </xf>
    <xf numFmtId="3" fontId="0" fillId="76" borderId="93" xfId="439" applyNumberFormat="1" applyFont="1" applyFill="1" applyBorder="1" applyAlignment="1" applyProtection="1">
      <alignment vertical="center"/>
    </xf>
    <xf numFmtId="3" fontId="0" fillId="0" borderId="27" xfId="439" applyNumberFormat="1" applyFont="1" applyFill="1" applyBorder="1" applyAlignment="1" applyProtection="1">
      <alignment vertical="center"/>
    </xf>
    <xf numFmtId="169" fontId="0" fillId="72" borderId="63" xfId="439" applyNumberFormat="1" applyFont="1" applyFill="1" applyBorder="1" applyAlignment="1" applyProtection="1">
      <alignment horizontal="center" vertical="center"/>
    </xf>
    <xf numFmtId="1" fontId="40" fillId="24" borderId="0" xfId="439" applyNumberFormat="1" applyFont="1" applyFill="1" applyBorder="1" applyAlignment="1" applyProtection="1">
      <alignment horizontal="center" wrapText="1"/>
    </xf>
    <xf numFmtId="0" fontId="0" fillId="0" borderId="0" xfId="0" applyNumberFormat="1" applyFont="1" applyFill="1" applyBorder="1" applyAlignment="1" applyProtection="1">
      <alignment horizontal="left" vertical="center" wrapText="1"/>
    </xf>
    <xf numFmtId="0" fontId="0" fillId="0" borderId="43" xfId="0" applyFont="1" applyFill="1" applyBorder="1" applyAlignment="1" applyProtection="1">
      <alignment horizontal="center" vertical="center" wrapText="1"/>
    </xf>
    <xf numFmtId="0" fontId="44" fillId="0" borderId="43"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72" borderId="0" xfId="0" applyFont="1" applyFill="1" applyAlignment="1" applyProtection="1">
      <alignment horizontal="center" vertical="center"/>
    </xf>
    <xf numFmtId="0" fontId="44" fillId="0" borderId="0" xfId="0" applyFont="1" applyFill="1" applyAlignment="1" applyProtection="1">
      <alignment horizontal="center" vertical="center" wrapText="1"/>
    </xf>
    <xf numFmtId="0" fontId="0" fillId="32" borderId="0" xfId="0" applyFill="1" applyAlignment="1">
      <alignment horizontal="center" vertical="center" wrapText="1"/>
    </xf>
    <xf numFmtId="0" fontId="44" fillId="0" borderId="43" xfId="0" applyFont="1"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39" fillId="0" borderId="0" xfId="0" applyFont="1" applyAlignment="1" applyProtection="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29" borderId="69" xfId="0" applyFill="1" applyBorder="1" applyAlignment="1" applyProtection="1">
      <alignment horizontal="center" vertical="center"/>
      <protection locked="0"/>
    </xf>
    <xf numFmtId="0" fontId="0" fillId="29" borderId="10" xfId="0" applyFill="1" applyBorder="1" applyAlignment="1" applyProtection="1">
      <alignment horizontal="center" vertical="center"/>
      <protection locked="0"/>
    </xf>
    <xf numFmtId="14" fontId="0" fillId="29" borderId="69"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14" fontId="0" fillId="0" borderId="0" xfId="0" applyNumberFormat="1" applyFill="1" applyAlignment="1">
      <alignment wrapText="1"/>
    </xf>
    <xf numFmtId="0" fontId="41" fillId="30" borderId="64" xfId="0" applyFont="1" applyFill="1" applyBorder="1" applyAlignment="1">
      <alignment vertical="center" wrapText="1"/>
    </xf>
    <xf numFmtId="0" fontId="39" fillId="72" borderId="0" xfId="0" applyFont="1" applyFill="1" applyAlignment="1">
      <alignment horizontal="left" vertical="center"/>
    </xf>
    <xf numFmtId="0" fontId="39" fillId="28" borderId="0" xfId="0" applyFont="1" applyFill="1" applyAlignment="1" applyProtection="1">
      <alignment horizontal="left" vertical="center"/>
    </xf>
    <xf numFmtId="0" fontId="39" fillId="0" borderId="0" xfId="682" applyFont="1" applyAlignment="1">
      <alignment wrapText="1"/>
    </xf>
    <xf numFmtId="0" fontId="0" fillId="0" borderId="0" xfId="682" applyFont="1"/>
    <xf numFmtId="0" fontId="166"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67" fillId="0" borderId="0" xfId="682" applyFont="1"/>
    <xf numFmtId="0" fontId="167" fillId="0" borderId="0" xfId="682" applyFont="1" applyAlignment="1">
      <alignment vertical="center"/>
    </xf>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68" fillId="0" borderId="0" xfId="682" applyFont="1"/>
    <xf numFmtId="0" fontId="52" fillId="0" borderId="0" xfId="682" applyFont="1"/>
    <xf numFmtId="181" fontId="52" fillId="0" borderId="0" xfId="682" applyNumberFormat="1" applyFont="1"/>
    <xf numFmtId="42" fontId="169" fillId="26" borderId="0" xfId="546" applyNumberFormat="1" applyFont="1" applyFill="1"/>
    <xf numFmtId="167" fontId="52" fillId="0" borderId="0" xfId="546" applyNumberFormat="1" applyFont="1"/>
    <xf numFmtId="0" fontId="52" fillId="0" borderId="0" xfId="0" applyFont="1" applyAlignment="1">
      <alignment horizontal="center"/>
    </xf>
    <xf numFmtId="0" fontId="52" fillId="0" borderId="0" xfId="0" applyFont="1"/>
    <xf numFmtId="41" fontId="169" fillId="26" borderId="0" xfId="682" applyNumberFormat="1" applyFont="1" applyFill="1"/>
    <xf numFmtId="38" fontId="52" fillId="0" borderId="0" xfId="682" applyNumberFormat="1" applyFont="1"/>
    <xf numFmtId="41" fontId="0" fillId="26" borderId="0" xfId="682" applyNumberFormat="1" applyFont="1" applyFill="1"/>
    <xf numFmtId="41" fontId="52" fillId="26" borderId="0" xfId="682" applyNumberFormat="1" applyFont="1" applyFill="1"/>
    <xf numFmtId="41" fontId="52" fillId="26" borderId="17" xfId="449" applyNumberFormat="1" applyFont="1" applyFill="1" applyBorder="1"/>
    <xf numFmtId="38" fontId="52" fillId="0" borderId="0" xfId="449" applyNumberFormat="1" applyFont="1"/>
    <xf numFmtId="0" fontId="39" fillId="0" borderId="0" xfId="682" applyFont="1"/>
    <xf numFmtId="42" fontId="49" fillId="27" borderId="0" xfId="546" applyNumberFormat="1" applyFont="1" applyFill="1"/>
    <xf numFmtId="0" fontId="52" fillId="0" borderId="0" xfId="0" quotePrefix="1" applyFont="1"/>
    <xf numFmtId="0" fontId="0" fillId="0" borderId="0" xfId="0" quotePrefix="1"/>
    <xf numFmtId="41" fontId="52" fillId="26" borderId="0" xfId="449" applyNumberFormat="1" applyFont="1" applyFill="1" applyBorder="1"/>
    <xf numFmtId="41" fontId="52" fillId="0" borderId="0" xfId="449" applyNumberFormat="1" applyFont="1"/>
    <xf numFmtId="164" fontId="0" fillId="0" borderId="0" xfId="0" applyNumberFormat="1"/>
    <xf numFmtId="0" fontId="168" fillId="0" borderId="0" xfId="682" applyFont="1" applyAlignment="1">
      <alignment vertical="center"/>
    </xf>
    <xf numFmtId="0" fontId="170" fillId="0" borderId="0" xfId="682" applyFont="1"/>
    <xf numFmtId="42" fontId="49" fillId="27" borderId="18" xfId="546" applyNumberFormat="1" applyFont="1" applyFill="1" applyBorder="1"/>
    <xf numFmtId="42" fontId="52" fillId="26" borderId="19" xfId="546" applyNumberFormat="1" applyFont="1" applyFill="1" applyBorder="1"/>
    <xf numFmtId="0" fontId="49" fillId="0" borderId="0" xfId="682" applyFont="1"/>
    <xf numFmtId="42" fontId="49" fillId="0" borderId="94" xfId="546" applyNumberFormat="1" applyFont="1" applyBorder="1"/>
    <xf numFmtId="0" fontId="171" fillId="27" borderId="0" xfId="682" applyFont="1" applyFill="1" applyAlignment="1">
      <alignment vertical="center" wrapText="1"/>
    </xf>
    <xf numFmtId="0" fontId="49" fillId="0" borderId="0" xfId="682" applyFont="1" applyAlignment="1">
      <alignment horizontal="center"/>
    </xf>
    <xf numFmtId="0" fontId="0" fillId="0" borderId="0" xfId="0" quotePrefix="1" applyAlignment="1">
      <alignment horizontal="center"/>
    </xf>
    <xf numFmtId="3" fontId="52" fillId="0" borderId="0" xfId="0" applyNumberFormat="1" applyFont="1"/>
    <xf numFmtId="0" fontId="170" fillId="0" borderId="0" xfId="0" applyFont="1" applyAlignment="1">
      <alignment horizontal="left" vertical="center" wrapText="1"/>
    </xf>
    <xf numFmtId="181" fontId="49" fillId="0" borderId="0" xfId="682" applyNumberFormat="1" applyFont="1"/>
    <xf numFmtId="10" fontId="49" fillId="0" borderId="19" xfId="682" applyNumberFormat="1" applyFont="1" applyBorder="1"/>
    <xf numFmtId="0" fontId="51" fillId="0" borderId="0" xfId="0" applyFont="1"/>
    <xf numFmtId="2" fontId="0" fillId="0" borderId="0" xfId="0" applyNumberFormat="1"/>
    <xf numFmtId="164" fontId="0" fillId="0" borderId="0" xfId="439" applyNumberFormat="1" applyFont="1"/>
    <xf numFmtId="42" fontId="52" fillId="0" borderId="19" xfId="546" applyNumberFormat="1" applyFont="1" applyBorder="1"/>
    <xf numFmtId="0" fontId="0" fillId="0" borderId="0" xfId="0" applyAlignment="1">
      <alignment horizontal="center" vertical="center"/>
    </xf>
    <xf numFmtId="0" fontId="39" fillId="32" borderId="95" xfId="0" applyFont="1" applyFill="1" applyBorder="1" applyAlignment="1">
      <alignment vertical="center"/>
    </xf>
    <xf numFmtId="0" fontId="39" fillId="32" borderId="96" xfId="0" applyFont="1" applyFill="1" applyBorder="1" applyAlignment="1">
      <alignment vertical="center"/>
    </xf>
    <xf numFmtId="0" fontId="0" fillId="32" borderId="35" xfId="0" applyFill="1" applyBorder="1" applyAlignment="1">
      <alignment vertical="center"/>
    </xf>
    <xf numFmtId="0" fontId="0" fillId="32" borderId="36" xfId="0" applyFill="1" applyBorder="1" applyAlignment="1">
      <alignment vertical="center"/>
    </xf>
    <xf numFmtId="0" fontId="0" fillId="32" borderId="15" xfId="0" applyFill="1" applyBorder="1" applyAlignment="1">
      <alignment vertical="center"/>
    </xf>
    <xf numFmtId="0" fontId="0" fillId="32" borderId="0" xfId="0" applyFill="1" applyAlignment="1">
      <alignment vertical="center"/>
    </xf>
    <xf numFmtId="0" fontId="0" fillId="32" borderId="15" xfId="0" applyFill="1" applyBorder="1"/>
    <xf numFmtId="0" fontId="0" fillId="32" borderId="38" xfId="0" applyFill="1" applyBorder="1" applyAlignment="1">
      <alignment vertical="center"/>
    </xf>
    <xf numFmtId="0" fontId="0" fillId="32" borderId="39" xfId="0" applyFill="1" applyBorder="1" applyAlignment="1">
      <alignment vertical="center"/>
    </xf>
    <xf numFmtId="0" fontId="53" fillId="32" borderId="0" xfId="0" applyFont="1" applyFill="1" applyAlignment="1">
      <alignment horizontal="left" vertical="center" wrapText="1"/>
    </xf>
    <xf numFmtId="0" fontId="60" fillId="32" borderId="0" xfId="0" applyFont="1" applyFill="1" applyAlignment="1">
      <alignment horizontal="center" vertical="center" wrapText="1"/>
    </xf>
    <xf numFmtId="0" fontId="0" fillId="32" borderId="0" xfId="0" applyFill="1" applyAlignment="1">
      <alignment horizontal="center" vertical="center"/>
    </xf>
    <xf numFmtId="0" fontId="39" fillId="32" borderId="97" xfId="0" applyFont="1" applyFill="1" applyBorder="1" applyAlignment="1">
      <alignment vertical="center"/>
    </xf>
    <xf numFmtId="41" fontId="68" fillId="32" borderId="37" xfId="0" applyNumberFormat="1" applyFont="1" applyFill="1" applyBorder="1" applyAlignment="1">
      <alignment wrapText="1"/>
    </xf>
    <xf numFmtId="41" fontId="68" fillId="32" borderId="58" xfId="0" applyNumberFormat="1" applyFont="1" applyFill="1" applyBorder="1" applyAlignment="1">
      <alignment wrapText="1"/>
    </xf>
    <xf numFmtId="41" fontId="68" fillId="32" borderId="40" xfId="0" applyNumberFormat="1" applyFont="1" applyFill="1" applyBorder="1" applyAlignment="1">
      <alignment wrapText="1"/>
    </xf>
    <xf numFmtId="41" fontId="68" fillId="0" borderId="0" xfId="0" applyNumberFormat="1" applyFont="1" applyAlignment="1">
      <alignment wrapText="1"/>
    </xf>
    <xf numFmtId="38" fontId="0" fillId="20" borderId="0" xfId="0" applyNumberFormat="1" applyFont="1" applyFill="1" applyAlignment="1" applyProtection="1">
      <alignment vertical="center" wrapText="1"/>
      <protection locked="0"/>
    </xf>
    <xf numFmtId="164" fontId="0" fillId="0" borderId="0" xfId="0" applyNumberFormat="1" applyFont="1" applyFill="1" applyAlignment="1" applyProtection="1">
      <alignment vertical="center" wrapText="1"/>
      <protection locked="0"/>
    </xf>
    <xf numFmtId="0" fontId="0" fillId="0" borderId="0" xfId="0" applyFill="1" applyAlignment="1">
      <alignment horizontal="center" vertical="center" wrapText="1"/>
    </xf>
    <xf numFmtId="0" fontId="0" fillId="0" borderId="0" xfId="0" applyFill="1" applyAlignment="1">
      <alignment horizontal="left" vertical="center" wrapText="1"/>
    </xf>
    <xf numFmtId="3" fontId="0" fillId="0" borderId="23" xfId="0" applyNumberFormat="1" applyFont="1" applyFill="1" applyBorder="1" applyAlignment="1" applyProtection="1">
      <alignment horizontal="center" vertical="center" wrapText="1"/>
    </xf>
    <xf numFmtId="43" fontId="0" fillId="0" borderId="0" xfId="0" applyNumberFormat="1"/>
    <xf numFmtId="164" fontId="56" fillId="32" borderId="22"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center" vertical="center" wrapText="1"/>
    </xf>
    <xf numFmtId="3" fontId="0" fillId="32" borderId="28" xfId="439" applyNumberFormat="1" applyFont="1" applyFill="1" applyBorder="1" applyAlignment="1" applyProtection="1">
      <alignment vertical="center"/>
    </xf>
    <xf numFmtId="0" fontId="37" fillId="32" borderId="13" xfId="0" applyFont="1" applyFill="1" applyBorder="1" applyAlignment="1">
      <alignment horizontal="center" vertical="center" wrapText="1"/>
    </xf>
    <xf numFmtId="0" fontId="67" fillId="0" borderId="10" xfId="0" applyFont="1" applyBorder="1" applyAlignment="1">
      <alignment vertical="center" wrapText="1"/>
    </xf>
    <xf numFmtId="0" fontId="0" fillId="0" borderId="10" xfId="0" applyBorder="1" applyAlignment="1" applyProtection="1">
      <alignment vertical="center"/>
      <protection locked="0"/>
    </xf>
    <xf numFmtId="0" fontId="68" fillId="32" borderId="65" xfId="0" applyFont="1" applyFill="1" applyBorder="1" applyAlignment="1" applyProtection="1">
      <alignment wrapText="1"/>
      <protection locked="0"/>
    </xf>
    <xf numFmtId="3" fontId="0" fillId="29" borderId="69" xfId="0" applyNumberFormat="1" applyFill="1" applyBorder="1" applyAlignment="1" applyProtection="1">
      <alignment horizontal="center" vertical="center"/>
      <protection locked="0"/>
    </xf>
    <xf numFmtId="0" fontId="67" fillId="32" borderId="10" xfId="0" applyFont="1" applyFill="1" applyBorder="1" applyAlignment="1">
      <alignment vertical="center" wrapText="1"/>
    </xf>
    <xf numFmtId="43" fontId="34" fillId="0" borderId="0" xfId="440" applyNumberFormat="1" applyFont="1" applyFill="1"/>
    <xf numFmtId="0" fontId="0" fillId="0" borderId="10" xfId="0" applyBorder="1" applyAlignment="1">
      <alignment horizontal="center" vertical="center"/>
    </xf>
    <xf numFmtId="0" fontId="0" fillId="80" borderId="10" xfId="0" applyFill="1" applyBorder="1" applyAlignment="1">
      <alignment vertical="center" wrapText="1"/>
    </xf>
    <xf numFmtId="14" fontId="0" fillId="29" borderId="10" xfId="0" applyNumberFormat="1" applyFill="1" applyBorder="1" applyAlignment="1" applyProtection="1">
      <alignment horizontal="center" vertical="center"/>
      <protection locked="0"/>
    </xf>
    <xf numFmtId="0" fontId="68" fillId="80" borderId="69" xfId="0" applyFont="1" applyFill="1" applyBorder="1" applyAlignment="1">
      <alignment vertical="center" wrapText="1"/>
    </xf>
    <xf numFmtId="0" fontId="67" fillId="0" borderId="69" xfId="0" applyFont="1" applyBorder="1" applyAlignment="1">
      <alignment vertical="center" wrapText="1"/>
    </xf>
    <xf numFmtId="14" fontId="44" fillId="0" borderId="98" xfId="0" applyNumberFormat="1" applyFont="1" applyBorder="1"/>
    <xf numFmtId="14" fontId="44" fillId="32" borderId="99" xfId="0" applyNumberFormat="1" applyFont="1" applyFill="1" applyBorder="1"/>
    <xf numFmtId="14" fontId="44" fillId="32" borderId="100" xfId="0" applyNumberFormat="1" applyFont="1" applyFill="1" applyBorder="1"/>
    <xf numFmtId="0" fontId="44" fillId="0" borderId="21" xfId="0" applyFont="1" applyBorder="1"/>
    <xf numFmtId="0" fontId="44" fillId="0" borderId="54" xfId="0" applyFont="1" applyBorder="1"/>
    <xf numFmtId="14" fontId="44" fillId="0" borderId="0" xfId="0" applyNumberFormat="1" applyFont="1"/>
    <xf numFmtId="14" fontId="44" fillId="0" borderId="54" xfId="0" applyNumberFormat="1" applyFont="1" applyBorder="1"/>
    <xf numFmtId="0" fontId="44" fillId="0" borderId="101" xfId="0" applyFont="1" applyBorder="1"/>
    <xf numFmtId="14" fontId="44" fillId="0" borderId="17" xfId="0" applyNumberFormat="1" applyFont="1" applyBorder="1"/>
    <xf numFmtId="14" fontId="44" fillId="0" borderId="102" xfId="0" applyNumberFormat="1" applyFont="1" applyBorder="1"/>
    <xf numFmtId="14" fontId="0" fillId="0" borderId="55" xfId="0" applyNumberFormat="1" applyBorder="1" applyAlignment="1">
      <alignment horizontal="center" vertical="center" wrapText="1"/>
    </xf>
    <xf numFmtId="0" fontId="0" fillId="1" borderId="55" xfId="0" applyFill="1" applyBorder="1" applyAlignment="1">
      <alignment horizontal="center" vertical="center" wrapText="1"/>
    </xf>
    <xf numFmtId="14" fontId="0" fillId="34" borderId="0" xfId="0" applyNumberFormat="1" applyFont="1" applyFill="1" applyAlignment="1" applyProtection="1">
      <alignment horizontal="center" vertical="center"/>
    </xf>
    <xf numFmtId="0" fontId="0" fillId="0" borderId="0" xfId="0" applyFont="1" applyFill="1" applyAlignment="1" applyProtection="1">
      <alignment horizontal="left" vertical="center" wrapText="1"/>
      <protection locked="0"/>
    </xf>
    <xf numFmtId="0" fontId="67" fillId="0" borderId="0" xfId="0" applyFont="1" applyAlignment="1" applyProtection="1">
      <alignment horizontal="left" vertical="center" wrapText="1"/>
      <protection locked="0"/>
    </xf>
    <xf numFmtId="0" fontId="0" fillId="0" borderId="0" xfId="0" applyFont="1" applyAlignment="1" applyProtection="1">
      <alignment horizontal="left" vertical="center" wrapText="1"/>
      <protection locked="0"/>
    </xf>
    <xf numFmtId="38" fontId="67" fillId="20" borderId="0" xfId="0" applyNumberFormat="1" applyFont="1" applyFill="1" applyAlignment="1" applyProtection="1">
      <alignment horizontal="left" vertical="center" wrapText="1"/>
    </xf>
    <xf numFmtId="0" fontId="0" fillId="0" borderId="103" xfId="0" applyFill="1" applyBorder="1" applyAlignment="1">
      <alignment horizontal="center" vertical="center"/>
    </xf>
    <xf numFmtId="0" fontId="0" fillId="0" borderId="103" xfId="0" applyFill="1" applyBorder="1" applyAlignment="1">
      <alignment vertical="center" wrapText="1"/>
    </xf>
    <xf numFmtId="0" fontId="0" fillId="29" borderId="98" xfId="0" applyFill="1" applyBorder="1" applyAlignment="1" applyProtection="1">
      <alignment horizontal="center" vertical="center"/>
      <protection locked="0"/>
    </xf>
    <xf numFmtId="0" fontId="67" fillId="0" borderId="103" xfId="0" applyFont="1" applyFill="1" applyBorder="1" applyAlignment="1">
      <alignment vertical="center" wrapText="1"/>
    </xf>
    <xf numFmtId="0" fontId="0" fillId="32" borderId="12" xfId="0" applyFill="1" applyBorder="1" applyAlignment="1">
      <alignment horizontal="center" vertical="center"/>
    </xf>
    <xf numFmtId="0" fontId="0" fillId="32"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67" fillId="32" borderId="12" xfId="0" applyFont="1" applyFill="1" applyBorder="1" applyAlignment="1">
      <alignment vertical="center" wrapText="1"/>
    </xf>
    <xf numFmtId="0" fontId="0" fillId="76" borderId="69" xfId="0" applyFill="1" applyBorder="1" applyAlignment="1">
      <alignment horizontal="left" vertical="center"/>
    </xf>
    <xf numFmtId="0" fontId="0" fillId="76" borderId="14" xfId="0" applyFill="1" applyBorder="1" applyAlignment="1">
      <alignment vertical="center" wrapText="1"/>
    </xf>
    <xf numFmtId="0" fontId="0" fillId="76" borderId="14" xfId="0" applyFill="1" applyBorder="1" applyAlignment="1" applyProtection="1">
      <alignment horizontal="center" vertical="center"/>
      <protection locked="0"/>
    </xf>
    <xf numFmtId="0" fontId="67" fillId="76" borderId="20" xfId="0" applyFont="1" applyFill="1" applyBorder="1" applyAlignment="1">
      <alignment vertical="center" wrapText="1"/>
    </xf>
    <xf numFmtId="0" fontId="0" fillId="0" borderId="55" xfId="0" applyFill="1" applyBorder="1" applyAlignment="1">
      <alignment horizontal="center" vertical="center" wrapText="1"/>
    </xf>
    <xf numFmtId="6" fontId="0" fillId="0" borderId="55" xfId="0" applyNumberFormat="1" applyFill="1" applyBorder="1" applyAlignment="1">
      <alignment horizontal="center" vertical="center"/>
    </xf>
    <xf numFmtId="6" fontId="0" fillId="0" borderId="55" xfId="0" applyNumberFormat="1" applyBorder="1" applyAlignment="1">
      <alignment horizontal="center" vertical="center"/>
    </xf>
    <xf numFmtId="0" fontId="0" fillId="0" borderId="55" xfId="0" applyBorder="1" applyAlignment="1" applyProtection="1">
      <alignment horizontal="left" vertical="center"/>
      <protection locked="0"/>
    </xf>
    <xf numFmtId="0" fontId="39" fillId="76" borderId="65" xfId="0" applyFont="1" applyFill="1" applyBorder="1" applyAlignment="1" applyProtection="1">
      <alignment horizontal="left" vertical="center"/>
      <protection locked="0"/>
    </xf>
    <xf numFmtId="0" fontId="0" fillId="76" borderId="79" xfId="0" applyFill="1" applyBorder="1" applyAlignment="1" applyProtection="1">
      <alignment horizontal="left" vertical="center"/>
      <protection locked="0"/>
    </xf>
    <xf numFmtId="0" fontId="0" fillId="32" borderId="0" xfId="0" applyFill="1" applyAlignment="1" applyProtection="1">
      <alignment vertical="center" wrapText="1"/>
      <protection locked="0"/>
    </xf>
    <xf numFmtId="0" fontId="51" fillId="76" borderId="55" xfId="0" applyFont="1" applyFill="1" applyBorder="1" applyAlignment="1">
      <alignment vertical="center" wrapText="1"/>
    </xf>
    <xf numFmtId="168" fontId="0" fillId="0" borderId="0" xfId="0" applyNumberFormat="1" applyFont="1" applyFill="1" applyAlignment="1" applyProtection="1">
      <alignment horizontal="left" vertical="center" wrapText="1"/>
      <protection locked="0"/>
    </xf>
    <xf numFmtId="168" fontId="0" fillId="0" borderId="0" xfId="0" applyNumberFormat="1" applyFont="1" applyAlignment="1" applyProtection="1">
      <alignment horizontal="left" vertical="center" wrapText="1"/>
      <protection locked="0"/>
    </xf>
    <xf numFmtId="0" fontId="0" fillId="0" borderId="0" xfId="0" applyNumberFormat="1" applyFont="1" applyFill="1" applyAlignment="1" applyProtection="1">
      <alignment horizontal="left" vertical="center" wrapText="1"/>
      <protection locked="0"/>
    </xf>
    <xf numFmtId="14" fontId="0" fillId="0" borderId="0" xfId="0" applyNumberFormat="1" applyFont="1" applyAlignment="1" applyProtection="1">
      <alignment horizontal="left" vertical="center" wrapText="1"/>
      <protection locked="0"/>
    </xf>
    <xf numFmtId="14" fontId="0" fillId="0" borderId="0" xfId="0" applyNumberFormat="1" applyFont="1" applyFill="1" applyAlignment="1" applyProtection="1">
      <alignment horizontal="left" vertical="center" wrapText="1"/>
      <protection locked="0"/>
    </xf>
    <xf numFmtId="168" fontId="0" fillId="0" borderId="0" xfId="0" applyNumberFormat="1" applyFont="1" applyFill="1" applyAlignment="1" applyProtection="1">
      <alignment vertical="center" wrapText="1"/>
    </xf>
    <xf numFmtId="0" fontId="0" fillId="0" borderId="69" xfId="0" applyFill="1" applyBorder="1" applyAlignment="1">
      <alignment vertical="center"/>
    </xf>
    <xf numFmtId="0" fontId="0" fillId="0" borderId="0" xfId="0" applyFill="1" applyAlignment="1">
      <alignment vertical="center"/>
    </xf>
    <xf numFmtId="49" fontId="39" fillId="29" borderId="0" xfId="0" applyNumberFormat="1" applyFont="1" applyFill="1" applyAlignment="1" applyProtection="1">
      <alignment horizontal="center" vertical="center"/>
      <protection locked="0"/>
    </xf>
    <xf numFmtId="14" fontId="39" fillId="29" borderId="0" xfId="439" applyNumberFormat="1" applyFont="1" applyFill="1" applyAlignment="1" applyProtection="1">
      <alignment horizontal="center" vertical="center" wrapText="1"/>
      <protection locked="0"/>
    </xf>
    <xf numFmtId="49" fontId="39" fillId="30" borderId="13" xfId="0" applyNumberFormat="1" applyFont="1" applyFill="1" applyBorder="1" applyAlignment="1" applyProtection="1">
      <alignment horizontal="center" vertical="center"/>
      <protection locked="0"/>
    </xf>
    <xf numFmtId="14" fontId="39" fillId="30" borderId="13" xfId="0" applyNumberFormat="1" applyFont="1" applyFill="1" applyBorder="1" applyAlignment="1" applyProtection="1">
      <alignment horizontal="center" vertical="center"/>
      <protection locked="0"/>
    </xf>
    <xf numFmtId="180" fontId="39" fillId="30" borderId="13" xfId="0" applyNumberFormat="1" applyFont="1" applyFill="1" applyBorder="1" applyAlignment="1" applyProtection="1">
      <alignment horizontal="center" vertical="center"/>
      <protection locked="0"/>
    </xf>
    <xf numFmtId="49" fontId="179" fillId="30" borderId="13" xfId="611" applyNumberFormat="1" applyFont="1" applyFill="1" applyBorder="1" applyAlignment="1" applyProtection="1">
      <alignment horizontal="center" vertical="center"/>
      <protection locked="0"/>
    </xf>
    <xf numFmtId="168" fontId="0" fillId="0" borderId="0" xfId="0" applyNumberFormat="1" applyFill="1" applyAlignment="1">
      <alignmen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left" vertical="center"/>
    </xf>
    <xf numFmtId="0" fontId="39" fillId="0" borderId="16" xfId="0" applyFont="1" applyBorder="1" applyAlignment="1">
      <alignment horizontal="left" vertical="center"/>
    </xf>
    <xf numFmtId="0" fontId="39" fillId="0" borderId="11" xfId="0" applyFont="1" applyBorder="1" applyAlignment="1">
      <alignment horizontal="left" vertical="center"/>
    </xf>
    <xf numFmtId="0" fontId="57" fillId="72" borderId="72" xfId="0" applyFont="1" applyFill="1" applyBorder="1" applyAlignment="1">
      <alignment horizontal="left" vertical="center" wrapText="1"/>
    </xf>
    <xf numFmtId="0" fontId="0" fillId="0" borderId="36" xfId="0" applyFont="1" applyBorder="1" applyAlignment="1">
      <alignment horizontal="left" vertical="center" wrapText="1"/>
    </xf>
    <xf numFmtId="0" fontId="0" fillId="32" borderId="13" xfId="0" applyFont="1" applyFill="1" applyBorder="1" applyAlignment="1">
      <alignment horizontal="left" vertical="center" wrapText="1"/>
    </xf>
    <xf numFmtId="0" fontId="0" fillId="32"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162" fillId="79" borderId="13" xfId="0" applyFont="1" applyFill="1" applyBorder="1" applyAlignment="1">
      <alignment horizontal="center" vertical="center"/>
    </xf>
    <xf numFmtId="0" fontId="162" fillId="79"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32" borderId="11" xfId="0" applyFont="1" applyFill="1" applyBorder="1" applyAlignment="1">
      <alignment horizontal="justify" vertical="center" wrapText="1"/>
    </xf>
    <xf numFmtId="0" fontId="57" fillId="32" borderId="55" xfId="0" applyFont="1" applyFill="1" applyBorder="1" applyAlignment="1">
      <alignment horizontal="justify" vertical="center" wrapText="1"/>
    </xf>
    <xf numFmtId="0" fontId="57" fillId="76" borderId="16" xfId="0" applyFont="1" applyFill="1" applyBorder="1" applyAlignment="1">
      <alignment horizontal="left" wrapText="1"/>
    </xf>
    <xf numFmtId="0" fontId="57" fillId="32" borderId="16" xfId="0" applyFont="1" applyFill="1" applyBorder="1" applyAlignment="1">
      <alignment horizontal="justify" vertical="center" wrapText="1"/>
    </xf>
    <xf numFmtId="0" fontId="57" fillId="76" borderId="82" xfId="0" applyFont="1" applyFill="1" applyBorder="1" applyAlignment="1">
      <alignment horizontal="left" wrapText="1"/>
    </xf>
    <xf numFmtId="0" fontId="57" fillId="76" borderId="16" xfId="0" applyFont="1" applyFill="1" applyBorder="1" applyAlignment="1">
      <alignment horizontal="justify" vertical="center" wrapText="1"/>
    </xf>
    <xf numFmtId="0" fontId="57" fillId="76" borderId="11" xfId="0" applyFont="1" applyFill="1" applyBorder="1" applyAlignment="1">
      <alignment horizontal="justify" vertical="center" wrapText="1"/>
    </xf>
    <xf numFmtId="0" fontId="57" fillId="76" borderId="16" xfId="0" applyFont="1" applyFill="1" applyBorder="1" applyAlignment="1">
      <alignment horizontal="center" wrapText="1"/>
    </xf>
    <xf numFmtId="0" fontId="57" fillId="76" borderId="11" xfId="0" applyFont="1" applyFill="1" applyBorder="1" applyAlignment="1">
      <alignment horizontal="center" wrapText="1"/>
    </xf>
    <xf numFmtId="0" fontId="144" fillId="0" borderId="38" xfId="0" applyFont="1" applyBorder="1" applyAlignment="1">
      <alignment horizontal="center" vertical="center"/>
    </xf>
    <xf numFmtId="0" fontId="144" fillId="0" borderId="39" xfId="0" applyFont="1" applyBorder="1" applyAlignment="1">
      <alignment horizontal="center" vertical="center"/>
    </xf>
    <xf numFmtId="0" fontId="144" fillId="0" borderId="16" xfId="0" applyFont="1" applyBorder="1" applyAlignment="1">
      <alignment horizontal="center" vertical="center"/>
    </xf>
    <xf numFmtId="0" fontId="144" fillId="0" borderId="11" xfId="0" applyFont="1" applyBorder="1" applyAlignment="1">
      <alignment horizontal="center" vertical="center"/>
    </xf>
    <xf numFmtId="0" fontId="57" fillId="32" borderId="13" xfId="0" applyFont="1" applyFill="1" applyBorder="1" applyAlignment="1">
      <alignment horizontal="justify" vertical="center" wrapText="1"/>
    </xf>
    <xf numFmtId="0" fontId="48" fillId="0" borderId="88" xfId="0" applyFont="1" applyBorder="1" applyAlignment="1">
      <alignment horizontal="center" vertical="center" wrapText="1"/>
    </xf>
    <xf numFmtId="0" fontId="48" fillId="0" borderId="89" xfId="0" applyFont="1" applyBorder="1" applyAlignment="1">
      <alignment horizontal="center" vertical="center" wrapText="1"/>
    </xf>
    <xf numFmtId="0" fontId="48" fillId="0" borderId="85" xfId="0" applyFont="1" applyBorder="1" applyAlignment="1">
      <alignment horizontal="center" vertical="center" wrapText="1"/>
    </xf>
    <xf numFmtId="0" fontId="39" fillId="0" borderId="15" xfId="0" applyFont="1" applyBorder="1" applyAlignment="1">
      <alignment horizontal="center" vertical="center"/>
    </xf>
    <xf numFmtId="0" fontId="39" fillId="0" borderId="58"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79" xfId="0" applyFont="1" applyBorder="1" applyAlignment="1">
      <alignment horizontal="center" wrapText="1"/>
    </xf>
    <xf numFmtId="0" fontId="39" fillId="0" borderId="66" xfId="0" applyFont="1" applyBorder="1" applyAlignment="1">
      <alignment horizontal="center"/>
    </xf>
    <xf numFmtId="0" fontId="48" fillId="0" borderId="90" xfId="0" applyFont="1" applyBorder="1" applyAlignment="1">
      <alignment horizontal="center" vertic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127" fillId="71" borderId="65" xfId="0" applyFont="1" applyFill="1" applyBorder="1" applyAlignment="1">
      <alignment horizontal="center" vertical="center" wrapText="1"/>
    </xf>
    <xf numFmtId="0" fontId="127" fillId="71" borderId="79" xfId="0" applyFont="1" applyFill="1" applyBorder="1" applyAlignment="1">
      <alignment horizontal="center" vertical="center" wrapText="1"/>
    </xf>
    <xf numFmtId="0" fontId="127" fillId="71" borderId="66" xfId="0" applyFont="1" applyFill="1" applyBorder="1" applyAlignment="1">
      <alignment horizontal="center" vertical="center" wrapText="1"/>
    </xf>
    <xf numFmtId="0" fontId="57" fillId="76" borderId="65" xfId="0" applyFont="1" applyFill="1" applyBorder="1" applyAlignment="1">
      <alignment horizontal="center" vertical="center" wrapText="1"/>
    </xf>
    <xf numFmtId="0" fontId="57" fillId="76" borderId="79" xfId="0" applyFont="1" applyFill="1" applyBorder="1" applyAlignment="1">
      <alignment horizontal="center" vertical="center" wrapText="1"/>
    </xf>
    <xf numFmtId="0" fontId="40" fillId="0" borderId="13" xfId="682" applyFont="1" applyBorder="1" applyAlignment="1">
      <alignment horizontal="justify" vertical="justify" wrapText="1"/>
    </xf>
    <xf numFmtId="0" fontId="40" fillId="0" borderId="16" xfId="682" applyFont="1" applyBorder="1" applyAlignment="1">
      <alignment horizontal="justify" vertical="justify" wrapText="1"/>
    </xf>
    <xf numFmtId="0" fontId="40" fillId="0" borderId="11" xfId="682" applyFont="1" applyBorder="1" applyAlignment="1">
      <alignment horizontal="justify" vertical="justify" wrapText="1"/>
    </xf>
    <xf numFmtId="0" fontId="57" fillId="27" borderId="0" xfId="682" applyFont="1" applyFill="1" applyAlignment="1">
      <alignment horizontal="center" vertical="center" wrapText="1"/>
    </xf>
  </cellXfs>
  <cellStyles count="32102">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3 2" xfId="32056" xr:uid="{16D85A12-C140-4E5B-B43C-64E3456AB923}"/>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2 2" xfId="32099" xr:uid="{AEF5CBC6-89B8-4780-9D79-B410922688C7}"/>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2 2" xfId="31990" xr:uid="{0BF46BFB-9EE2-43A8-9598-0BD3363DD7CF}"/>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2 2" xfId="31945" xr:uid="{602238FF-2FDB-4265-BD5D-6CB7F892FE80}"/>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2 2" xfId="31962" xr:uid="{FAE9F865-3C6D-4D06-BEE4-A44A5BCBF888}"/>
    <cellStyle name="Comma 2 3 3" xfId="29592" xr:uid="{9BDAE080-E5CC-418E-BF83-F4564BF71D85}"/>
    <cellStyle name="Comma 2 3 4" xfId="31946" xr:uid="{451CEE27-185E-4197-862A-B4BCB253B44C}"/>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2 2" xfId="31961" xr:uid="{71F0315F-40AE-40C3-8958-D657B73EE3DC}"/>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5 3" xfId="31947" xr:uid="{61D69F62-D7EF-4886-86F2-5BA57E2F55D8}"/>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4 4 2" xfId="31965" xr:uid="{4E5DAD65-E6D8-4E67-B09F-11D884C38432}"/>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2 2" xfId="31991" xr:uid="{2588F6A9-E5FF-4FA1-85E6-28A4B0E1E893}"/>
    <cellStyle name="Comma 5 12 3 3" xfId="24383" xr:uid="{F61EDBCB-4E7F-4373-BBB6-91316B7F1263}"/>
    <cellStyle name="Comma 5 12 4" xfId="1588" xr:uid="{00000000-0005-0000-0000-0000E9010000}"/>
    <cellStyle name="Comma 5 12 4 2" xfId="31994" xr:uid="{593CEDC2-E8AD-41E2-8130-EAE2E0615F65}"/>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4 2" xfId="32058" xr:uid="{71C0B27E-1700-4211-A9F6-583077EC3076}"/>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4 2" xfId="32057" xr:uid="{B47D4012-52D1-4A9C-BFBF-BDF91E840BEB}"/>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4 2" xfId="32059" xr:uid="{A9EAFA3C-395D-4766-BC01-9A5A9BD9479E}"/>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3 2" xfId="32050" xr:uid="{0822F726-9BB5-43B6-BC7D-671C4F04A2D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2 2" xfId="32061" xr:uid="{81A0B583-EF08-4098-BA29-8CB71D1EC1BF}"/>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4 2" xfId="32062" xr:uid="{69B37007-37D7-4CA4-B4DD-775D18AAF759}"/>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3 2" xfId="32051" xr:uid="{22CEE816-A089-4F5A-B35C-CDFCBC15C8A1}"/>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4 2" xfId="32060" xr:uid="{29645474-4173-4481-9EDF-7B34321473FB}"/>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2 2" xfId="32064" xr:uid="{8F2224A7-F658-47AC-9F9C-1C40101B063B}"/>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3 2" xfId="32063" xr:uid="{2F4544FE-DD0C-458E-A5F3-7801B10FF742}"/>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2 2" xfId="32066" xr:uid="{35C49277-6398-40F7-A9E1-F38D0B663CA6}"/>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3 2" xfId="32065" xr:uid="{E412FD14-7403-4610-BCB7-103EB08028E3}"/>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2 2" xfId="31995" xr:uid="{FBBB992B-7268-4A2B-8FC8-F5B7ED7F43C1}"/>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2 2" xfId="32069" xr:uid="{4E9B932B-3EB3-4BB8-8374-AADC4E120D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4 2" xfId="32070" xr:uid="{4919BA01-DF60-403E-91E4-7E18224AF8DF}"/>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3 2" xfId="32052" xr:uid="{2F8F67D2-BE39-4EB8-B28C-22DCEF6374C4}"/>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4 2" xfId="32067" xr:uid="{C354CEDE-B906-4027-8CEB-603AEF15B57E}"/>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7 5" xfId="31948" xr:uid="{6C895FF5-1745-4F94-8FA4-71E7B1086F4B}"/>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2 2" xfId="31992" xr:uid="{0C65D4FE-957B-49D9-A904-603F5839E819}"/>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2 2" xfId="31996" xr:uid="{08B07DA8-177E-4E92-8CCF-6C9304D1A3DC}"/>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2 2" xfId="32073" xr:uid="{3997E3BE-F953-4B4B-B430-4CC0D767A8F3}"/>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3 2" xfId="32072" xr:uid="{533CD4A1-F5A0-4329-830F-0070BDA0B686}"/>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2 2" xfId="32074" xr:uid="{7F7023D5-24DB-40D4-B643-CF4B947A272E}"/>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3 2" xfId="32071" xr:uid="{0D2285F8-B62A-4290-B47A-573DB99E86D2}"/>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2 2" xfId="32076" xr:uid="{CFFF904A-EB5E-4675-A050-4A96387304DD}"/>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4 2" xfId="32077" xr:uid="{9ADCF775-9BCB-4884-8E43-BF6548333D3E}"/>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3 2" xfId="32053" xr:uid="{340F1A8B-7A87-4134-8C6C-EAC75F357859}"/>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4 2" xfId="32075" xr:uid="{F70F4007-23CF-48B6-AA2A-E4E18CD3AF34}"/>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2 2" xfId="32079" xr:uid="{E01893FE-E3EA-46D7-B43A-CE6EDE6235B6}"/>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3 2" xfId="32078" xr:uid="{C8BC834A-888C-4ACC-B1E4-EB98E61BCDCE}"/>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2 2" xfId="31997" xr:uid="{CB3B7A15-A192-4435-89D4-6F1AE892FC27}"/>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2 2" xfId="31998" xr:uid="{9AB864C6-70B0-40B2-9048-5E7102C682F1}"/>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4 4 2" xfId="31966" xr:uid="{F11E91DE-9EE0-49F4-BBDA-2A58C1EEC033}"/>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2 2" xfId="32082" xr:uid="{95F22DB6-C197-449D-964F-CEC0662EE1B2}"/>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3 2" xfId="32081" xr:uid="{8D7B380D-962E-4136-B851-AB0E75811DBC}"/>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2 2" xfId="32083" xr:uid="{B10015B9-303F-4A01-9144-B225F4E7D59E}"/>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3 2" xfId="32080" xr:uid="{E897EADA-4FD7-47F7-A713-F85426C4BD65}"/>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2 2" xfId="31959" xr:uid="{A9B8BBF4-CA40-4706-B17C-2723D1E8C4EB}"/>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2 2" xfId="31950" xr:uid="{A7DD43C4-B3CF-4F63-B824-C28D6F62BA6E}"/>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3 2" xfId="31963" xr:uid="{98E5C339-EB98-4152-BE55-DFDF7EBA7999}"/>
    <cellStyle name="Currency 3 3 3" xfId="31957" xr:uid="{F0631B7C-A0C0-4CE2-AED0-49A826FA3F82}"/>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2 2" xfId="32086" xr:uid="{589D3132-6570-46BC-9E46-B785D7CDC1AB}"/>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3 2" xfId="32085" xr:uid="{3BE0C25E-A5DF-4B4F-9D8E-EBE9FB0F34CE}"/>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2 2" xfId="32087" xr:uid="{99DCC8EC-A6DE-4802-AA0A-99FB516DBF20}"/>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3 2" xfId="32084" xr:uid="{98879FEC-ADB6-48B1-9F30-094ED5E533D5}"/>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2 2" xfId="32089" xr:uid="{C88B6091-ED59-4005-8F56-2C3E01555F3D}"/>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4 2" xfId="32090" xr:uid="{7D3CDCA5-C3C0-44D8-9A44-94B24E795A24}"/>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3 2" xfId="32054" xr:uid="{67D8E854-567E-4A8E-976B-E8B148C6B27F}"/>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4 2" xfId="32088" xr:uid="{DD968707-FEA5-439D-9D1F-8937A6163249}"/>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2 2" xfId="32092" xr:uid="{B138C950-A03D-4CD7-A136-5CAF87527D8A}"/>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3 2" xfId="32091" xr:uid="{C50C2256-570F-4BE3-9D8A-F925F39CF0E7}"/>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2 2" xfId="31999" xr:uid="{DB3E49A2-16BD-4CF8-AEEA-1C32E74755FE}"/>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2 2" xfId="32000" xr:uid="{E6827E4F-66AA-4A44-93FC-0282FFBDB9FF}"/>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4 4 2" xfId="31993" xr:uid="{4D916C93-7ACF-4311-8173-C4F3BEBA7443}"/>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2 2" xfId="32095" xr:uid="{6BFBB77B-5098-49A9-8DEA-2449F3C19AD6}"/>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3 2" xfId="32094" xr:uid="{6127941A-4941-4B6F-8C41-890E08D1DF46}"/>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2 2" xfId="32096" xr:uid="{B7AC0637-AB93-4C49-892F-5B33F822B329}"/>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3 2" xfId="32093" xr:uid="{CAAB1019-AF13-4350-8223-E9237702A722}"/>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2 2" xfId="32097" xr:uid="{F912ABCC-8B2D-42E9-99A5-D876CC52DB09}"/>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2 2" xfId="31949" xr:uid="{452465B0-9BA9-456F-918D-859E7102DBEE}"/>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3 6" xfId="31951" xr:uid="{038C6C18-5F8F-4841-A484-41FD01F55842}"/>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1 2" xfId="32100" xr:uid="{D8C24802-C18A-4637-91CA-FC658E9745E7}"/>
    <cellStyle name="Normal 22" xfId="12382" xr:uid="{8C915B8E-2FA3-4DC4-BD95-7A870649C7C0}"/>
    <cellStyle name="Normal 22 2" xfId="32101" xr:uid="{B8FEC79E-E366-45F8-84F7-FBFF21D008F9}"/>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2 2" xfId="32044" xr:uid="{F362D291-2848-44E9-A467-214F01760AEA}"/>
    <cellStyle name="Normal 3 2 2 4 3 2 3" xfId="31886" xr:uid="{49C2CE7A-E232-4922-840C-B66A9B71B80A}"/>
    <cellStyle name="Normal 3 2 2 4 3 3" xfId="30235" xr:uid="{B775CA85-A94A-4FA2-B016-4DD4E6773E9E}"/>
    <cellStyle name="Normal 3 2 2 4 3 3 2" xfId="31378" xr:uid="{FE22CF11-4570-4966-8D0D-C6F52D65F8E8}"/>
    <cellStyle name="Normal 3 2 2 4 3 4" xfId="31575" xr:uid="{D3F1F72C-C507-475E-BFC1-88BFEC9AABA6}"/>
    <cellStyle name="Normal 3 2 2 4 4" xfId="31820" xr:uid="{F9E6DFD3-5C36-4E26-92BC-53CE35C2A839}"/>
    <cellStyle name="Normal 3 2 2 4 5" xfId="31766" xr:uid="{447F1DD7-040F-4251-998E-31C06677362F}"/>
    <cellStyle name="Normal 3 2 2 5" xfId="31262" xr:uid="{45F1AD26-CE1F-46C4-A103-5777DD7B21F9}"/>
    <cellStyle name="Normal 3 2 2 6" xfId="31736" xr:uid="{CB28E557-7260-4BDB-8D76-2E797344B96E}"/>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2 2" xfId="31887" xr:uid="{CA292F10-9B41-47DB-990B-71F7211E9075}"/>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2 2" xfId="32003" xr:uid="{1A12E714-6482-4895-87B1-350DFDCC84D7}"/>
    <cellStyle name="Normal 3 2 3 3 2 3 5 2 3" xfId="31825" xr:uid="{E83361B3-B423-4964-9BD3-17D6E9F699B6}"/>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3 8" xfId="31767" xr:uid="{FB0074F9-BDA5-4BFF-9098-21F44055B532}"/>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4 4" xfId="31969" xr:uid="{9C10A648-235B-4879-AF30-28150FE07C0F}"/>
    <cellStyle name="Normal 3 2 3 3 2 5" xfId="2092" xr:uid="{00000000-0005-0000-0000-000006020000}"/>
    <cellStyle name="Normal 3 2 3 3 2 5 2" xfId="4665" xr:uid="{1B4AA995-6D1E-409F-BFE5-CBE6CD7AB94F}"/>
    <cellStyle name="Normal 3 2 3 3 2 5 2 2" xfId="31824" xr:uid="{F72481D8-A1C8-47BC-9864-4209EC1033E5}"/>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2 8" xfId="31738" xr:uid="{6999208B-1F94-4248-A38C-18714DE2421C}"/>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2 2" xfId="31888" xr:uid="{F07EFFB2-0B35-4165-8243-AD2DC13C9649}"/>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2 2" xfId="31827" xr:uid="{3A4CB19C-4B69-492D-9C78-4E474D489727}"/>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3 7" xfId="31769" xr:uid="{D4BE390D-028E-4189-9379-83C9F666B55F}"/>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2 2" xfId="32004" xr:uid="{4DAC25F6-0FB8-45BA-AA5E-8FD6B5E87BA1}"/>
    <cellStyle name="Normal 3 2 3 3 4 5 2 3" xfId="31826" xr:uid="{B88A0E82-7758-4C50-B045-352B923A2766}"/>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4 8" xfId="31768" xr:uid="{52BB57DC-309E-484B-9080-8913529F3D43}"/>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2 3" xfId="31889" xr:uid="{8140FA26-D17C-4584-8D4D-573ADD25FEF2}"/>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2 2" xfId="31890" xr:uid="{E154C475-ADBD-4C67-A3F0-DB3F6E0EEE5D}"/>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2 2" xfId="32006" xr:uid="{63DD628A-3332-41E5-83A6-5EF25D57C7A6}"/>
    <cellStyle name="Normal 3 2 3 4 3 5 2 3" xfId="31829" xr:uid="{7A22F7B4-05A1-48AB-AFF9-59D92A68BC9B}"/>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3 8" xfId="31770" xr:uid="{A8A31B48-1C7D-451E-A923-AF8DD1D5D41D}"/>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2 2" xfId="32005" xr:uid="{292D9CB9-5532-4C18-86A9-8AE053804D5B}"/>
    <cellStyle name="Normal 3 2 3 4 4 3 2 3" xfId="31891" xr:uid="{C0C79DCC-404D-4F1E-A63E-A2B3672DB195}"/>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4 4" xfId="31970" xr:uid="{B8CBA40C-037B-4726-A59A-F580392E6EA5}"/>
    <cellStyle name="Normal 3 2 3 4 5" xfId="2096" xr:uid="{00000000-0005-0000-0000-000010020000}"/>
    <cellStyle name="Normal 3 2 3 4 5 2" xfId="3777" xr:uid="{8B0DC8D1-7DE9-4171-A63D-3B65DE7CC539}"/>
    <cellStyle name="Normal 3 2 3 4 5 2 2" xfId="31828" xr:uid="{3186BE19-2C18-420C-B0F0-B88211CEEE55}"/>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4 8" xfId="31739" xr:uid="{E293636D-CA5D-4887-ABBA-546E8CAD5AC5}"/>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5 5" xfId="31771" xr:uid="{9ED52BCC-D564-4E54-8F1A-10E73874EAC1}"/>
    <cellStyle name="Normal 3 2 3 6" xfId="30111" xr:uid="{2DA27080-57C7-488E-9E66-228C66F3BB6F}"/>
    <cellStyle name="Normal 3 2 3 6 2" xfId="30470" xr:uid="{CBE48B84-9220-4165-B20B-487010328F48}"/>
    <cellStyle name="Normal 3 2 3 7" xfId="31737" xr:uid="{E129D624-C051-4C16-BA44-EADBCCDCB5ED}"/>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2 2" xfId="31892" xr:uid="{5701A14E-6BBA-4D7C-A82E-CCD0C8880364}"/>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2 2" xfId="32008" xr:uid="{D16BD06C-F267-415D-9602-A3A902387C1B}"/>
    <cellStyle name="Normal 3 2 4 3 5 2 3" xfId="31831" xr:uid="{8E9E19F7-83C3-4129-A871-D2AA7902053F}"/>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3 8" xfId="31772" xr:uid="{C076E18B-A48F-41C2-9A8F-066A198F18C1}"/>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4 3 2" xfId="32007" xr:uid="{08E476EB-DC98-4F80-9CA9-D9CA37233C07}"/>
    <cellStyle name="Normal 3 2 4 4 4" xfId="31971" xr:uid="{C794F656-CA7A-4FC9-9987-C98FEBB3A048}"/>
    <cellStyle name="Normal 3 2 4 5" xfId="2098" xr:uid="{00000000-0005-0000-0000-000014020000}"/>
    <cellStyle name="Normal 3 2 4 5 2" xfId="4644" xr:uid="{3EC2113D-E49B-4038-9F23-778F9B5DB2AD}"/>
    <cellStyle name="Normal 3 2 4 5 2 2" xfId="31830" xr:uid="{BC4ED26C-1BAE-4898-AE91-1636D0C98CDE}"/>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4 8" xfId="31740" xr:uid="{174DC396-6015-456B-BC3F-C6B4E00EB2BE}"/>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10" xfId="31741" xr:uid="{EB468D5C-292E-49D2-9D34-153E60EA6B6C}"/>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2 2" xfId="31893" xr:uid="{ED428851-BFE3-4469-AFC1-BE02FB35F118}"/>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2 2" xfId="32009" xr:uid="{311B6BD8-7A0C-483A-86EC-99645DD7472F}"/>
    <cellStyle name="Normal 5 2 2 3 3 2 3 5 2 3" xfId="31833" xr:uid="{9706929A-8315-4FE2-9F13-4DEB82301A94}"/>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3 8" xfId="31773" xr:uid="{3600C602-767D-4ED5-9E46-30E006767984}"/>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4 4" xfId="31972" xr:uid="{3BDF3287-9D2F-4EB0-AEB6-0530A791668F}"/>
    <cellStyle name="Normal 5 2 2 3 3 2 5" xfId="2100" xr:uid="{00000000-0005-0000-0000-000060020000}"/>
    <cellStyle name="Normal 5 2 2 3 3 2 5 2" xfId="4664" xr:uid="{456E6ACB-B92B-4E09-90D7-9887AC9A6356}"/>
    <cellStyle name="Normal 5 2 2 3 3 2 5 2 2" xfId="31832" xr:uid="{9B08E067-086D-4D9E-AE7B-5D8F62A6A981}"/>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2 8" xfId="31743" xr:uid="{B1D2670B-8947-4469-9E1A-D106971EB1E6}"/>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2 2" xfId="31894" xr:uid="{2E6D6832-4FC8-475A-846C-82A046BC7937}"/>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2 2" xfId="31835" xr:uid="{F9C48DFE-D247-4AAB-8ACB-429E8EC1470A}"/>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3 7" xfId="31775" xr:uid="{191A765D-BD8D-49B3-B1B5-6C684B35D4DB}"/>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2 2" xfId="32010" xr:uid="{2736A193-2BDD-4045-8315-72469348CA9D}"/>
    <cellStyle name="Normal 5 2 2 3 3 4 5 2 3" xfId="31834" xr:uid="{35AED4AE-B505-4004-AEF1-E371ED7E9AD4}"/>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4 8" xfId="31774" xr:uid="{9E765CF7-2580-47BD-BDC5-22CC68FF9066}"/>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2 3" xfId="31895" xr:uid="{EA5223BD-8DA4-40C2-AC0E-22FC368511DB}"/>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2 2" xfId="31896" xr:uid="{B1B8553E-CD72-46B4-9F87-F32C3DDB7B88}"/>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2 2" xfId="32012" xr:uid="{0CAD7B59-CB61-400A-A1CA-F8D9BB9A6E12}"/>
    <cellStyle name="Normal 5 2 2 3 4 3 5 2 3" xfId="31837" xr:uid="{A588BDF8-3EE2-4247-9B0A-B972145A88E0}"/>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3 8" xfId="31776" xr:uid="{4D33DC6F-0FC1-4E8F-AD20-F90B0D2EDE91}"/>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2 2" xfId="32011" xr:uid="{2077A9C9-43A2-4D9E-A5C2-A40B42EAC1FD}"/>
    <cellStyle name="Normal 5 2 2 3 4 4 3 2 3" xfId="31897" xr:uid="{C24AD1FD-349E-4B84-93CD-78B9610136AF}"/>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4 4" xfId="31973" xr:uid="{92A24D7E-B907-4159-B0CD-7C23F1DBDBD5}"/>
    <cellStyle name="Normal 5 2 2 3 4 5" xfId="2104" xr:uid="{00000000-0005-0000-0000-00006A020000}"/>
    <cellStyle name="Normal 5 2 2 3 4 5 2" xfId="4658" xr:uid="{67E9FDA9-5A2B-445D-B40D-93E8A98A8238}"/>
    <cellStyle name="Normal 5 2 2 3 4 5 2 2" xfId="31836" xr:uid="{BEF9D787-8A7B-458F-9559-A5F6222AAA4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4 8" xfId="31744" xr:uid="{54C09C6C-220A-4512-960E-B3A11CE607A0}"/>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5 5" xfId="31777" xr:uid="{DAD3241F-0709-4BA2-8D70-B3346DDE6641}"/>
    <cellStyle name="Normal 5 2 2 3 6" xfId="30103" xr:uid="{93BD7124-346B-4FA7-9E75-822A18739E86}"/>
    <cellStyle name="Normal 5 2 2 3 6 2" xfId="30471" xr:uid="{B7FC6D84-3823-4E1F-9CD2-CD3763CCF30A}"/>
    <cellStyle name="Normal 5 2 2 3 7" xfId="31742" xr:uid="{BD9708E3-C64F-4E67-96E5-9588B3900876}"/>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2 2" xfId="31898" xr:uid="{E24D45E7-A433-4A82-BA01-89F4FBFDA568}"/>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2 2" xfId="32014" xr:uid="{D9CF4148-B94C-4447-B94D-F7E4506C06A3}"/>
    <cellStyle name="Normal 5 2 2 4 3 5 2 3" xfId="31839" xr:uid="{56769A63-DAF9-4063-BC0F-E7FEEA436155}"/>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3 8" xfId="31778" xr:uid="{DF8C4899-1FAE-49A2-994F-0FB1951EE34C}"/>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2 2" xfId="32013" xr:uid="{F0B744FA-4614-4402-80E3-C62BB7B97E63}"/>
    <cellStyle name="Normal 5 2 2 4 4 3 2 3" xfId="31899" xr:uid="{FF0CC654-7F43-4CC8-93A2-65C26A8B66E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4 4" xfId="31974" xr:uid="{5011A8C3-CDD3-4D68-A94B-7DEEA43C17ED}"/>
    <cellStyle name="Normal 5 2 2 4 5" xfId="2106" xr:uid="{00000000-0005-0000-0000-00006E020000}"/>
    <cellStyle name="Normal 5 2 2 4 5 2" xfId="4678" xr:uid="{1C1F360D-C6E5-496D-8E0B-7C61EF688A4B}"/>
    <cellStyle name="Normal 5 2 2 4 5 2 2" xfId="31838" xr:uid="{AB5C8731-509D-429B-84FF-FEE9195C42AF}"/>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4 8" xfId="31745" xr:uid="{5DB8CF59-6653-4F41-A0EC-71CE16AE526F}"/>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2 2" xfId="31900" xr:uid="{44621A2E-A929-4284-A9FF-F45270594537}"/>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2 2" xfId="32015" xr:uid="{1AFB65E5-28FD-4FB2-884B-A7DA39437B77}"/>
    <cellStyle name="Normal 5 2 4 3 2 3 5 2 3" xfId="31841" xr:uid="{8238606D-9D7B-463F-B9AC-CEBBB518EC68}"/>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3 8" xfId="31779" xr:uid="{5592C6C0-637B-4A97-BA33-4BAFC3D5CD01}"/>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4 4" xfId="31975" xr:uid="{064E7659-A02B-41EA-B445-2CD6B93158B6}"/>
    <cellStyle name="Normal 5 2 4 3 2 5" xfId="2108" xr:uid="{00000000-0005-0000-0000-000077020000}"/>
    <cellStyle name="Normal 5 2 4 3 2 5 2" xfId="4633" xr:uid="{CE0C5B6A-2719-4A04-925F-57872C2DEC2B}"/>
    <cellStyle name="Normal 5 2 4 3 2 5 2 2" xfId="31840" xr:uid="{DB72C985-3400-405A-8E34-3D4DBBB619B0}"/>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2 8" xfId="31747" xr:uid="{1370E26B-E165-478B-AAB0-FF134BD6429D}"/>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2 2" xfId="31901" xr:uid="{AF7946DE-7641-48E5-9025-8E2C689F56BD}"/>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2 2" xfId="31843" xr:uid="{D8D53E3A-1EDA-4541-A925-8FF58EF0B602}"/>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3 7" xfId="31781" xr:uid="{0B9D0FA8-1EE3-4CAC-A0A2-00DAB1A6BA8A}"/>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2 2" xfId="32016" xr:uid="{B984612D-612C-48AC-958B-D0A67F1B1E04}"/>
    <cellStyle name="Normal 5 2 4 3 4 5 2 3" xfId="31842" xr:uid="{B4C65C64-48F8-476C-BF1F-436E6648816C}"/>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4 8" xfId="31780" xr:uid="{CC44A491-413C-4444-BA46-0535F11A269F}"/>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2 3" xfId="31902" xr:uid="{62E067B1-43F1-4616-A129-2387F4DA9498}"/>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2 2" xfId="31903" xr:uid="{2AF37177-E98D-48F2-970B-BB909CD2BC9F}"/>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2 2" xfId="32018" xr:uid="{E883839E-7D58-47E3-8E15-A04A27296639}"/>
    <cellStyle name="Normal 5 2 4 4 3 5 2 3" xfId="31845" xr:uid="{773EABC2-F83D-4E78-8451-67B1A81231C0}"/>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3 8" xfId="31782" xr:uid="{26431003-016D-41BB-BCD8-4AD7EA719C36}"/>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2 2" xfId="32017" xr:uid="{6EFB5ECF-FD24-404F-8ACC-1A0A3658A5F4}"/>
    <cellStyle name="Normal 5 2 4 4 4 3 2 3" xfId="31904" xr:uid="{96C8BE4E-AE03-43FB-B647-97A2DFAF2A80}"/>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4 4" xfId="31976" xr:uid="{96C5CF29-78C3-4BC2-8D3A-9FC8A17F7CFA}"/>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2 2" xfId="31844" xr:uid="{98BCF68F-B4F5-4D2B-A209-97C9F3D39170}"/>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4 9" xfId="31748" xr:uid="{B2172B9C-ACE5-4A1D-B974-F4A90FDF134C}"/>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2 2" xfId="31905" xr:uid="{2A6462AE-F26D-459E-AEED-C9F87AAAC11C}"/>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5 6" xfId="31783" xr:uid="{1EEF636D-B2A8-4DDC-B857-FD30E79DA69A}"/>
    <cellStyle name="Normal 5 2 4 6" xfId="2067" xr:uid="{00000000-0005-0000-0000-000074020000}"/>
    <cellStyle name="Normal 5 2 4 6 2" xfId="4760" xr:uid="{35A1BC4F-2451-4737-BD49-D3AC91FFB2BF}"/>
    <cellStyle name="Normal 5 2 4 6 2 2" xfId="31822" xr:uid="{445655D8-E180-43AE-9BBA-FE107CC7F67D}"/>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4 8" xfId="31746" xr:uid="{B0818DBE-3DF7-473E-9180-6516B14D033D}"/>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2 2" xfId="31906" xr:uid="{AAD94B50-DA1F-469A-8E7F-BCEA45EF6AA7}"/>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2 2" xfId="32020" xr:uid="{44BA80DB-F72E-48B7-9519-EFDFFE41E4BF}"/>
    <cellStyle name="Normal 5 2 6 3 5 2 3" xfId="31847" xr:uid="{99C3DB38-A5BF-42D1-8E7C-83F57E8044B0}"/>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3 8" xfId="31784" xr:uid="{1CD7CD3F-726F-4316-93B4-FC6400695123}"/>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4 3 2" xfId="32019" xr:uid="{98BA20A2-AFB1-4F8D-8480-022163638438}"/>
    <cellStyle name="Normal 5 2 6 4 4" xfId="31977" xr:uid="{DB2BAF49-9028-4011-ACEA-D930C32B34E8}"/>
    <cellStyle name="Normal 5 2 6 5" xfId="2114" xr:uid="{00000000-0005-0000-0000-000086020000}"/>
    <cellStyle name="Normal 5 2 6 5 2" xfId="3960" xr:uid="{FFE7DF02-3E33-41D1-A9B4-B30866C5927C}"/>
    <cellStyle name="Normal 5 2 6 5 2 2" xfId="31846" xr:uid="{1FB129DF-03C3-4C11-B526-F7F5DF43C86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6 8" xfId="31749" xr:uid="{DD71A4F9-43B5-4572-9F0F-B7995D23737F}"/>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2 2" xfId="31907" xr:uid="{68C03524-E06E-4107-8EFB-89473F95A3F1}"/>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7 8" xfId="31785" xr:uid="{BE5449F0-09AC-4CAA-8858-52E3A6789483}"/>
    <cellStyle name="Normal 5 2 8" xfId="31263" xr:uid="{3941616B-0E99-4AFF-91D2-813ADB9BBB4A}"/>
    <cellStyle name="Normal 5 2 8 2" xfId="32001" xr:uid="{47F6F1AE-402A-4B9B-B979-BE76737B6089}"/>
    <cellStyle name="Normal 5 2 8 3" xfId="31955" xr:uid="{6F9E94C5-5BF6-47D9-ADF0-7CBEB2C77F9E}"/>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2 2" xfId="31908" xr:uid="{37E683F1-D7D6-49C8-9B0A-D7D61AD26894}"/>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2 2" xfId="32022" xr:uid="{14EA1DEF-4F64-4D2F-B39B-2AB322AECF9A}"/>
    <cellStyle name="Normal 5 3 3 2 3 5 2 3" xfId="31849" xr:uid="{782550AC-565E-4895-AA07-9A53B23CB920}"/>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3 8" xfId="31786" xr:uid="{365BC452-0F3A-43BC-B1C4-98F1AB4E3375}"/>
    <cellStyle name="Normal 5 3 3 2 4" xfId="1147" xr:uid="{00000000-0005-0000-0000-000039060000}"/>
    <cellStyle name="Normal 5 3 3 2 4 2" xfId="1148" xr:uid="{00000000-0005-0000-0000-00003A060000}"/>
    <cellStyle name="Normal 5 3 3 2 4 3" xfId="1149" xr:uid="{00000000-0005-0000-0000-00003B060000}"/>
    <cellStyle name="Normal 5 3 3 2 4 3 2" xfId="32021" xr:uid="{374C4B90-7826-49A9-BE5A-C9DF7C37285E}"/>
    <cellStyle name="Normal 5 3 3 2 4 4" xfId="3733" xr:uid="{00000000-0005-0000-0000-0000A2050000}"/>
    <cellStyle name="Normal 5 3 3 2 4 4 2" xfId="4824" xr:uid="{D70A007E-549D-49FA-BB0C-2AAD55339FA5}"/>
    <cellStyle name="Normal 5 3 3 2 4 4 2 2" xfId="31909" xr:uid="{8A10AD72-09B0-4127-A0EE-3C381F376E7D}"/>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2 2" xfId="31848" xr:uid="{D992E5BB-505A-43BD-931E-716F67E81BD2}"/>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2 8" xfId="31751" xr:uid="{91388662-6C76-427C-A38F-0307D44A0723}"/>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2 2" xfId="31910" xr:uid="{34370D10-2EE0-444B-97B2-E25917F1790B}"/>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2 2" xfId="31911" xr:uid="{C4975417-71E1-4444-A050-AA74B87CFB3D}"/>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2 2" xfId="31851" xr:uid="{143F5AA4-0157-444C-B848-5E6B115C361F}"/>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3 7" xfId="31788" xr:uid="{E7927A68-0F5E-403E-819F-8FA3CADEC30F}"/>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2 2" xfId="32023" xr:uid="{B59A59DB-EECB-493C-AB5A-6DF061E917E7}"/>
    <cellStyle name="Normal 5 3 3 4 5 2 3" xfId="31850" xr:uid="{46E63488-70DA-4629-B581-F6833A167B30}"/>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4 8" xfId="31787" xr:uid="{EE488235-4F1F-4B84-95AC-CFC608829F3A}"/>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2 3" xfId="31912" xr:uid="{07BF0375-CB80-42A7-8514-CA2E72E3B54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2 2" xfId="31913" xr:uid="{F7C49844-2D3E-4055-B35C-5E34B046CF3F}"/>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2 2" xfId="31914" xr:uid="{4DE5F05D-C1A0-46A1-80CB-71E11F232401}"/>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2 2" xfId="32025" xr:uid="{E79C6A25-2350-43CD-8036-CCDFE994C2C3}"/>
    <cellStyle name="Normal 5 3 4 3 5 2 3" xfId="31853" xr:uid="{39ACAC43-154E-4920-A42C-221733A46A16}"/>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3 8" xfId="31789" xr:uid="{07784553-3819-4FFF-8018-19553ACAE779}"/>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2 2" xfId="32024" xr:uid="{0100AB08-E7DF-4632-8BB1-243500EE7575}"/>
    <cellStyle name="Normal 5 3 4 4 3 2 3" xfId="31915" xr:uid="{A788A724-87F7-4A29-A8CB-D7AEB56CB95B}"/>
    <cellStyle name="Normal 5 3 4 4 3 3" xfId="30264" xr:uid="{A5471799-C0C9-4589-A46E-238EA1C8E213}"/>
    <cellStyle name="Normal 5 3 4 4 3 3 2" xfId="31407" xr:uid="{AF8662C3-806E-4CF6-8668-C63E00A0A729}"/>
    <cellStyle name="Normal 5 3 4 4 3 4" xfId="31604" xr:uid="{9B29F8B9-D0B4-45B0-BBC8-179A09C7733D}"/>
    <cellStyle name="Normal 5 3 4 4 4" xfId="31978" xr:uid="{8A950796-E8F0-4435-BBCA-5CE6572E379E}"/>
    <cellStyle name="Normal 5 3 4 5" xfId="2120" xr:uid="{00000000-0005-0000-0000-000097020000}"/>
    <cellStyle name="Normal 5 3 4 5 2" xfId="4651" xr:uid="{AE4239F0-8210-40A2-B60A-C02B564418C5}"/>
    <cellStyle name="Normal 5 3 4 5 2 2" xfId="31852" xr:uid="{C532AE60-413D-4B53-B453-A9024C89389B}"/>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4 8" xfId="31752" xr:uid="{AFF046AA-50D9-41FD-B6FF-0B1408B3BA6F}"/>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5 5" xfId="31790" xr:uid="{77B1D849-6EC9-43C6-82E1-73A6722AE64A}"/>
    <cellStyle name="Normal 5 3 6" xfId="30113" xr:uid="{FF7EC34F-1D03-426F-944C-8DDEC9BD14BD}"/>
    <cellStyle name="Normal 5 3 6 2" xfId="30473" xr:uid="{C83318F6-E85A-4A71-88FC-A52912529995}"/>
    <cellStyle name="Normal 5 3 7" xfId="31750" xr:uid="{99F54E59-B68C-4F10-9AA6-D9DBD29C4F18}"/>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2 2" xfId="31916" xr:uid="{55DB04B3-3B98-4429-BBE5-24DADB13431E}"/>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2 2" xfId="31917" xr:uid="{EC3AB296-7A8B-4ED5-883B-72500D29A320}"/>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2 5" xfId="31792" xr:uid="{7D78499A-936D-4AAF-8765-362CDB542AA9}"/>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2 2" xfId="32026" xr:uid="{900C439F-A7EC-4D40-AFF9-D36F214C9E23}"/>
    <cellStyle name="Normal 5 5 10 5 2 3" xfId="31855" xr:uid="{BD62FDCE-B061-45CF-8349-B0C2D01F962D}"/>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6 5" xfId="31791" xr:uid="{E561715F-FEE3-4194-85BF-6E1DBCA2D1CD}"/>
    <cellStyle name="Normal 5 5 10 7" xfId="30143" xr:uid="{9EC4A54E-D459-477E-95C3-D8EED714DA54}"/>
    <cellStyle name="Normal 5 5 10 7 2" xfId="30509" xr:uid="{642D08F6-4146-4DCF-BE9E-E70107F064A1}"/>
    <cellStyle name="Normal 5 5 10 8" xfId="31753" xr:uid="{21C1DCC0-CF77-4EF8-83A3-35295668C301}"/>
    <cellStyle name="Normal 5 5 11" xfId="1181" xr:uid="{00000000-0005-0000-0000-000061060000}"/>
    <cellStyle name="Normal 5 5 11 10" xfId="12612" xr:uid="{3695D5BB-0027-43FC-862D-FE558296E53C}"/>
    <cellStyle name="Normal 5 5 11 11" xfId="31754" xr:uid="{760AB81C-495C-419A-87ED-E145652055F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2 8" xfId="31793" xr:uid="{04774382-4F83-46C2-ABBD-16CEA833158C}"/>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10" xfId="31794" xr:uid="{66EBA49D-2616-4DD9-A2C2-2CBF05119DE4}"/>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2 5" xfId="31968" xr:uid="{5226AF8A-0717-4491-8A28-06F756D04C69}"/>
    <cellStyle name="Normal 5 5 12 2 3" xfId="27499" xr:uid="{C60B8A07-C87E-417E-81F5-A75D4AE0518D}"/>
    <cellStyle name="Normal 5 5 12 2 3 2" xfId="32045" xr:uid="{94190356-550C-4AF3-B819-45F51C88A062}"/>
    <cellStyle name="Normal 5 5 12 2 3 3" xfId="31960" xr:uid="{281634ED-1B55-49BA-AEBF-B3D48FA94C78}"/>
    <cellStyle name="Normal 5 5 12 2 4" xfId="27363" xr:uid="{FCABEA70-D790-4657-BF9A-CD1687570BD1}"/>
    <cellStyle name="Normal 5 5 12 2 4 2" xfId="31989" xr:uid="{9497B344-9772-4E63-984E-7962E46929FC}"/>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3 5" xfId="31952" xr:uid="{BA541FA4-6269-48AC-A9A1-C186EC029DBE}"/>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2 2" xfId="31967" xr:uid="{5EADC51A-491F-440E-9044-640D9FB98623}"/>
    <cellStyle name="Normal 5 5 12 4 2 3" xfId="27487" xr:uid="{1A5E8FF4-C6F3-4045-99D5-5EFB1C02A4ED}"/>
    <cellStyle name="Normal 5 5 12 4 3" xfId="3742" xr:uid="{00000000-0005-0000-0000-0000CD050000}"/>
    <cellStyle name="Normal 5 5 12 4 3 2" xfId="4731" xr:uid="{D383C0AB-15AA-4183-8653-F3BF4C9DCA49}"/>
    <cellStyle name="Normal 5 5 12 4 3 2 2" xfId="31918" xr:uid="{0461A88D-C3DF-448E-A747-73EA1D4A433D}"/>
    <cellStyle name="Normal 5 5 12 4 3 3" xfId="30267" xr:uid="{0A57DE32-6FA3-493D-BCD5-EF945C4BCD4C}"/>
    <cellStyle name="Normal 5 5 12 4 3 3 2" xfId="31410" xr:uid="{8D615E02-7AB1-47B9-B5C0-EFCC16FE5595}"/>
    <cellStyle name="Normal 5 5 12 4 3 3 3" xfId="32068" xr:uid="{1D2898E6-D46E-4D95-8847-D7D8E88C7123}"/>
    <cellStyle name="Normal 5 5 12 4 3 4" xfId="31607" xr:uid="{333049E4-D2E4-478B-A9A7-397D8F1AD60F}"/>
    <cellStyle name="Normal 5 5 12 4 4" xfId="23738" xr:uid="{584E66C2-83BD-4415-897A-413EAACEC637}"/>
    <cellStyle name="Normal 5 5 12 4 4 2" xfId="31988" xr:uid="{367F1907-682D-4FAE-9580-B0C694F93C7D}"/>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2 2" xfId="31964" xr:uid="{FFBFFC89-1640-44A4-A4E2-69A8B44BD6A2}"/>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2 2" xfId="31865" xr:uid="{16E39149-2EEC-4D46-A44A-2D698490AB9C}"/>
    <cellStyle name="Normal 5 5 12 7 3" xfId="30214" xr:uid="{827A0F38-C1A0-4EEE-9A2A-D5F26A0F3BC4}"/>
    <cellStyle name="Normal 5 5 12 7 3 2" xfId="31358" xr:uid="{12077E98-D42B-4C46-B42E-477CDA1BC168}"/>
    <cellStyle name="Normal 5 5 12 7 3 3" xfId="31987" xr:uid="{8156F0F3-1D5B-4B13-BC16-6418EE10512E}"/>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2 6" xfId="31954" xr:uid="{3CABE1BA-8AB3-49AB-9088-D7F0AF37757F}"/>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2 2" xfId="32043" xr:uid="{E40EFEE4-B05E-4D75-A5A4-756CEF8FC7D1}"/>
    <cellStyle name="Normal 5 5 13 4 3" xfId="27064" xr:uid="{D13F99A1-37DD-4A26-B175-7EDE3659B42B}"/>
    <cellStyle name="Normal 5 5 13 4 4" xfId="17480" xr:uid="{5AED7AF1-2763-4797-82AA-CF475C5E3EE4}"/>
    <cellStyle name="Normal 5 5 13 4 5" xfId="31958" xr:uid="{06E3274B-77D6-408A-BD8D-798AB685CCC4}"/>
    <cellStyle name="Normal 5 5 13 5" xfId="9933" xr:uid="{18FE5CF4-E9A5-4356-8158-B3F8919FD961}"/>
    <cellStyle name="Normal 5 5 13 5 2" xfId="29432" xr:uid="{5879B14D-2429-4E4A-9882-196F79DE5875}"/>
    <cellStyle name="Normal 5 5 13 5 3" xfId="20313" xr:uid="{0267A0D3-C892-4DAA-A391-47195DB4C23E}"/>
    <cellStyle name="Normal 5 5 13 5 4" xfId="31979" xr:uid="{5BFD7E38-AFB1-4CFD-B43B-9334A2BA89E6}"/>
    <cellStyle name="Normal 5 5 13 6" xfId="24213" xr:uid="{6BA6356E-FEFE-4288-B90B-406AF9C7B10D}"/>
    <cellStyle name="Normal 5 5 13 6 2" xfId="31953" xr:uid="{99BDD95A-E9FC-455C-A0B3-34F130221D24}"/>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2 3" xfId="31919" xr:uid="{7E9AB0C5-7B6A-43A2-86ED-D7D6944AD698}"/>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2 3" xfId="31854" xr:uid="{9C4CA146-CD8A-43C8-9976-5E9A01AD1076}"/>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10" xfId="31795" xr:uid="{5721D146-8383-43F3-8B77-38589ABE2352}"/>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2 2" xfId="32098" xr:uid="{B1E1AEA4-23F2-4105-B2E0-A04D3A8D6D46}"/>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2 3" xfId="31920" xr:uid="{47C31B27-2558-4206-BDD2-FE1B0C070921}"/>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2 2" xfId="32046" xr:uid="{1FCAB673-D89A-4621-A675-19B5ACA00E7D}"/>
    <cellStyle name="Normal 5 5 3 3 6 2 3" xfId="31856" xr:uid="{0E3C6A50-3997-4031-A13E-E2CD20200119}"/>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2 2" xfId="31921" xr:uid="{F5435368-EBAC-4421-990C-A5C59219F3CC}"/>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5 2" xfId="31821" xr:uid="{62BDE781-1563-41A9-BCCF-4F4C53239345}"/>
    <cellStyle name="Normal 6 2 5 3" xfId="31796" xr:uid="{077C2281-0682-4D88-A7A0-408766F06DD2}"/>
    <cellStyle name="Normal 6 2 6" xfId="31264" xr:uid="{C7864499-C7D0-4F15-868C-ECC295E72CB1}"/>
    <cellStyle name="Normal 6 2 7" xfId="31755" xr:uid="{45921253-DCCC-4273-BDB6-D0A66CFE9528}"/>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2 2" xfId="31922" xr:uid="{38140E9B-1220-462B-923C-EF6351DDF4E5}"/>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2 2" xfId="32027" xr:uid="{958BDD32-205E-4FB6-B69C-F8F954241720}"/>
    <cellStyle name="Normal 6 3 3 3 2 3 5 2 3" xfId="31858" xr:uid="{2F9A1D62-0AD5-47F7-8211-4A58F184A570}"/>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3 8" xfId="31797" xr:uid="{3976D9BA-46D1-47E6-B753-1E0F72F13FAF}"/>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4 4" xfId="31980" xr:uid="{E27495FE-7165-45CC-8AC7-5AC1A4B43473}"/>
    <cellStyle name="Normal 6 3 3 3 2 5" xfId="2125" xr:uid="{00000000-0005-0000-0000-0000BC020000}"/>
    <cellStyle name="Normal 6 3 3 3 2 5 2" xfId="4636" xr:uid="{6DCD8049-BC85-477D-8DF4-71B624F9476D}"/>
    <cellStyle name="Normal 6 3 3 3 2 5 2 2" xfId="31857" xr:uid="{9C5BBAF0-1D6C-43DD-BB1C-485CE237EDDC}"/>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2 8" xfId="31757" xr:uid="{52924123-4EA9-4BCD-BFAA-0612D2545FE1}"/>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2 2" xfId="31923" xr:uid="{6C2F1E16-A414-4CE5-A03C-A9DDEED7A926}"/>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2 2" xfId="31860" xr:uid="{E19C2BE4-F391-44E7-9B20-F25B4FCBFF7F}"/>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3 7" xfId="31799" xr:uid="{E46E694E-CF04-436A-AE6F-C74D7FE131E8}"/>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2 2" xfId="32028" xr:uid="{46EAAF0A-E392-43B4-8B03-ACAD8E1822A5}"/>
    <cellStyle name="Normal 6 3 3 3 4 5 2 3" xfId="31859" xr:uid="{B9E19DEA-979B-4506-99DB-F554BD910C6F}"/>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4 8" xfId="31798" xr:uid="{23E65F92-6F2E-45A7-B5C4-DE3FECBB10F3}"/>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2 3" xfId="31924" xr:uid="{45330373-44F6-47C5-8B69-5336F036C77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2 2" xfId="31925" xr:uid="{855AC904-2E82-44B3-9A95-34FFF4E2C569}"/>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2 2" xfId="32030" xr:uid="{25A5FB05-4216-4E67-A896-801095F95763}"/>
    <cellStyle name="Normal 6 3 3 4 3 5 2 3" xfId="31862" xr:uid="{F60BA680-676A-4151-A210-B66CF858B813}"/>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3 8" xfId="31800" xr:uid="{8A08F5DE-12A2-47E0-8364-E3310BDE5A7D}"/>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2 2" xfId="32029" xr:uid="{9E133FEB-9BCA-46CD-A743-F0FA3C503FAB}"/>
    <cellStyle name="Normal 6 3 3 4 4 3 2 3" xfId="31926" xr:uid="{3EE30B3A-B562-4236-8C63-454A2D10BE26}"/>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4 4" xfId="31981" xr:uid="{10F68A6C-5738-4DAC-909E-30400ED7F1AB}"/>
    <cellStyle name="Normal 6 3 3 4 5" xfId="2129" xr:uid="{00000000-0005-0000-0000-0000C6020000}"/>
    <cellStyle name="Normal 6 3 3 4 5 2" xfId="3775" xr:uid="{E7CE2CBA-ABE9-40BC-B051-DB9C5FB798E6}"/>
    <cellStyle name="Normal 6 3 3 4 5 2 2" xfId="31861" xr:uid="{8A880DAD-EE85-4196-A9DD-739B55D9B21E}"/>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4 8" xfId="31758" xr:uid="{65BBDC59-D68D-4D96-A6C0-ED73F549AE9F}"/>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5 5" xfId="31801" xr:uid="{46D8A4CE-C676-428E-9E89-293C02F757E6}"/>
    <cellStyle name="Normal 6 3 3 6" xfId="30101" xr:uid="{39D311B1-3F99-4637-B6B6-3945F5B433CC}"/>
    <cellStyle name="Normal 6 3 3 6 2" xfId="30474" xr:uid="{F1B2B02C-F2EA-473E-AE49-8B217EFDE528}"/>
    <cellStyle name="Normal 6 3 3 7" xfId="31756" xr:uid="{8069C8BE-58D4-41AC-8230-CB8668488A4E}"/>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2 2" xfId="31927" xr:uid="{3839AACC-97DF-42D5-8A7B-6823B9364E25}"/>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2 2" xfId="32032" xr:uid="{336D2F63-7F46-4C02-B555-69B4AB3B3F03}"/>
    <cellStyle name="Normal 6 3 4 3 5 2 3" xfId="31864" xr:uid="{5963023D-7124-4DC2-9F60-63DAAFF88E04}"/>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3 8" xfId="31802" xr:uid="{1171FFAE-78B6-42E4-8B41-8208E0720FFC}"/>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4 3 2" xfId="32031" xr:uid="{05BCB095-0997-4B44-BF23-B0E440465C96}"/>
    <cellStyle name="Normal 6 3 4 4 4" xfId="31982" xr:uid="{D928F79F-F355-4B32-A433-04E87502D19D}"/>
    <cellStyle name="Normal 6 3 4 5" xfId="2131" xr:uid="{00000000-0005-0000-0000-0000CA020000}"/>
    <cellStyle name="Normal 6 3 4 5 2" xfId="4625" xr:uid="{385DF0D6-58F0-450D-88C9-C3CEB76D1408}"/>
    <cellStyle name="Normal 6 3 4 5 2 2" xfId="31863" xr:uid="{B19AFEB2-A95F-4884-A46C-2BDF3322D6D7}"/>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4 8" xfId="31759" xr:uid="{57DE0197-A412-4362-8F1E-FE7061F199CC}"/>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2 2" xfId="31928" xr:uid="{332B4FF5-81E4-4A45-8769-E2607322E1D7}"/>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2 2" xfId="32033" xr:uid="{9C370B71-FF82-4483-AAD7-6C48147C670A}"/>
    <cellStyle name="Normal 6 5 3 2 3 5 2 3" xfId="31867" xr:uid="{C063FC67-1F2D-4A87-B69F-4E96C96AAE9D}"/>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3 8" xfId="31803" xr:uid="{C4DB88DE-6DC1-4A9F-98C4-95F88879C7DD}"/>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4 4" xfId="31983" xr:uid="{F700EA00-B353-4F62-97BE-55BD627986FD}"/>
    <cellStyle name="Normal 6 5 3 2 5" xfId="2134" xr:uid="{00000000-0005-0000-0000-0000D2020000}"/>
    <cellStyle name="Normal 6 5 3 2 5 2" xfId="4683" xr:uid="{985E2EB5-9E1E-43AC-B0AB-0DDE28EC2B5C}"/>
    <cellStyle name="Normal 6 5 3 2 5 2 2" xfId="31866" xr:uid="{B14F67AF-72FF-4D0B-869E-CE70BEB6C0E3}"/>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2 8" xfId="31761" xr:uid="{ADC133E9-C6FD-4293-A1D1-324A8E6B0307}"/>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2 2" xfId="31929" xr:uid="{8BC64EB6-1888-4EA0-B672-9DFB184F1982}"/>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2 2" xfId="31869" xr:uid="{96233FB9-6198-4DEB-8A33-41B34D98EC0F}"/>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3 7" xfId="31805" xr:uid="{912AA93E-93DF-4F80-9DBB-78FF610DAC1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2 2" xfId="32034" xr:uid="{6BBAADB3-AD20-4177-AA5B-CB09CB943FAF}"/>
    <cellStyle name="Normal 6 5 3 4 5 2 3" xfId="31868" xr:uid="{9690CAF4-43DD-46D0-8DAE-DBF9C760FDA0}"/>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4 8" xfId="31804" xr:uid="{56B6432B-6EAB-4D70-844D-BD618F3C239B}"/>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2 3" xfId="31930" xr:uid="{45CDCE79-D910-4431-B7A4-083CCFF26A4C}"/>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2 2" xfId="31931" xr:uid="{9B6DD662-D638-4D84-9D4E-71ABE6DC9864}"/>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2 2" xfId="32036" xr:uid="{00C4E5F3-2243-4582-9782-AC689C349C56}"/>
    <cellStyle name="Normal 6 5 4 3 5 2 3" xfId="31871" xr:uid="{6AA66F2D-3080-4CAB-97A8-848E02B83762}"/>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3 8" xfId="31806" xr:uid="{ED970FC6-1433-4473-B26D-2D42A8001F33}"/>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2 2" xfId="32035" xr:uid="{0DF781CA-16FB-4F15-99D3-0507C70D9970}"/>
    <cellStyle name="Normal 6 5 4 4 3 2 3" xfId="31932" xr:uid="{C0534971-8044-46A4-9BA4-57562E2D4CF9}"/>
    <cellStyle name="Normal 6 5 4 4 3 3" xfId="30281" xr:uid="{0B00FD0E-6729-4916-9762-F885F79C9AA2}"/>
    <cellStyle name="Normal 6 5 4 4 3 3 2" xfId="31424" xr:uid="{06166BF6-49AB-4FD9-B6C9-466EFABFB73C}"/>
    <cellStyle name="Normal 6 5 4 4 3 4" xfId="31621" xr:uid="{F51A84E7-859C-4016-A24B-CC6BB58A5781}"/>
    <cellStyle name="Normal 6 5 4 4 4" xfId="31984" xr:uid="{B2CAE3FF-120F-4D0C-9C5A-33449450B117}"/>
    <cellStyle name="Normal 6 5 4 5" xfId="2138" xr:uid="{00000000-0005-0000-0000-0000DC020000}"/>
    <cellStyle name="Normal 6 5 4 5 2" xfId="4627" xr:uid="{F656D414-B9FB-4E57-A874-02EABF4164A9}"/>
    <cellStyle name="Normal 6 5 4 5 2 2" xfId="31870" xr:uid="{2ACFF9D8-C6AD-4E40-AD8A-E15E6FCD5377}"/>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4 8" xfId="31762" xr:uid="{76FFD9B9-68FE-416A-A006-05300D954BFC}"/>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5 5" xfId="31807" xr:uid="{13DEC03E-D627-446D-A023-E9D26FF4E707}"/>
    <cellStyle name="Normal 6 5 6" xfId="30114" xr:uid="{8D7A58C9-2680-41F9-B10A-5FB6EB00FD95}"/>
    <cellStyle name="Normal 6 5 6 2" xfId="30475" xr:uid="{6AC3E222-93E2-4ED5-A04F-8AD2183A95F8}"/>
    <cellStyle name="Normal 6 5 7" xfId="31760" xr:uid="{9F46BD4E-9DC9-4431-8050-9970152F529F}"/>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3 2" xfId="32047" xr:uid="{3D5A64D0-64DB-4494-91A7-1370CE3CDA98}"/>
    <cellStyle name="Normal 6 6 3 3 4" xfId="2141" xr:uid="{00000000-0005-0000-0000-0000E4020000}"/>
    <cellStyle name="Normal 6 6 3 3 4 2" xfId="4746" xr:uid="{DCE992B0-96C0-4517-B80E-99DBA26EC200}"/>
    <cellStyle name="Normal 6 6 3 3 4 2 2" xfId="31873" xr:uid="{2E44D7ED-7BDC-401F-B929-586BE51CB4F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3 7" xfId="31808" xr:uid="{2A4CE7D0-E43D-4B1B-8AD6-3F426D199B9D}"/>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2 2" xfId="31933" xr:uid="{E3ADF365-71F1-4718-939E-3BF21C8E2A49}"/>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2 2" xfId="31934" xr:uid="{5C146311-DE13-4540-9ECE-1896A3D246B5}"/>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2 2" xfId="32037" xr:uid="{5492E924-7F67-4AF3-877A-296EAF6464ED}"/>
    <cellStyle name="Normal 6 6 4 5 2 3" xfId="31874" xr:uid="{D73F03AB-ACAB-4219-8945-82AD4591A1D2}"/>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4 8" xfId="31809" xr:uid="{610812F3-46D8-4976-B8FC-C4FA24DB22C7}"/>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2 2" xfId="31884" xr:uid="{AFFF422C-1341-4DE7-8471-A478BFD4EBF4}"/>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6 7" xfId="31810" xr:uid="{C7CDE778-21AA-4017-9C7B-BB53CF91FB90}"/>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2 2" xfId="31935" xr:uid="{F25EC3B2-CD9D-458C-9DBF-4396AEA31810}"/>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2 2" xfId="31872" xr:uid="{C025B011-60D0-43A0-BA5C-BB97A8A32CBD}"/>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2 4" xfId="32002" xr:uid="{7AC92EB8-0921-4079-BB8D-330F774EADD8}"/>
    <cellStyle name="Normal 7 16 3" xfId="10118" xr:uid="{55FE5E11-08C7-4A4A-B6B1-9A55D8442D61}"/>
    <cellStyle name="Normal 7 16 3 2" xfId="20498" xr:uid="{5B263FD6-644E-4205-BA6A-B5FA3C82A433}"/>
    <cellStyle name="Normal 7 16 3 3" xfId="31956" xr:uid="{800D3A1B-73D0-4603-A63D-15E57C091509}"/>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2 2" xfId="31936" xr:uid="{6FD0DA56-BE38-4228-972A-7B96D4DF88A3}"/>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2 2" xfId="32038" xr:uid="{5B194527-C57F-49FA-AE42-437F423F5D54}"/>
    <cellStyle name="Normal 7 3 3 2 3 5 2 3" xfId="31876" xr:uid="{C65BBA97-A299-4AAE-91DF-2FDF88605F94}"/>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3 8" xfId="31811" xr:uid="{6E266FE0-E835-40B5-8820-219C24E49F07}"/>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4 4" xfId="31985" xr:uid="{362599B3-57AD-4642-84DD-F90A45ADE8D3}"/>
    <cellStyle name="Normal 7 3 3 2 5" xfId="2143" xr:uid="{00000000-0005-0000-0000-0000F5020000}"/>
    <cellStyle name="Normal 7 3 3 2 5 2" xfId="4662" xr:uid="{8519FF03-5F6D-4EB4-B933-25C9AA886D70}"/>
    <cellStyle name="Normal 7 3 3 2 5 2 2" xfId="31875" xr:uid="{84764631-9851-45B5-9EF5-97BD17E2A2A4}"/>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2 8" xfId="31764" xr:uid="{20A3F968-2209-4641-B99A-73098235D70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2 2" xfId="31937" xr:uid="{ACBAD40D-2A9F-4C48-8DC0-4929460206C8}"/>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2 2" xfId="31878" xr:uid="{279F45CB-E49A-4A37-B5D5-E0374422F560}"/>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3 7" xfId="31813" xr:uid="{91221088-CF4E-4155-8AA4-308AC6E7B952}"/>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2 2" xfId="32039" xr:uid="{E4FDF961-D433-42CC-BD85-187E4AD6E6A4}"/>
    <cellStyle name="Normal 7 3 3 4 5 2 3" xfId="31877" xr:uid="{9CD33BDA-2FF9-4ECE-92FA-3AA91D70CEEB}"/>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4 8" xfId="31812" xr:uid="{0ED5B572-6E94-4A1D-B916-32EEBF00773C}"/>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2 3" xfId="31938" xr:uid="{C4430DCA-4A0A-4BCC-9A74-F7CEAD9E70D7}"/>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2 2" xfId="31939" xr:uid="{948F3AFB-44CC-4742-BE41-1E3ACDA28834}"/>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2 2" xfId="32041" xr:uid="{1E272A3E-6FCA-414F-A662-1B27C70E60E9}"/>
    <cellStyle name="Normal 7 3 4 3 5 2 3" xfId="31880" xr:uid="{E9C5BBAE-6E48-4349-8A20-51A4482A452B}"/>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3 8" xfId="31814" xr:uid="{43221125-5F1E-4F08-98A6-0603AE948FC8}"/>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2 2" xfId="32040" xr:uid="{5388EBAB-2E06-4C8F-B4E8-A451F4BE1F3E}"/>
    <cellStyle name="Normal 7 3 4 4 3 2 3" xfId="31940" xr:uid="{FF46E446-9913-4BFA-B9CE-0A27B1FFAE50}"/>
    <cellStyle name="Normal 7 3 4 4 3 3" xfId="30289" xr:uid="{33067305-5030-4C44-A096-EB1A04AB9E17}"/>
    <cellStyle name="Normal 7 3 4 4 3 3 2" xfId="31432" xr:uid="{5464B581-FC1F-4F05-88EE-62C6E6E88CAA}"/>
    <cellStyle name="Normal 7 3 4 4 3 4" xfId="31629" xr:uid="{0A8F1EDA-FA33-459B-B2F0-524CCFD0733E}"/>
    <cellStyle name="Normal 7 3 4 4 4" xfId="31986" xr:uid="{5FA158AD-EEDF-46C4-B2C1-5880469DC24D}"/>
    <cellStyle name="Normal 7 3 4 5" xfId="2147" xr:uid="{00000000-0005-0000-0000-0000FF020000}"/>
    <cellStyle name="Normal 7 3 4 5 2" xfId="4675" xr:uid="{62B191F5-1F42-4E10-9F64-94BCDEA70967}"/>
    <cellStyle name="Normal 7 3 4 5 2 2" xfId="31879" xr:uid="{AE64FE66-7404-4CDD-A344-E63CE6655D34}"/>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4 8" xfId="31765" xr:uid="{95C596D3-ED86-4624-9971-70FCAED1A35F}"/>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5 5" xfId="31815" xr:uid="{3BDBBCA5-3763-4B45-BD6E-B589C547F6DD}"/>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3 8" xfId="31763" xr:uid="{E223C185-953A-4AA4-806C-B7ED9FAC6716}"/>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2 2" xfId="31941" xr:uid="{B827939B-BF35-4DB9-8C0F-373D5F02B774}"/>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2 2" xfId="32042" xr:uid="{95EE7892-E785-4C61-B111-15696A2B3CDB}"/>
    <cellStyle name="Normal 7 6 10 5 2 3" xfId="31882" xr:uid="{7DC35C91-BFF3-4B24-90DE-3E113073511F}"/>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0 8" xfId="31817" xr:uid="{A810256B-D8FE-4E93-BCAD-FB0B638D5142}"/>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2 3" xfId="31885" xr:uid="{CB56BFB2-1028-4EB2-B348-7CB340B3284C}"/>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2 8" xfId="31818" xr:uid="{44BEF680-9675-4308-B9E6-BB98F2DB98FE}"/>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2 3" xfId="31942" xr:uid="{F7AC5957-1E7C-4B63-AAC6-D9BF6381A778}"/>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2 3" xfId="31881" xr:uid="{D16746B0-568E-4503-890D-9E83ED58D448}"/>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8 5" xfId="31816" xr:uid="{2FC41A00-E260-413F-82BB-BBDF0BFD710D}"/>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6 2" xfId="32055" xr:uid="{F069F1D6-F99C-47D0-BA98-6897C352D097}"/>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10" xfId="31819" xr:uid="{313C891D-BFDD-4D6A-907D-D1D0E9BC7E9E}"/>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2 3" xfId="31943" xr:uid="{720A82FA-7BBD-495E-ABA4-1E8032DB6FFC}"/>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2 2" xfId="32048" xr:uid="{59CE031F-99EC-46D1-9939-E0ABD1FFF6C8}"/>
    <cellStyle name="Normal 7 6 3 3 6 2 3" xfId="31883" xr:uid="{47A24128-FCE1-4CE1-A521-2F5792AC09D3}"/>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6 2" xfId="32049" xr:uid="{E8D9B378-FCEA-447D-9ADF-8B06E872A144}"/>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2 2" xfId="31944" xr:uid="{682D2FDD-87BB-4B2E-9EA1-DDE0A401775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2 2" xfId="31823" xr:uid="{07565C65-4914-425A-8450-04EE6A3E18F1}"/>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29">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FF5050"/>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8"/>
      <tableStyleElement type="headerRow" dxfId="27"/>
      <tableStyleElement type="firstRowStripe" dxfId="26"/>
    </tableStyle>
  </tableStyles>
  <colors>
    <mruColors>
      <color rgb="FFFFFFCC"/>
      <color rgb="FFFFC7CE"/>
      <color rgb="FFCCFFFF"/>
      <color rgb="FFCCFFCC"/>
      <color rgb="FFE14343"/>
      <color rgb="FFCCFF66"/>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4665344</xdr:colOff>
      <xdr:row>16</xdr:row>
      <xdr:rowOff>40005</xdr:rowOff>
    </xdr:from>
    <xdr:to>
      <xdr:col>1</xdr:col>
      <xdr:colOff>6907529</xdr:colOff>
      <xdr:row>16</xdr:row>
      <xdr:rowOff>483870</xdr:rowOff>
    </xdr:to>
    <xdr:sp macro="" textlink="">
      <xdr:nvSpPr>
        <xdr:cNvPr id="4" name="Hexagon 3">
          <a:extLst>
            <a:ext uri="{FF2B5EF4-FFF2-40B4-BE49-F238E27FC236}">
              <a16:creationId xmlns:a16="http://schemas.microsoft.com/office/drawing/2014/main" id="{5DEDAEA8-BE85-47EC-B00C-880A3C053453}"/>
            </a:ext>
          </a:extLst>
        </xdr:cNvPr>
        <xdr:cNvSpPr/>
      </xdr:nvSpPr>
      <xdr:spPr>
        <a:xfrm>
          <a:off x="5065394" y="6174105"/>
          <a:ext cx="2242185" cy="44386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Q 955 - Exclude Federal and State compliance findings from this number</a:t>
          </a:r>
        </a:p>
      </xdr:txBody>
    </xdr:sp>
    <xdr:clientData/>
  </xdr:twoCellAnchor>
  <xdr:twoCellAnchor>
    <xdr:from>
      <xdr:col>1</xdr:col>
      <xdr:colOff>4684394</xdr:colOff>
      <xdr:row>17</xdr:row>
      <xdr:rowOff>20955</xdr:rowOff>
    </xdr:from>
    <xdr:to>
      <xdr:col>1</xdr:col>
      <xdr:colOff>6926579</xdr:colOff>
      <xdr:row>17</xdr:row>
      <xdr:rowOff>464820</xdr:rowOff>
    </xdr:to>
    <xdr:sp macro="" textlink="">
      <xdr:nvSpPr>
        <xdr:cNvPr id="5" name="Hexagon 4">
          <a:extLst>
            <a:ext uri="{FF2B5EF4-FFF2-40B4-BE49-F238E27FC236}">
              <a16:creationId xmlns:a16="http://schemas.microsoft.com/office/drawing/2014/main" id="{C1BB102F-6460-4E1C-9675-6B108526E3C6}"/>
            </a:ext>
          </a:extLst>
        </xdr:cNvPr>
        <xdr:cNvSpPr/>
      </xdr:nvSpPr>
      <xdr:spPr>
        <a:xfrm>
          <a:off x="5084444" y="6669405"/>
          <a:ext cx="2242185" cy="44386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Q 957 - Exclude Federal and State compliance findings from this number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6181A-1D52-46B7-AD72-8FA595B47F8F}">
  <dimension ref="B1:N59"/>
  <sheetViews>
    <sheetView tabSelected="1" workbookViewId="0">
      <selection activeCell="B2" sqref="B2"/>
    </sheetView>
  </sheetViews>
  <sheetFormatPr defaultColWidth="9.109375" defaultRowHeight="14.4" x14ac:dyDescent="0.3"/>
  <cols>
    <col min="1" max="1" width="1.6640625" style="119" customWidth="1"/>
    <col min="2" max="2" width="187.109375" style="119" customWidth="1"/>
    <col min="3" max="4" width="9.109375" style="119" hidden="1" customWidth="1"/>
    <col min="5" max="5" width="2.33203125" style="119" customWidth="1"/>
    <col min="6" max="6" width="16.44140625" style="119" customWidth="1"/>
    <col min="7" max="16384" width="9.109375" style="119"/>
  </cols>
  <sheetData>
    <row r="1" spans="2:14" ht="9.6" customHeight="1" thickBot="1" x14ac:dyDescent="0.35">
      <c r="B1" s="102"/>
    </row>
    <row r="2" spans="2:14" ht="91.95" customHeight="1" thickBot="1" x14ac:dyDescent="0.35">
      <c r="B2" s="351" t="s">
        <v>951</v>
      </c>
    </row>
    <row r="3" spans="2:14" ht="61.2" customHeight="1" x14ac:dyDescent="0.3">
      <c r="B3" s="113" t="s">
        <v>803</v>
      </c>
    </row>
    <row r="4" spans="2:14" ht="83.4" customHeight="1" x14ac:dyDescent="0.4">
      <c r="B4" s="113" t="s">
        <v>397</v>
      </c>
      <c r="F4" s="352"/>
      <c r="G4" s="352"/>
      <c r="H4" s="352"/>
      <c r="I4" s="352"/>
      <c r="J4" s="352"/>
      <c r="K4" s="352"/>
      <c r="L4" s="352"/>
      <c r="M4" s="352"/>
      <c r="N4" s="352"/>
    </row>
    <row r="5" spans="2:14" ht="58.2" customHeight="1" x14ac:dyDescent="0.3">
      <c r="B5" s="113" t="s">
        <v>398</v>
      </c>
    </row>
    <row r="6" spans="2:14" ht="117.6" customHeight="1" x14ac:dyDescent="0.3">
      <c r="B6" s="103" t="s">
        <v>399</v>
      </c>
    </row>
    <row r="7" spans="2:14" ht="25.95" customHeight="1" x14ac:dyDescent="0.3">
      <c r="B7" s="115" t="s">
        <v>292</v>
      </c>
    </row>
    <row r="8" spans="2:14" ht="49.2" customHeight="1" x14ac:dyDescent="0.3">
      <c r="B8" s="353" t="s">
        <v>400</v>
      </c>
    </row>
    <row r="9" spans="2:14" ht="42.6" customHeight="1" x14ac:dyDescent="0.3">
      <c r="B9" s="353" t="s">
        <v>293</v>
      </c>
    </row>
    <row r="10" spans="2:14" s="355" customFormat="1" ht="34.200000000000003" customHeight="1" x14ac:dyDescent="0.3">
      <c r="B10" s="354" t="s">
        <v>807</v>
      </c>
    </row>
    <row r="11" spans="2:14" s="355" customFormat="1" ht="55.95" customHeight="1" x14ac:dyDescent="0.3">
      <c r="B11" s="356" t="s">
        <v>401</v>
      </c>
    </row>
    <row r="12" spans="2:14" ht="36" customHeight="1" x14ac:dyDescent="0.3">
      <c r="B12" s="356" t="s">
        <v>402</v>
      </c>
    </row>
    <row r="13" spans="2:14" ht="39" customHeight="1" x14ac:dyDescent="0.3">
      <c r="B13" s="357" t="s">
        <v>403</v>
      </c>
    </row>
    <row r="14" spans="2:14" ht="25.95" customHeight="1" x14ac:dyDescent="0.3">
      <c r="B14" s="115" t="s">
        <v>294</v>
      </c>
    </row>
    <row r="15" spans="2:14" x14ac:dyDescent="0.3">
      <c r="B15" s="102"/>
    </row>
    <row r="16" spans="2:14" x14ac:dyDescent="0.3">
      <c r="B16" s="358" t="s">
        <v>8</v>
      </c>
    </row>
    <row r="17" spans="2:2" ht="15.6" customHeight="1" x14ac:dyDescent="0.3">
      <c r="B17" s="359" t="s">
        <v>404</v>
      </c>
    </row>
    <row r="18" spans="2:2" x14ac:dyDescent="0.3">
      <c r="B18" s="360"/>
    </row>
    <row r="19" spans="2:2" x14ac:dyDescent="0.3">
      <c r="B19" s="358" t="s">
        <v>9</v>
      </c>
    </row>
    <row r="20" spans="2:2" ht="15.6" customHeight="1" x14ac:dyDescent="0.3">
      <c r="B20" s="361" t="s">
        <v>225</v>
      </c>
    </row>
    <row r="21" spans="2:2" ht="13.2" customHeight="1" x14ac:dyDescent="0.3">
      <c r="B21" s="102"/>
    </row>
    <row r="22" spans="2:2" ht="25.95" customHeight="1" x14ac:dyDescent="0.3">
      <c r="B22" s="115" t="s">
        <v>295</v>
      </c>
    </row>
    <row r="23" spans="2:2" s="355" customFormat="1" ht="72.599999999999994" customHeight="1" x14ac:dyDescent="0.3">
      <c r="B23" s="353" t="s">
        <v>804</v>
      </c>
    </row>
    <row r="24" spans="2:2" s="355" customFormat="1" ht="84.6" customHeight="1" x14ac:dyDescent="0.3">
      <c r="B24" s="353" t="s">
        <v>405</v>
      </c>
    </row>
    <row r="25" spans="2:2" s="355" customFormat="1" ht="78.599999999999994" customHeight="1" x14ac:dyDescent="0.3">
      <c r="B25" s="353" t="s">
        <v>296</v>
      </c>
    </row>
    <row r="26" spans="2:2" ht="15" x14ac:dyDescent="0.3">
      <c r="B26" s="105" t="s">
        <v>406</v>
      </c>
    </row>
    <row r="27" spans="2:2" ht="8.4" customHeight="1" x14ac:dyDescent="0.3">
      <c r="B27" s="104"/>
    </row>
    <row r="28" spans="2:2" ht="25.95" customHeight="1" x14ac:dyDescent="0.3">
      <c r="B28" s="115" t="s">
        <v>407</v>
      </c>
    </row>
    <row r="29" spans="2:2" ht="28.95" customHeight="1" x14ac:dyDescent="0.3">
      <c r="B29" s="116" t="s">
        <v>795</v>
      </c>
    </row>
    <row r="30" spans="2:2" ht="31.95" customHeight="1" x14ac:dyDescent="0.3">
      <c r="B30" s="116" t="s">
        <v>796</v>
      </c>
    </row>
    <row r="31" spans="2:2" ht="30.6" customHeight="1" x14ac:dyDescent="0.3">
      <c r="B31" s="362" t="s">
        <v>797</v>
      </c>
    </row>
    <row r="32" spans="2:2" ht="25.2" customHeight="1" x14ac:dyDescent="0.3">
      <c r="B32" s="362" t="s">
        <v>798</v>
      </c>
    </row>
    <row r="33" spans="2:7" ht="27.6" customHeight="1" x14ac:dyDescent="0.3">
      <c r="B33" s="362" t="s">
        <v>799</v>
      </c>
    </row>
    <row r="34" spans="2:7" ht="31.95" customHeight="1" x14ac:dyDescent="0.3">
      <c r="B34" s="363" t="s">
        <v>408</v>
      </c>
    </row>
    <row r="35" spans="2:7" ht="60" customHeight="1" x14ac:dyDescent="0.3">
      <c r="B35" s="116" t="s">
        <v>805</v>
      </c>
    </row>
    <row r="36" spans="2:7" ht="60" customHeight="1" x14ac:dyDescent="0.3">
      <c r="B36" s="495" t="s">
        <v>800</v>
      </c>
    </row>
    <row r="37" spans="2:7" ht="25.95" customHeight="1" x14ac:dyDescent="0.3">
      <c r="B37" s="116" t="s">
        <v>409</v>
      </c>
    </row>
    <row r="38" spans="2:7" ht="12" customHeight="1" x14ac:dyDescent="0.3">
      <c r="B38" s="116"/>
    </row>
    <row r="39" spans="2:7" ht="25.95" customHeight="1" x14ac:dyDescent="0.3">
      <c r="B39" s="115" t="s">
        <v>801</v>
      </c>
    </row>
    <row r="40" spans="2:7" x14ac:dyDescent="0.3">
      <c r="B40" s="114"/>
      <c r="G40" s="364"/>
    </row>
    <row r="41" spans="2:7" ht="43.2" customHeight="1" x14ac:dyDescent="0.3">
      <c r="B41" s="365" t="s">
        <v>410</v>
      </c>
    </row>
    <row r="42" spans="2:7" ht="19.95" customHeight="1" x14ac:dyDescent="0.3">
      <c r="B42" s="366" t="s">
        <v>403</v>
      </c>
    </row>
    <row r="43" spans="2:7" ht="11.4" customHeight="1" x14ac:dyDescent="0.3">
      <c r="B43" s="117"/>
    </row>
    <row r="44" spans="2:7" ht="15" x14ac:dyDescent="0.3">
      <c r="B44" s="118"/>
    </row>
    <row r="45" spans="2:7" ht="7.2" customHeight="1" x14ac:dyDescent="0.3">
      <c r="B45" s="116"/>
    </row>
    <row r="46" spans="2:7" ht="25.95" customHeight="1" x14ac:dyDescent="0.3">
      <c r="B46" s="115" t="s">
        <v>802</v>
      </c>
    </row>
    <row r="47" spans="2:7" ht="35.4" customHeight="1" x14ac:dyDescent="0.3">
      <c r="B47" s="365" t="s">
        <v>806</v>
      </c>
    </row>
    <row r="48" spans="2:7" ht="15" x14ac:dyDescent="0.3">
      <c r="B48" s="118"/>
    </row>
    <row r="59" ht="44.25" customHeight="1" x14ac:dyDescent="0.3"/>
  </sheetData>
  <sheetProtection algorithmName="SHA-512" hashValue="iFcjcT+q+6JODS4u5EqD1BXIBfIhBnmg2FvKgvWWVFQ/90Bd2iy87KKedfEikXC0rz5Dli/qMywApGYuptVGFQ==" saltValue="+6g+uKoevjNOYm4ZsIrBxA==" spinCount="100000" sheet="1" objects="1" scenarios="1"/>
  <hyperlinks>
    <hyperlink ref="B17" r:id="rId1" xr:uid="{CD80108F-868F-4D19-9687-C2FDAE6BF3FD}"/>
    <hyperlink ref="B20" r:id="rId2" xr:uid="{E58BA4CD-6825-4116-B965-ADD5FA92900B}"/>
    <hyperlink ref="B42" r:id="rId3" xr:uid="{D2A1F4A4-2931-4151-9968-7080011B46A6}"/>
    <hyperlink ref="B13" r:id="rId4" xr:uid="{13FF4EB6-658A-4945-9E50-66DB3C3284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S312"/>
  <sheetViews>
    <sheetView workbookViewId="0">
      <selection activeCell="C1" sqref="C1"/>
    </sheetView>
  </sheetViews>
  <sheetFormatPr defaultColWidth="11.77734375" defaultRowHeight="14.4" x14ac:dyDescent="0.3"/>
  <cols>
    <col min="1" max="1" width="11.77734375" style="97"/>
    <col min="2" max="2" width="31.88671875" style="330" customWidth="1"/>
    <col min="4" max="19" width="15.77734375" customWidth="1"/>
  </cols>
  <sheetData>
    <row r="1" spans="1:19" x14ac:dyDescent="0.3">
      <c r="A1" s="122" t="s">
        <v>233</v>
      </c>
      <c r="B1" s="330" t="s">
        <v>233</v>
      </c>
      <c r="C1" t="s">
        <v>233</v>
      </c>
      <c r="D1" t="s">
        <v>600</v>
      </c>
      <c r="E1" t="s">
        <v>601</v>
      </c>
      <c r="F1" t="s">
        <v>602</v>
      </c>
      <c r="G1" t="s">
        <v>603</v>
      </c>
      <c r="H1" t="s">
        <v>604</v>
      </c>
      <c r="I1" t="s">
        <v>605</v>
      </c>
      <c r="J1" t="s">
        <v>606</v>
      </c>
      <c r="K1" t="s">
        <v>607</v>
      </c>
      <c r="L1" t="s">
        <v>608</v>
      </c>
      <c r="M1" t="s">
        <v>609</v>
      </c>
      <c r="N1" t="s">
        <v>610</v>
      </c>
      <c r="O1" t="s">
        <v>718</v>
      </c>
      <c r="P1" t="s">
        <v>612</v>
      </c>
      <c r="Q1" t="s">
        <v>613</v>
      </c>
      <c r="R1" t="s">
        <v>614</v>
      </c>
      <c r="S1" t="s">
        <v>615</v>
      </c>
    </row>
    <row r="2" spans="1:19" x14ac:dyDescent="0.3">
      <c r="A2" s="97" t="s">
        <v>414</v>
      </c>
      <c r="B2" s="330" t="s">
        <v>10</v>
      </c>
      <c r="C2" t="s">
        <v>2</v>
      </c>
      <c r="D2" t="s">
        <v>809</v>
      </c>
      <c r="E2" t="s">
        <v>810</v>
      </c>
      <c r="F2" t="s">
        <v>811</v>
      </c>
      <c r="G2" t="s">
        <v>812</v>
      </c>
      <c r="H2" t="s">
        <v>813</v>
      </c>
      <c r="I2" t="s">
        <v>814</v>
      </c>
      <c r="J2" t="s">
        <v>815</v>
      </c>
      <c r="K2" t="s">
        <v>816</v>
      </c>
      <c r="L2" t="s">
        <v>817</v>
      </c>
      <c r="M2" t="s">
        <v>818</v>
      </c>
      <c r="N2" t="s">
        <v>819</v>
      </c>
      <c r="O2" t="s">
        <v>820</v>
      </c>
      <c r="P2" t="s">
        <v>821</v>
      </c>
      <c r="Q2" t="s">
        <v>822</v>
      </c>
      <c r="R2" t="s">
        <v>823</v>
      </c>
      <c r="S2" t="s">
        <v>824</v>
      </c>
    </row>
    <row r="3" spans="1:19" x14ac:dyDescent="0.3">
      <c r="A3" s="97">
        <v>4</v>
      </c>
      <c r="B3" s="330" t="s">
        <v>48</v>
      </c>
      <c r="D3">
        <v>44581</v>
      </c>
      <c r="E3">
        <v>42508</v>
      </c>
      <c r="F3">
        <v>1026045</v>
      </c>
      <c r="G3">
        <v>770291</v>
      </c>
      <c r="H3">
        <v>79464</v>
      </c>
      <c r="I3">
        <v>394066</v>
      </c>
      <c r="J3">
        <v>2371525</v>
      </c>
      <c r="K3">
        <v>1233239</v>
      </c>
      <c r="L3">
        <v>1147609</v>
      </c>
      <c r="M3">
        <v>2325</v>
      </c>
      <c r="N3">
        <v>155457</v>
      </c>
      <c r="O3">
        <v>9807</v>
      </c>
      <c r="P3">
        <v>775088</v>
      </c>
      <c r="Q3">
        <v>4096252</v>
      </c>
      <c r="R3">
        <v>14719</v>
      </c>
      <c r="S3">
        <v>437766</v>
      </c>
    </row>
    <row r="4" spans="1:19" x14ac:dyDescent="0.3">
      <c r="A4" s="97">
        <v>5</v>
      </c>
      <c r="B4" s="330" t="s">
        <v>49</v>
      </c>
      <c r="D4">
        <v>1200</v>
      </c>
      <c r="E4">
        <v>4090</v>
      </c>
      <c r="F4">
        <v>444</v>
      </c>
      <c r="G4">
        <v>0</v>
      </c>
      <c r="H4">
        <v>2425</v>
      </c>
      <c r="I4">
        <v>0</v>
      </c>
      <c r="J4">
        <v>983613</v>
      </c>
      <c r="K4">
        <v>49153</v>
      </c>
      <c r="L4">
        <v>0</v>
      </c>
      <c r="M4">
        <v>0</v>
      </c>
      <c r="N4">
        <v>0</v>
      </c>
      <c r="O4">
        <v>0</v>
      </c>
      <c r="P4">
        <v>0</v>
      </c>
      <c r="Q4">
        <v>105721</v>
      </c>
      <c r="R4">
        <v>804</v>
      </c>
      <c r="S4">
        <v>0</v>
      </c>
    </row>
    <row r="5" spans="1:19" x14ac:dyDescent="0.3">
      <c r="A5" s="97">
        <v>6</v>
      </c>
      <c r="B5" s="330" t="s">
        <v>155</v>
      </c>
      <c r="D5">
        <v>0</v>
      </c>
      <c r="E5">
        <v>0</v>
      </c>
      <c r="F5">
        <v>0</v>
      </c>
      <c r="G5">
        <v>0</v>
      </c>
      <c r="H5">
        <v>0</v>
      </c>
      <c r="I5">
        <v>0</v>
      </c>
      <c r="J5">
        <v>0</v>
      </c>
      <c r="K5">
        <v>0</v>
      </c>
      <c r="L5">
        <v>0</v>
      </c>
      <c r="M5">
        <v>0</v>
      </c>
      <c r="N5">
        <v>0</v>
      </c>
      <c r="O5">
        <v>0</v>
      </c>
      <c r="P5">
        <v>0</v>
      </c>
      <c r="Q5">
        <v>0</v>
      </c>
      <c r="R5">
        <v>0</v>
      </c>
      <c r="S5">
        <v>0</v>
      </c>
    </row>
    <row r="6" spans="1:19" x14ac:dyDescent="0.3">
      <c r="A6" s="97">
        <v>7</v>
      </c>
      <c r="B6" s="330" t="s">
        <v>101</v>
      </c>
      <c r="D6">
        <v>0</v>
      </c>
      <c r="E6">
        <v>18317</v>
      </c>
      <c r="F6">
        <v>62250</v>
      </c>
      <c r="G6">
        <v>58733</v>
      </c>
      <c r="H6">
        <v>0</v>
      </c>
      <c r="I6">
        <v>833</v>
      </c>
      <c r="J6">
        <v>21105</v>
      </c>
      <c r="K6">
        <v>46723</v>
      </c>
      <c r="L6">
        <v>0</v>
      </c>
      <c r="M6">
        <v>0</v>
      </c>
      <c r="N6">
        <v>4512</v>
      </c>
      <c r="O6">
        <v>0</v>
      </c>
      <c r="P6">
        <v>0</v>
      </c>
      <c r="Q6">
        <v>7373</v>
      </c>
      <c r="R6">
        <v>16918</v>
      </c>
      <c r="S6">
        <v>78804</v>
      </c>
    </row>
    <row r="7" spans="1:19" x14ac:dyDescent="0.3">
      <c r="A7" s="97">
        <v>9</v>
      </c>
      <c r="B7" s="330" t="s">
        <v>103</v>
      </c>
      <c r="D7">
        <v>1066210</v>
      </c>
      <c r="E7">
        <v>668163</v>
      </c>
      <c r="F7">
        <v>1370880</v>
      </c>
      <c r="G7">
        <v>1402798</v>
      </c>
      <c r="H7">
        <v>1383121</v>
      </c>
      <c r="I7">
        <v>663984</v>
      </c>
      <c r="J7">
        <v>3392928</v>
      </c>
      <c r="K7">
        <v>701612</v>
      </c>
      <c r="L7">
        <v>603672</v>
      </c>
      <c r="M7">
        <v>384940</v>
      </c>
      <c r="N7">
        <v>564134</v>
      </c>
      <c r="O7">
        <v>3328552</v>
      </c>
      <c r="P7">
        <v>311363</v>
      </c>
      <c r="Q7">
        <v>1658098</v>
      </c>
      <c r="R7">
        <v>299264</v>
      </c>
      <c r="S7">
        <v>1933619</v>
      </c>
    </row>
    <row r="8" spans="1:19" x14ac:dyDescent="0.3">
      <c r="A8" s="97">
        <v>11</v>
      </c>
      <c r="B8" s="330" t="s">
        <v>102</v>
      </c>
      <c r="D8">
        <v>0</v>
      </c>
      <c r="E8">
        <v>0</v>
      </c>
      <c r="F8">
        <v>0</v>
      </c>
      <c r="G8">
        <v>0</v>
      </c>
      <c r="H8">
        <v>0</v>
      </c>
      <c r="I8">
        <v>0</v>
      </c>
      <c r="J8">
        <v>0</v>
      </c>
      <c r="K8">
        <v>0</v>
      </c>
      <c r="L8">
        <v>0</v>
      </c>
      <c r="M8">
        <v>0</v>
      </c>
      <c r="N8">
        <v>0</v>
      </c>
      <c r="O8">
        <v>0</v>
      </c>
      <c r="P8">
        <v>0</v>
      </c>
      <c r="Q8">
        <v>0</v>
      </c>
      <c r="R8">
        <v>0</v>
      </c>
      <c r="S8">
        <v>0</v>
      </c>
    </row>
    <row r="9" spans="1:19" x14ac:dyDescent="0.3">
      <c r="A9" s="97">
        <v>13</v>
      </c>
      <c r="B9" s="330" t="s">
        <v>415</v>
      </c>
      <c r="D9">
        <v>0</v>
      </c>
      <c r="E9">
        <v>0</v>
      </c>
      <c r="F9">
        <v>0</v>
      </c>
      <c r="G9">
        <v>0</v>
      </c>
      <c r="H9">
        <v>0</v>
      </c>
      <c r="I9">
        <v>0</v>
      </c>
      <c r="J9">
        <v>0</v>
      </c>
      <c r="K9">
        <v>628548</v>
      </c>
      <c r="L9">
        <v>0</v>
      </c>
      <c r="M9">
        <v>493794</v>
      </c>
      <c r="N9">
        <v>0</v>
      </c>
      <c r="O9">
        <v>0</v>
      </c>
      <c r="P9">
        <v>0</v>
      </c>
      <c r="Q9">
        <v>0</v>
      </c>
      <c r="R9">
        <v>0</v>
      </c>
      <c r="S9">
        <v>0</v>
      </c>
    </row>
    <row r="10" spans="1:19" x14ac:dyDescent="0.3">
      <c r="A10" s="97">
        <v>14</v>
      </c>
      <c r="B10" s="330" t="s">
        <v>416</v>
      </c>
      <c r="D10">
        <v>0</v>
      </c>
      <c r="E10">
        <v>0</v>
      </c>
      <c r="F10">
        <v>0</v>
      </c>
      <c r="G10">
        <v>0</v>
      </c>
      <c r="H10">
        <v>0</v>
      </c>
      <c r="I10">
        <v>0</v>
      </c>
      <c r="J10">
        <v>0</v>
      </c>
      <c r="K10">
        <v>22083</v>
      </c>
      <c r="L10">
        <v>0</v>
      </c>
      <c r="M10">
        <v>96069</v>
      </c>
      <c r="N10">
        <v>0</v>
      </c>
      <c r="O10">
        <v>0</v>
      </c>
      <c r="P10">
        <v>0</v>
      </c>
      <c r="Q10">
        <v>0</v>
      </c>
      <c r="R10">
        <v>0</v>
      </c>
      <c r="S10">
        <v>0</v>
      </c>
    </row>
    <row r="11" spans="1:19" x14ac:dyDescent="0.3">
      <c r="A11" s="97">
        <v>16</v>
      </c>
      <c r="B11" s="330" t="s">
        <v>105</v>
      </c>
      <c r="D11">
        <v>611012</v>
      </c>
      <c r="E11">
        <v>144366</v>
      </c>
      <c r="F11">
        <v>8132175</v>
      </c>
      <c r="G11">
        <v>12559129</v>
      </c>
      <c r="H11">
        <v>221017</v>
      </c>
      <c r="I11">
        <v>2928474</v>
      </c>
      <c r="J11">
        <v>11669721</v>
      </c>
      <c r="K11">
        <v>8599213</v>
      </c>
      <c r="L11">
        <v>5410291</v>
      </c>
      <c r="M11">
        <v>164922</v>
      </c>
      <c r="N11">
        <v>234677</v>
      </c>
      <c r="O11">
        <v>594820</v>
      </c>
      <c r="P11">
        <v>6112974</v>
      </c>
      <c r="Q11">
        <v>18628563</v>
      </c>
      <c r="R11">
        <v>222217</v>
      </c>
      <c r="S11">
        <v>6504804</v>
      </c>
    </row>
    <row r="12" spans="1:19" x14ac:dyDescent="0.3">
      <c r="A12" s="97">
        <v>17</v>
      </c>
      <c r="B12" s="330" t="s">
        <v>107</v>
      </c>
      <c r="D12">
        <v>0</v>
      </c>
      <c r="E12">
        <v>0</v>
      </c>
      <c r="F12">
        <v>0</v>
      </c>
      <c r="G12">
        <v>0</v>
      </c>
      <c r="H12">
        <v>0</v>
      </c>
      <c r="I12">
        <v>14641</v>
      </c>
      <c r="J12">
        <v>0</v>
      </c>
      <c r="K12">
        <v>0</v>
      </c>
      <c r="L12">
        <v>0</v>
      </c>
      <c r="M12">
        <v>0</v>
      </c>
      <c r="N12">
        <v>0</v>
      </c>
      <c r="O12">
        <v>0</v>
      </c>
      <c r="P12">
        <v>46247</v>
      </c>
      <c r="Q12">
        <v>0</v>
      </c>
      <c r="R12">
        <v>0</v>
      </c>
      <c r="S12">
        <v>10328</v>
      </c>
    </row>
    <row r="13" spans="1:19" x14ac:dyDescent="0.3">
      <c r="A13" s="97">
        <v>20</v>
      </c>
      <c r="B13" s="330" t="s">
        <v>108</v>
      </c>
      <c r="D13">
        <v>80343</v>
      </c>
      <c r="E13">
        <v>3581</v>
      </c>
      <c r="F13">
        <v>0</v>
      </c>
      <c r="G13">
        <v>0</v>
      </c>
      <c r="H13">
        <v>0</v>
      </c>
      <c r="I13">
        <v>0</v>
      </c>
      <c r="J13">
        <v>0</v>
      </c>
      <c r="K13">
        <v>0</v>
      </c>
      <c r="L13">
        <v>0</v>
      </c>
      <c r="M13">
        <v>98243</v>
      </c>
      <c r="N13">
        <v>123104</v>
      </c>
      <c r="O13">
        <v>0</v>
      </c>
      <c r="P13">
        <v>0</v>
      </c>
      <c r="Q13">
        <v>0</v>
      </c>
      <c r="R13">
        <v>169910</v>
      </c>
      <c r="S13">
        <v>148647</v>
      </c>
    </row>
    <row r="14" spans="1:19" x14ac:dyDescent="0.3">
      <c r="A14" s="97">
        <v>22</v>
      </c>
      <c r="B14" s="330" t="s">
        <v>109</v>
      </c>
      <c r="D14">
        <v>0</v>
      </c>
      <c r="E14">
        <v>0</v>
      </c>
      <c r="F14">
        <v>0</v>
      </c>
      <c r="G14">
        <v>0</v>
      </c>
      <c r="H14">
        <v>0</v>
      </c>
      <c r="I14">
        <v>0</v>
      </c>
      <c r="J14">
        <v>0</v>
      </c>
      <c r="K14">
        <v>0</v>
      </c>
      <c r="L14">
        <v>0</v>
      </c>
      <c r="M14">
        <v>0</v>
      </c>
      <c r="N14">
        <v>0</v>
      </c>
      <c r="O14">
        <v>0</v>
      </c>
      <c r="P14">
        <v>0</v>
      </c>
      <c r="Q14">
        <v>0</v>
      </c>
      <c r="R14">
        <v>0</v>
      </c>
      <c r="S14">
        <v>0</v>
      </c>
    </row>
    <row r="15" spans="1:19" x14ac:dyDescent="0.3">
      <c r="A15" s="97">
        <v>23</v>
      </c>
      <c r="B15" s="330" t="s">
        <v>112</v>
      </c>
      <c r="D15">
        <v>49376</v>
      </c>
      <c r="E15">
        <v>136933</v>
      </c>
      <c r="F15">
        <v>467174</v>
      </c>
      <c r="G15">
        <v>-109976</v>
      </c>
      <c r="H15">
        <v>75453</v>
      </c>
      <c r="I15">
        <v>220550</v>
      </c>
      <c r="J15">
        <v>593964</v>
      </c>
      <c r="K15">
        <v>155309</v>
      </c>
      <c r="L15">
        <v>-72364</v>
      </c>
      <c r="M15">
        <v>3682</v>
      </c>
      <c r="N15">
        <v>29033</v>
      </c>
      <c r="O15">
        <v>394482</v>
      </c>
      <c r="P15">
        <v>30993</v>
      </c>
      <c r="Q15">
        <v>41953</v>
      </c>
      <c r="R15">
        <v>51347</v>
      </c>
      <c r="S15">
        <v>179906</v>
      </c>
    </row>
    <row r="16" spans="1:19" x14ac:dyDescent="0.3">
      <c r="A16" s="97">
        <v>31</v>
      </c>
      <c r="B16" s="330" t="s">
        <v>417</v>
      </c>
      <c r="D16">
        <v>0</v>
      </c>
      <c r="E16">
        <v>0</v>
      </c>
      <c r="F16">
        <v>0</v>
      </c>
      <c r="G16">
        <v>0</v>
      </c>
      <c r="H16">
        <v>0</v>
      </c>
      <c r="I16">
        <v>0</v>
      </c>
      <c r="J16">
        <v>0</v>
      </c>
      <c r="K16">
        <v>-20850</v>
      </c>
      <c r="L16">
        <v>0</v>
      </c>
      <c r="M16">
        <v>-3906</v>
      </c>
      <c r="N16">
        <v>0</v>
      </c>
      <c r="O16">
        <v>0</v>
      </c>
      <c r="P16">
        <v>0</v>
      </c>
      <c r="Q16">
        <v>0</v>
      </c>
      <c r="R16">
        <v>0</v>
      </c>
      <c r="S16">
        <v>0</v>
      </c>
    </row>
    <row r="17" spans="1:19" x14ac:dyDescent="0.3">
      <c r="A17" s="97">
        <v>32</v>
      </c>
      <c r="B17" s="330" t="s">
        <v>418</v>
      </c>
      <c r="D17">
        <v>0</v>
      </c>
      <c r="E17">
        <v>0</v>
      </c>
      <c r="F17">
        <v>0</v>
      </c>
      <c r="G17">
        <v>0</v>
      </c>
      <c r="H17">
        <v>0</v>
      </c>
      <c r="I17">
        <v>0</v>
      </c>
      <c r="J17">
        <v>0</v>
      </c>
      <c r="K17">
        <v>10541</v>
      </c>
      <c r="L17">
        <v>0</v>
      </c>
      <c r="M17">
        <v>52668</v>
      </c>
      <c r="N17">
        <v>0</v>
      </c>
      <c r="O17">
        <v>0</v>
      </c>
      <c r="P17">
        <v>0</v>
      </c>
      <c r="Q17">
        <v>0</v>
      </c>
      <c r="R17">
        <v>0</v>
      </c>
      <c r="S17">
        <v>0</v>
      </c>
    </row>
    <row r="18" spans="1:19" x14ac:dyDescent="0.3">
      <c r="A18" s="97">
        <v>33</v>
      </c>
      <c r="B18" s="330" t="s">
        <v>185</v>
      </c>
      <c r="D18">
        <v>0</v>
      </c>
      <c r="E18">
        <v>0</v>
      </c>
      <c r="F18">
        <v>0</v>
      </c>
      <c r="G18">
        <v>0</v>
      </c>
      <c r="H18">
        <v>0</v>
      </c>
      <c r="I18">
        <v>0</v>
      </c>
      <c r="J18">
        <v>0</v>
      </c>
      <c r="K18">
        <v>-584710</v>
      </c>
      <c r="L18">
        <v>0</v>
      </c>
      <c r="M18">
        <v>-25502</v>
      </c>
      <c r="N18">
        <v>0</v>
      </c>
      <c r="O18">
        <v>0</v>
      </c>
      <c r="P18">
        <v>0</v>
      </c>
      <c r="Q18">
        <v>0</v>
      </c>
      <c r="R18">
        <v>0</v>
      </c>
      <c r="S18">
        <v>0</v>
      </c>
    </row>
    <row r="19" spans="1:19" x14ac:dyDescent="0.3">
      <c r="A19" s="97">
        <v>34</v>
      </c>
      <c r="B19" s="330" t="s">
        <v>419</v>
      </c>
      <c r="D19">
        <v>0</v>
      </c>
      <c r="E19">
        <v>0</v>
      </c>
      <c r="F19">
        <v>0</v>
      </c>
      <c r="G19">
        <v>0</v>
      </c>
      <c r="H19">
        <v>0</v>
      </c>
      <c r="I19">
        <v>0</v>
      </c>
      <c r="J19">
        <v>0</v>
      </c>
      <c r="K19">
        <v>0</v>
      </c>
      <c r="L19">
        <v>0</v>
      </c>
      <c r="M19">
        <v>0</v>
      </c>
      <c r="N19">
        <v>0</v>
      </c>
      <c r="O19">
        <v>0</v>
      </c>
      <c r="P19">
        <v>0</v>
      </c>
      <c r="Q19">
        <v>0</v>
      </c>
      <c r="R19">
        <v>0</v>
      </c>
      <c r="S19">
        <v>0</v>
      </c>
    </row>
    <row r="20" spans="1:19" x14ac:dyDescent="0.3">
      <c r="A20" s="97">
        <v>35</v>
      </c>
      <c r="B20" s="330" t="s">
        <v>420</v>
      </c>
      <c r="D20">
        <v>0</v>
      </c>
      <c r="E20">
        <v>0</v>
      </c>
      <c r="F20">
        <v>0</v>
      </c>
      <c r="G20">
        <v>0</v>
      </c>
      <c r="H20">
        <v>0</v>
      </c>
      <c r="I20">
        <v>0</v>
      </c>
      <c r="J20">
        <v>0</v>
      </c>
      <c r="K20">
        <v>0</v>
      </c>
      <c r="L20">
        <v>0</v>
      </c>
      <c r="M20">
        <v>0</v>
      </c>
      <c r="N20">
        <v>0</v>
      </c>
      <c r="O20">
        <v>0</v>
      </c>
      <c r="P20">
        <v>0</v>
      </c>
      <c r="Q20">
        <v>0</v>
      </c>
      <c r="R20">
        <v>0</v>
      </c>
      <c r="S20">
        <v>0</v>
      </c>
    </row>
    <row r="21" spans="1:19" x14ac:dyDescent="0.3">
      <c r="A21" s="97">
        <v>36</v>
      </c>
      <c r="B21" s="330" t="s">
        <v>421</v>
      </c>
      <c r="D21">
        <v>0</v>
      </c>
      <c r="E21">
        <v>0</v>
      </c>
      <c r="F21">
        <v>0</v>
      </c>
      <c r="G21">
        <v>0</v>
      </c>
      <c r="H21">
        <v>0</v>
      </c>
      <c r="I21">
        <v>0</v>
      </c>
      <c r="J21">
        <v>0</v>
      </c>
      <c r="K21">
        <v>0</v>
      </c>
      <c r="L21">
        <v>0</v>
      </c>
      <c r="M21">
        <v>0</v>
      </c>
      <c r="N21">
        <v>0</v>
      </c>
      <c r="O21">
        <v>0</v>
      </c>
      <c r="P21">
        <v>0</v>
      </c>
      <c r="Q21">
        <v>0</v>
      </c>
      <c r="R21">
        <v>0</v>
      </c>
      <c r="S21">
        <v>0</v>
      </c>
    </row>
    <row r="22" spans="1:19" x14ac:dyDescent="0.3">
      <c r="A22" s="97">
        <v>37</v>
      </c>
      <c r="B22" s="330" t="s">
        <v>422</v>
      </c>
      <c r="D22">
        <v>0</v>
      </c>
      <c r="E22">
        <v>0</v>
      </c>
      <c r="F22">
        <v>0</v>
      </c>
      <c r="G22">
        <v>0</v>
      </c>
      <c r="H22">
        <v>0</v>
      </c>
      <c r="I22">
        <v>0</v>
      </c>
      <c r="J22">
        <v>0</v>
      </c>
      <c r="K22">
        <v>0</v>
      </c>
      <c r="L22">
        <v>0</v>
      </c>
      <c r="M22">
        <v>0</v>
      </c>
      <c r="N22">
        <v>0</v>
      </c>
      <c r="O22">
        <v>0</v>
      </c>
      <c r="P22">
        <v>0</v>
      </c>
      <c r="Q22">
        <v>0</v>
      </c>
      <c r="R22">
        <v>0</v>
      </c>
      <c r="S22">
        <v>0</v>
      </c>
    </row>
    <row r="23" spans="1:19" x14ac:dyDescent="0.3">
      <c r="A23" s="97">
        <v>38</v>
      </c>
      <c r="B23" s="330" t="s">
        <v>423</v>
      </c>
      <c r="D23">
        <v>0</v>
      </c>
      <c r="E23">
        <v>0</v>
      </c>
      <c r="F23">
        <v>0</v>
      </c>
      <c r="G23">
        <v>0</v>
      </c>
      <c r="H23">
        <v>0</v>
      </c>
      <c r="I23">
        <v>0</v>
      </c>
      <c r="J23">
        <v>0</v>
      </c>
      <c r="K23">
        <v>0</v>
      </c>
      <c r="L23">
        <v>0</v>
      </c>
      <c r="M23">
        <v>0</v>
      </c>
      <c r="N23">
        <v>0</v>
      </c>
      <c r="O23">
        <v>0</v>
      </c>
      <c r="P23">
        <v>0</v>
      </c>
      <c r="Q23">
        <v>0</v>
      </c>
      <c r="R23">
        <v>0</v>
      </c>
      <c r="S23">
        <v>0</v>
      </c>
    </row>
    <row r="24" spans="1:19" x14ac:dyDescent="0.3">
      <c r="A24" s="97">
        <v>39</v>
      </c>
      <c r="B24" s="330" t="s">
        <v>424</v>
      </c>
      <c r="D24">
        <v>0</v>
      </c>
      <c r="E24">
        <v>0</v>
      </c>
      <c r="F24">
        <v>0</v>
      </c>
      <c r="G24">
        <v>0</v>
      </c>
      <c r="H24">
        <v>0</v>
      </c>
      <c r="I24">
        <v>0</v>
      </c>
      <c r="J24">
        <v>0</v>
      </c>
      <c r="K24">
        <v>0</v>
      </c>
      <c r="L24">
        <v>0</v>
      </c>
      <c r="M24">
        <v>0</v>
      </c>
      <c r="N24">
        <v>0</v>
      </c>
      <c r="O24">
        <v>0</v>
      </c>
      <c r="P24">
        <v>0</v>
      </c>
      <c r="Q24">
        <v>0</v>
      </c>
      <c r="R24">
        <v>0</v>
      </c>
      <c r="S24">
        <v>0</v>
      </c>
    </row>
    <row r="25" spans="1:19" x14ac:dyDescent="0.3">
      <c r="A25" s="97">
        <v>40</v>
      </c>
      <c r="B25" s="330" t="s">
        <v>425</v>
      </c>
      <c r="D25">
        <v>0</v>
      </c>
      <c r="E25">
        <v>0</v>
      </c>
      <c r="F25">
        <v>0</v>
      </c>
      <c r="G25">
        <v>0</v>
      </c>
      <c r="H25">
        <v>0</v>
      </c>
      <c r="I25">
        <v>0</v>
      </c>
      <c r="J25">
        <v>0</v>
      </c>
      <c r="K25">
        <v>0</v>
      </c>
      <c r="L25">
        <v>0</v>
      </c>
      <c r="M25">
        <v>0</v>
      </c>
      <c r="N25">
        <v>0</v>
      </c>
      <c r="O25">
        <v>0</v>
      </c>
      <c r="P25">
        <v>0</v>
      </c>
      <c r="Q25">
        <v>0</v>
      </c>
      <c r="R25">
        <v>0</v>
      </c>
      <c r="S25">
        <v>0</v>
      </c>
    </row>
    <row r="26" spans="1:19" x14ac:dyDescent="0.3">
      <c r="A26" s="97">
        <v>41</v>
      </c>
      <c r="B26" s="330" t="s">
        <v>426</v>
      </c>
      <c r="D26">
        <v>0</v>
      </c>
      <c r="E26">
        <v>0</v>
      </c>
      <c r="F26">
        <v>0</v>
      </c>
      <c r="G26">
        <v>0</v>
      </c>
      <c r="H26">
        <v>0</v>
      </c>
      <c r="I26">
        <v>0</v>
      </c>
      <c r="J26">
        <v>0</v>
      </c>
      <c r="K26">
        <v>0</v>
      </c>
      <c r="L26">
        <v>0</v>
      </c>
      <c r="M26">
        <v>0</v>
      </c>
      <c r="N26">
        <v>0</v>
      </c>
      <c r="O26">
        <v>0</v>
      </c>
      <c r="P26">
        <v>0</v>
      </c>
      <c r="Q26">
        <v>0</v>
      </c>
      <c r="R26">
        <v>0</v>
      </c>
      <c r="S26">
        <v>0</v>
      </c>
    </row>
    <row r="27" spans="1:19" x14ac:dyDescent="0.3">
      <c r="A27" s="97">
        <v>44</v>
      </c>
      <c r="B27" s="330" t="s">
        <v>427</v>
      </c>
      <c r="D27">
        <v>0</v>
      </c>
      <c r="E27">
        <v>0</v>
      </c>
      <c r="F27">
        <v>0</v>
      </c>
      <c r="G27">
        <v>0</v>
      </c>
      <c r="H27">
        <v>0</v>
      </c>
      <c r="I27">
        <v>0</v>
      </c>
      <c r="J27">
        <v>0</v>
      </c>
      <c r="K27">
        <v>0</v>
      </c>
      <c r="L27">
        <v>0</v>
      </c>
      <c r="M27">
        <v>0</v>
      </c>
      <c r="N27">
        <v>0</v>
      </c>
      <c r="O27">
        <v>0</v>
      </c>
      <c r="P27">
        <v>0</v>
      </c>
      <c r="Q27">
        <v>0</v>
      </c>
      <c r="R27">
        <v>0</v>
      </c>
      <c r="S27">
        <v>0</v>
      </c>
    </row>
    <row r="28" spans="1:19" x14ac:dyDescent="0.3">
      <c r="A28" s="97">
        <v>45</v>
      </c>
      <c r="B28" s="330" t="s">
        <v>428</v>
      </c>
      <c r="D28">
        <v>0</v>
      </c>
      <c r="E28">
        <v>0</v>
      </c>
      <c r="F28">
        <v>0</v>
      </c>
      <c r="G28">
        <v>0</v>
      </c>
      <c r="H28">
        <v>0</v>
      </c>
      <c r="I28">
        <v>0</v>
      </c>
      <c r="J28">
        <v>0</v>
      </c>
      <c r="K28">
        <v>0</v>
      </c>
      <c r="L28">
        <v>0</v>
      </c>
      <c r="M28">
        <v>0</v>
      </c>
      <c r="N28">
        <v>0</v>
      </c>
      <c r="O28">
        <v>0</v>
      </c>
      <c r="P28">
        <v>0</v>
      </c>
      <c r="Q28">
        <v>0</v>
      </c>
      <c r="R28">
        <v>0</v>
      </c>
      <c r="S28">
        <v>0</v>
      </c>
    </row>
    <row r="29" spans="1:19" x14ac:dyDescent="0.3">
      <c r="A29" s="97">
        <v>47</v>
      </c>
      <c r="B29" s="330" t="s">
        <v>429</v>
      </c>
      <c r="D29">
        <v>0</v>
      </c>
      <c r="E29">
        <v>0</v>
      </c>
      <c r="F29">
        <v>0</v>
      </c>
      <c r="G29">
        <v>0</v>
      </c>
      <c r="H29">
        <v>0</v>
      </c>
      <c r="I29">
        <v>0</v>
      </c>
      <c r="J29">
        <v>0</v>
      </c>
      <c r="K29">
        <v>0</v>
      </c>
      <c r="L29">
        <v>0</v>
      </c>
      <c r="M29">
        <v>0</v>
      </c>
      <c r="N29">
        <v>0</v>
      </c>
      <c r="O29">
        <v>0</v>
      </c>
      <c r="P29">
        <v>0</v>
      </c>
      <c r="Q29">
        <v>0</v>
      </c>
      <c r="R29">
        <v>0</v>
      </c>
      <c r="S29">
        <v>0</v>
      </c>
    </row>
    <row r="30" spans="1:19" x14ac:dyDescent="0.3">
      <c r="A30" s="97">
        <v>48</v>
      </c>
      <c r="B30" s="330" t="s">
        <v>52</v>
      </c>
      <c r="D30">
        <v>0</v>
      </c>
      <c r="E30">
        <v>0</v>
      </c>
      <c r="F30">
        <v>0</v>
      </c>
      <c r="G30">
        <v>0</v>
      </c>
      <c r="H30">
        <v>0</v>
      </c>
      <c r="I30">
        <v>0</v>
      </c>
      <c r="J30">
        <v>0</v>
      </c>
      <c r="K30">
        <v>0</v>
      </c>
      <c r="L30">
        <v>0</v>
      </c>
      <c r="M30">
        <v>0</v>
      </c>
      <c r="N30">
        <v>0</v>
      </c>
      <c r="O30">
        <v>0</v>
      </c>
      <c r="P30">
        <v>0</v>
      </c>
      <c r="Q30">
        <v>0</v>
      </c>
      <c r="R30">
        <v>0</v>
      </c>
      <c r="S30">
        <v>0</v>
      </c>
    </row>
    <row r="31" spans="1:19" ht="28.8" x14ac:dyDescent="0.3">
      <c r="A31" s="97">
        <v>49</v>
      </c>
      <c r="B31" s="330" t="s">
        <v>124</v>
      </c>
      <c r="D31">
        <v>0</v>
      </c>
      <c r="E31">
        <v>0</v>
      </c>
      <c r="F31">
        <v>0</v>
      </c>
      <c r="G31">
        <v>0</v>
      </c>
      <c r="H31">
        <v>0</v>
      </c>
      <c r="I31">
        <v>0</v>
      </c>
      <c r="J31">
        <v>0</v>
      </c>
      <c r="K31">
        <v>0</v>
      </c>
      <c r="L31">
        <v>0</v>
      </c>
      <c r="M31">
        <v>0</v>
      </c>
      <c r="N31">
        <v>0</v>
      </c>
      <c r="O31">
        <v>0</v>
      </c>
      <c r="P31">
        <v>0</v>
      </c>
      <c r="Q31">
        <v>0</v>
      </c>
      <c r="R31">
        <v>0</v>
      </c>
      <c r="S31">
        <v>0</v>
      </c>
    </row>
    <row r="32" spans="1:19" x14ac:dyDescent="0.3">
      <c r="A32" s="97">
        <v>50</v>
      </c>
      <c r="B32" s="330" t="s">
        <v>30</v>
      </c>
      <c r="D32">
        <v>0</v>
      </c>
      <c r="E32">
        <v>0</v>
      </c>
      <c r="F32">
        <v>0</v>
      </c>
      <c r="G32">
        <v>0</v>
      </c>
      <c r="H32">
        <v>0</v>
      </c>
      <c r="I32">
        <v>0</v>
      </c>
      <c r="J32">
        <v>0</v>
      </c>
      <c r="K32">
        <v>0</v>
      </c>
      <c r="L32">
        <v>0</v>
      </c>
      <c r="M32">
        <v>0</v>
      </c>
      <c r="N32">
        <v>0</v>
      </c>
      <c r="O32">
        <v>0</v>
      </c>
      <c r="P32">
        <v>0</v>
      </c>
      <c r="Q32">
        <v>0</v>
      </c>
      <c r="R32">
        <v>0</v>
      </c>
      <c r="S32">
        <v>0</v>
      </c>
    </row>
    <row r="33" spans="1:19" ht="28.8" x14ac:dyDescent="0.3">
      <c r="A33" s="97">
        <v>51</v>
      </c>
      <c r="B33" s="330" t="s">
        <v>141</v>
      </c>
      <c r="D33">
        <v>0</v>
      </c>
      <c r="E33">
        <v>0</v>
      </c>
      <c r="F33">
        <v>0</v>
      </c>
      <c r="G33">
        <v>0</v>
      </c>
      <c r="H33">
        <v>0</v>
      </c>
      <c r="I33">
        <v>0</v>
      </c>
      <c r="J33">
        <v>0</v>
      </c>
      <c r="K33">
        <v>0</v>
      </c>
      <c r="L33">
        <v>0</v>
      </c>
      <c r="M33">
        <v>0</v>
      </c>
      <c r="N33">
        <v>0</v>
      </c>
      <c r="O33">
        <v>0</v>
      </c>
      <c r="P33">
        <v>0</v>
      </c>
      <c r="Q33">
        <v>0</v>
      </c>
      <c r="R33">
        <v>0</v>
      </c>
      <c r="S33">
        <v>0</v>
      </c>
    </row>
    <row r="34" spans="1:19" ht="28.8" x14ac:dyDescent="0.3">
      <c r="A34" s="97">
        <v>52</v>
      </c>
      <c r="B34" s="330" t="s">
        <v>134</v>
      </c>
      <c r="D34">
        <v>0</v>
      </c>
      <c r="E34">
        <v>0</v>
      </c>
      <c r="F34">
        <v>0</v>
      </c>
      <c r="G34">
        <v>0</v>
      </c>
      <c r="H34">
        <v>0</v>
      </c>
      <c r="I34">
        <v>0</v>
      </c>
      <c r="J34">
        <v>0</v>
      </c>
      <c r="K34">
        <v>0</v>
      </c>
      <c r="L34">
        <v>0</v>
      </c>
      <c r="M34">
        <v>0</v>
      </c>
      <c r="N34">
        <v>0</v>
      </c>
      <c r="O34">
        <v>0</v>
      </c>
      <c r="P34">
        <v>0</v>
      </c>
      <c r="Q34">
        <v>0</v>
      </c>
      <c r="R34">
        <v>0</v>
      </c>
      <c r="S34">
        <v>0</v>
      </c>
    </row>
    <row r="35" spans="1:19" x14ac:dyDescent="0.3">
      <c r="A35" s="97">
        <v>53</v>
      </c>
      <c r="B35" s="330" t="s">
        <v>31</v>
      </c>
      <c r="D35">
        <v>0</v>
      </c>
      <c r="E35">
        <v>0</v>
      </c>
      <c r="F35">
        <v>0</v>
      </c>
      <c r="G35">
        <v>0</v>
      </c>
      <c r="H35">
        <v>0</v>
      </c>
      <c r="I35">
        <v>0</v>
      </c>
      <c r="J35">
        <v>0</v>
      </c>
      <c r="K35">
        <v>0</v>
      </c>
      <c r="L35">
        <v>0</v>
      </c>
      <c r="M35">
        <v>0</v>
      </c>
      <c r="N35">
        <v>0</v>
      </c>
      <c r="O35">
        <v>0</v>
      </c>
      <c r="P35">
        <v>0</v>
      </c>
      <c r="Q35">
        <v>0</v>
      </c>
      <c r="R35">
        <v>0</v>
      </c>
      <c r="S35">
        <v>0</v>
      </c>
    </row>
    <row r="36" spans="1:19" ht="28.8" x14ac:dyDescent="0.3">
      <c r="A36" s="97">
        <v>55</v>
      </c>
      <c r="B36" s="330" t="s">
        <v>144</v>
      </c>
      <c r="D36">
        <v>0</v>
      </c>
      <c r="E36">
        <v>0</v>
      </c>
      <c r="F36">
        <v>0</v>
      </c>
      <c r="G36">
        <v>0</v>
      </c>
      <c r="H36">
        <v>0</v>
      </c>
      <c r="I36">
        <v>0</v>
      </c>
      <c r="J36">
        <v>0</v>
      </c>
      <c r="K36">
        <v>0</v>
      </c>
      <c r="L36">
        <v>0</v>
      </c>
      <c r="M36">
        <v>0</v>
      </c>
      <c r="N36">
        <v>0</v>
      </c>
      <c r="O36">
        <v>0</v>
      </c>
      <c r="P36">
        <v>0</v>
      </c>
      <c r="Q36">
        <v>0</v>
      </c>
      <c r="R36">
        <v>0</v>
      </c>
      <c r="S36">
        <v>0</v>
      </c>
    </row>
    <row r="37" spans="1:19" x14ac:dyDescent="0.3">
      <c r="A37" s="97">
        <v>61</v>
      </c>
      <c r="B37" s="330" t="s">
        <v>157</v>
      </c>
      <c r="D37">
        <v>0</v>
      </c>
      <c r="E37">
        <v>0</v>
      </c>
      <c r="F37">
        <v>0</v>
      </c>
      <c r="G37">
        <v>0</v>
      </c>
      <c r="H37">
        <v>0</v>
      </c>
      <c r="I37">
        <v>0</v>
      </c>
      <c r="J37">
        <v>0</v>
      </c>
      <c r="K37">
        <v>0</v>
      </c>
      <c r="L37">
        <v>0</v>
      </c>
      <c r="M37">
        <v>0</v>
      </c>
      <c r="N37">
        <v>0</v>
      </c>
      <c r="O37">
        <v>0</v>
      </c>
      <c r="P37">
        <v>0</v>
      </c>
      <c r="Q37">
        <v>0</v>
      </c>
      <c r="R37">
        <v>0</v>
      </c>
      <c r="S37">
        <v>0</v>
      </c>
    </row>
    <row r="38" spans="1:19" ht="28.8" x14ac:dyDescent="0.3">
      <c r="A38" s="97">
        <v>80</v>
      </c>
      <c r="B38" s="330" t="s">
        <v>114</v>
      </c>
      <c r="D38">
        <v>0</v>
      </c>
      <c r="E38">
        <v>0</v>
      </c>
      <c r="F38">
        <v>0</v>
      </c>
      <c r="G38">
        <v>0</v>
      </c>
      <c r="H38">
        <v>0</v>
      </c>
      <c r="I38">
        <v>0</v>
      </c>
      <c r="J38">
        <v>0</v>
      </c>
      <c r="K38">
        <v>0</v>
      </c>
      <c r="L38">
        <v>0</v>
      </c>
      <c r="M38">
        <v>0</v>
      </c>
      <c r="N38">
        <v>0</v>
      </c>
      <c r="O38">
        <v>0</v>
      </c>
      <c r="P38">
        <v>0</v>
      </c>
      <c r="Q38">
        <v>0</v>
      </c>
      <c r="R38">
        <v>0</v>
      </c>
      <c r="S38">
        <v>0</v>
      </c>
    </row>
    <row r="39" spans="1:19" x14ac:dyDescent="0.3">
      <c r="A39" s="97">
        <v>81</v>
      </c>
      <c r="B39" s="330" t="s">
        <v>115</v>
      </c>
      <c r="D39">
        <v>0</v>
      </c>
      <c r="E39">
        <v>0</v>
      </c>
      <c r="F39">
        <v>0</v>
      </c>
      <c r="G39">
        <v>0</v>
      </c>
      <c r="H39">
        <v>0</v>
      </c>
      <c r="I39">
        <v>0</v>
      </c>
      <c r="J39">
        <v>0</v>
      </c>
      <c r="K39">
        <v>0</v>
      </c>
      <c r="L39">
        <v>0</v>
      </c>
      <c r="M39">
        <v>0</v>
      </c>
      <c r="N39">
        <v>0</v>
      </c>
      <c r="O39">
        <v>0</v>
      </c>
      <c r="P39">
        <v>0</v>
      </c>
      <c r="Q39">
        <v>0</v>
      </c>
      <c r="R39">
        <v>0</v>
      </c>
      <c r="S39">
        <v>0</v>
      </c>
    </row>
    <row r="40" spans="1:19" ht="28.8" x14ac:dyDescent="0.3">
      <c r="A40" s="97">
        <v>82</v>
      </c>
      <c r="B40" s="330" t="s">
        <v>202</v>
      </c>
      <c r="D40">
        <v>0</v>
      </c>
      <c r="E40">
        <v>0</v>
      </c>
      <c r="F40">
        <v>0</v>
      </c>
      <c r="G40">
        <v>0</v>
      </c>
      <c r="H40">
        <v>0</v>
      </c>
      <c r="I40">
        <v>0</v>
      </c>
      <c r="J40">
        <v>0</v>
      </c>
      <c r="K40">
        <v>0</v>
      </c>
      <c r="L40">
        <v>0</v>
      </c>
      <c r="M40">
        <v>0</v>
      </c>
      <c r="N40">
        <v>0</v>
      </c>
      <c r="O40">
        <v>0</v>
      </c>
      <c r="P40">
        <v>0</v>
      </c>
      <c r="Q40">
        <v>0</v>
      </c>
      <c r="R40">
        <v>0</v>
      </c>
      <c r="S40">
        <v>0</v>
      </c>
    </row>
    <row r="41" spans="1:19" x14ac:dyDescent="0.3">
      <c r="A41" s="97">
        <v>83</v>
      </c>
      <c r="B41" s="330" t="s">
        <v>32</v>
      </c>
      <c r="D41">
        <v>0</v>
      </c>
      <c r="E41">
        <v>0</v>
      </c>
      <c r="F41">
        <v>0</v>
      </c>
      <c r="G41">
        <v>0</v>
      </c>
      <c r="H41">
        <v>0</v>
      </c>
      <c r="I41">
        <v>0</v>
      </c>
      <c r="J41">
        <v>0</v>
      </c>
      <c r="K41">
        <v>0</v>
      </c>
      <c r="L41">
        <v>0</v>
      </c>
      <c r="M41">
        <v>0</v>
      </c>
      <c r="N41">
        <v>0</v>
      </c>
      <c r="O41">
        <v>0</v>
      </c>
      <c r="P41">
        <v>0</v>
      </c>
      <c r="Q41">
        <v>0</v>
      </c>
      <c r="R41">
        <v>0</v>
      </c>
      <c r="S41">
        <v>0</v>
      </c>
    </row>
    <row r="42" spans="1:19" x14ac:dyDescent="0.3">
      <c r="A42" s="97">
        <v>84</v>
      </c>
      <c r="B42" s="330" t="s">
        <v>123</v>
      </c>
      <c r="D42">
        <v>0</v>
      </c>
      <c r="E42">
        <v>0</v>
      </c>
      <c r="F42">
        <v>0</v>
      </c>
      <c r="G42">
        <v>0</v>
      </c>
      <c r="H42">
        <v>0</v>
      </c>
      <c r="I42">
        <v>0</v>
      </c>
      <c r="J42">
        <v>0</v>
      </c>
      <c r="K42">
        <v>0</v>
      </c>
      <c r="L42">
        <v>0</v>
      </c>
      <c r="M42">
        <v>0</v>
      </c>
      <c r="N42">
        <v>0</v>
      </c>
      <c r="O42">
        <v>0</v>
      </c>
      <c r="P42">
        <v>0</v>
      </c>
      <c r="Q42">
        <v>0</v>
      </c>
      <c r="R42">
        <v>0</v>
      </c>
      <c r="S42">
        <v>0</v>
      </c>
    </row>
    <row r="43" spans="1:19" x14ac:dyDescent="0.3">
      <c r="A43" s="97">
        <v>85</v>
      </c>
      <c r="B43" s="330" t="s">
        <v>125</v>
      </c>
      <c r="D43">
        <v>0</v>
      </c>
      <c r="E43">
        <v>0</v>
      </c>
      <c r="F43">
        <v>0</v>
      </c>
      <c r="G43">
        <v>0</v>
      </c>
      <c r="H43">
        <v>0</v>
      </c>
      <c r="I43">
        <v>0</v>
      </c>
      <c r="J43">
        <v>0</v>
      </c>
      <c r="K43">
        <v>0</v>
      </c>
      <c r="L43">
        <v>0</v>
      </c>
      <c r="M43">
        <v>0</v>
      </c>
      <c r="N43">
        <v>0</v>
      </c>
      <c r="O43">
        <v>0</v>
      </c>
      <c r="P43">
        <v>0</v>
      </c>
      <c r="Q43">
        <v>0</v>
      </c>
      <c r="R43">
        <v>0</v>
      </c>
      <c r="S43">
        <v>0</v>
      </c>
    </row>
    <row r="44" spans="1:19" x14ac:dyDescent="0.3">
      <c r="A44" s="97">
        <v>88</v>
      </c>
      <c r="B44" s="330" t="s">
        <v>122</v>
      </c>
      <c r="D44">
        <v>0</v>
      </c>
      <c r="E44">
        <v>0</v>
      </c>
      <c r="F44">
        <v>0</v>
      </c>
      <c r="G44">
        <v>0</v>
      </c>
      <c r="H44">
        <v>0</v>
      </c>
      <c r="I44">
        <v>0</v>
      </c>
      <c r="J44">
        <v>0</v>
      </c>
      <c r="K44">
        <v>0</v>
      </c>
      <c r="L44">
        <v>0</v>
      </c>
      <c r="M44">
        <v>0</v>
      </c>
      <c r="N44">
        <v>0</v>
      </c>
      <c r="O44">
        <v>0</v>
      </c>
      <c r="P44">
        <v>0</v>
      </c>
      <c r="Q44">
        <v>0</v>
      </c>
      <c r="R44">
        <v>0</v>
      </c>
      <c r="S44">
        <v>0</v>
      </c>
    </row>
    <row r="45" spans="1:19" x14ac:dyDescent="0.3">
      <c r="A45" s="97">
        <v>89</v>
      </c>
      <c r="B45" s="330" t="s">
        <v>126</v>
      </c>
      <c r="D45">
        <v>0</v>
      </c>
      <c r="E45">
        <v>0</v>
      </c>
      <c r="F45">
        <v>0</v>
      </c>
      <c r="G45">
        <v>0</v>
      </c>
      <c r="H45">
        <v>0</v>
      </c>
      <c r="I45">
        <v>0</v>
      </c>
      <c r="J45">
        <v>0</v>
      </c>
      <c r="K45">
        <v>0</v>
      </c>
      <c r="L45">
        <v>0</v>
      </c>
      <c r="M45">
        <v>0</v>
      </c>
      <c r="N45">
        <v>0</v>
      </c>
      <c r="O45">
        <v>0</v>
      </c>
      <c r="P45">
        <v>0</v>
      </c>
      <c r="Q45">
        <v>0</v>
      </c>
      <c r="R45">
        <v>0</v>
      </c>
      <c r="S45">
        <v>0</v>
      </c>
    </row>
    <row r="46" spans="1:19" ht="28.8" x14ac:dyDescent="0.3">
      <c r="A46" s="97">
        <v>90</v>
      </c>
      <c r="B46" s="330" t="s">
        <v>119</v>
      </c>
      <c r="D46">
        <v>0</v>
      </c>
      <c r="E46">
        <v>0</v>
      </c>
      <c r="F46">
        <v>0</v>
      </c>
      <c r="G46">
        <v>0</v>
      </c>
      <c r="H46">
        <v>0</v>
      </c>
      <c r="I46">
        <v>0</v>
      </c>
      <c r="J46">
        <v>0</v>
      </c>
      <c r="K46">
        <v>0</v>
      </c>
      <c r="L46">
        <v>0</v>
      </c>
      <c r="M46">
        <v>0</v>
      </c>
      <c r="N46">
        <v>0</v>
      </c>
      <c r="O46">
        <v>0</v>
      </c>
      <c r="P46">
        <v>0</v>
      </c>
      <c r="Q46">
        <v>0</v>
      </c>
      <c r="R46">
        <v>0</v>
      </c>
      <c r="S46">
        <v>0</v>
      </c>
    </row>
    <row r="47" spans="1:19" x14ac:dyDescent="0.3">
      <c r="A47" s="97">
        <v>91</v>
      </c>
      <c r="B47" s="330" t="s">
        <v>120</v>
      </c>
      <c r="D47">
        <v>0</v>
      </c>
      <c r="E47">
        <v>0</v>
      </c>
      <c r="F47">
        <v>0</v>
      </c>
      <c r="G47">
        <v>0</v>
      </c>
      <c r="H47">
        <v>0</v>
      </c>
      <c r="I47">
        <v>0</v>
      </c>
      <c r="J47">
        <v>0</v>
      </c>
      <c r="K47">
        <v>0</v>
      </c>
      <c r="L47">
        <v>0</v>
      </c>
      <c r="M47">
        <v>0</v>
      </c>
      <c r="N47">
        <v>0</v>
      </c>
      <c r="O47">
        <v>0</v>
      </c>
      <c r="P47">
        <v>0</v>
      </c>
      <c r="Q47">
        <v>0</v>
      </c>
      <c r="R47">
        <v>0</v>
      </c>
      <c r="S47">
        <v>0</v>
      </c>
    </row>
    <row r="48" spans="1:19" x14ac:dyDescent="0.3">
      <c r="A48" s="97">
        <v>93</v>
      </c>
      <c r="B48" s="330" t="s">
        <v>132</v>
      </c>
      <c r="D48">
        <v>0</v>
      </c>
      <c r="E48">
        <v>0</v>
      </c>
      <c r="F48">
        <v>0</v>
      </c>
      <c r="G48">
        <v>0</v>
      </c>
      <c r="H48">
        <v>0</v>
      </c>
      <c r="I48">
        <v>0</v>
      </c>
      <c r="J48">
        <v>0</v>
      </c>
      <c r="K48">
        <v>0</v>
      </c>
      <c r="L48">
        <v>0</v>
      </c>
      <c r="M48">
        <v>0</v>
      </c>
      <c r="N48">
        <v>0</v>
      </c>
      <c r="O48">
        <v>0</v>
      </c>
      <c r="P48">
        <v>0</v>
      </c>
      <c r="Q48">
        <v>0</v>
      </c>
      <c r="R48">
        <v>0</v>
      </c>
      <c r="S48">
        <v>0</v>
      </c>
    </row>
    <row r="49" spans="1:19" x14ac:dyDescent="0.3">
      <c r="A49" s="97">
        <v>94</v>
      </c>
      <c r="B49" s="330" t="s">
        <v>135</v>
      </c>
      <c r="D49">
        <v>0</v>
      </c>
      <c r="E49">
        <v>0</v>
      </c>
      <c r="F49">
        <v>0</v>
      </c>
      <c r="G49">
        <v>0</v>
      </c>
      <c r="H49">
        <v>0</v>
      </c>
      <c r="I49">
        <v>0</v>
      </c>
      <c r="J49">
        <v>0</v>
      </c>
      <c r="K49">
        <v>0</v>
      </c>
      <c r="L49">
        <v>0</v>
      </c>
      <c r="M49">
        <v>0</v>
      </c>
      <c r="N49">
        <v>0</v>
      </c>
      <c r="O49">
        <v>0</v>
      </c>
      <c r="P49">
        <v>0</v>
      </c>
      <c r="Q49">
        <v>0</v>
      </c>
      <c r="R49">
        <v>0</v>
      </c>
      <c r="S49">
        <v>0</v>
      </c>
    </row>
    <row r="50" spans="1:19" x14ac:dyDescent="0.3">
      <c r="A50" s="97">
        <v>97</v>
      </c>
      <c r="B50" s="330" t="s">
        <v>131</v>
      </c>
      <c r="D50">
        <v>0</v>
      </c>
      <c r="E50">
        <v>0</v>
      </c>
      <c r="F50">
        <v>0</v>
      </c>
      <c r="G50">
        <v>0</v>
      </c>
      <c r="H50">
        <v>0</v>
      </c>
      <c r="I50">
        <v>0</v>
      </c>
      <c r="J50">
        <v>0</v>
      </c>
      <c r="K50">
        <v>0</v>
      </c>
      <c r="L50">
        <v>0</v>
      </c>
      <c r="M50">
        <v>0</v>
      </c>
      <c r="N50">
        <v>0</v>
      </c>
      <c r="O50">
        <v>0</v>
      </c>
      <c r="P50">
        <v>0</v>
      </c>
      <c r="Q50">
        <v>0</v>
      </c>
      <c r="R50">
        <v>0</v>
      </c>
      <c r="S50">
        <v>0</v>
      </c>
    </row>
    <row r="51" spans="1:19" x14ac:dyDescent="0.3">
      <c r="A51" s="97">
        <v>98</v>
      </c>
      <c r="B51" s="330" t="s">
        <v>136</v>
      </c>
      <c r="D51">
        <v>0</v>
      </c>
      <c r="E51">
        <v>0</v>
      </c>
      <c r="F51">
        <v>0</v>
      </c>
      <c r="G51">
        <v>0</v>
      </c>
      <c r="H51">
        <v>0</v>
      </c>
      <c r="I51">
        <v>0</v>
      </c>
      <c r="J51">
        <v>0</v>
      </c>
      <c r="K51">
        <v>0</v>
      </c>
      <c r="L51">
        <v>0</v>
      </c>
      <c r="M51">
        <v>0</v>
      </c>
      <c r="N51">
        <v>0</v>
      </c>
      <c r="O51">
        <v>0</v>
      </c>
      <c r="P51">
        <v>0</v>
      </c>
      <c r="Q51">
        <v>0</v>
      </c>
      <c r="R51">
        <v>0</v>
      </c>
      <c r="S51">
        <v>0</v>
      </c>
    </row>
    <row r="52" spans="1:19" x14ac:dyDescent="0.3">
      <c r="A52" s="97">
        <v>99</v>
      </c>
      <c r="B52" s="330" t="s">
        <v>133</v>
      </c>
      <c r="D52">
        <v>0</v>
      </c>
      <c r="E52">
        <v>0</v>
      </c>
      <c r="F52">
        <v>0</v>
      </c>
      <c r="G52">
        <v>0</v>
      </c>
      <c r="H52">
        <v>0</v>
      </c>
      <c r="I52">
        <v>0</v>
      </c>
      <c r="J52">
        <v>0</v>
      </c>
      <c r="K52">
        <v>0</v>
      </c>
      <c r="L52">
        <v>0</v>
      </c>
      <c r="M52">
        <v>0</v>
      </c>
      <c r="N52">
        <v>0</v>
      </c>
      <c r="O52">
        <v>0</v>
      </c>
      <c r="P52">
        <v>0</v>
      </c>
      <c r="Q52">
        <v>0</v>
      </c>
      <c r="R52">
        <v>0</v>
      </c>
      <c r="S52">
        <v>0</v>
      </c>
    </row>
    <row r="53" spans="1:19" x14ac:dyDescent="0.3">
      <c r="A53" s="97">
        <v>100</v>
      </c>
      <c r="B53" s="330" t="s">
        <v>146</v>
      </c>
      <c r="D53">
        <v>0</v>
      </c>
      <c r="E53">
        <v>0</v>
      </c>
      <c r="F53">
        <v>0</v>
      </c>
      <c r="G53">
        <v>0</v>
      </c>
      <c r="H53">
        <v>0</v>
      </c>
      <c r="I53">
        <v>0</v>
      </c>
      <c r="J53">
        <v>0</v>
      </c>
      <c r="K53">
        <v>0</v>
      </c>
      <c r="L53">
        <v>0</v>
      </c>
      <c r="M53">
        <v>0</v>
      </c>
      <c r="N53">
        <v>0</v>
      </c>
      <c r="O53">
        <v>0</v>
      </c>
      <c r="P53">
        <v>0</v>
      </c>
      <c r="Q53">
        <v>0</v>
      </c>
      <c r="R53">
        <v>0</v>
      </c>
      <c r="S53">
        <v>0</v>
      </c>
    </row>
    <row r="54" spans="1:19" x14ac:dyDescent="0.3">
      <c r="A54" s="97">
        <v>101</v>
      </c>
      <c r="B54" s="330" t="s">
        <v>145</v>
      </c>
      <c r="D54">
        <v>0</v>
      </c>
      <c r="E54">
        <v>0</v>
      </c>
      <c r="F54">
        <v>0</v>
      </c>
      <c r="G54">
        <v>0</v>
      </c>
      <c r="H54">
        <v>0</v>
      </c>
      <c r="I54">
        <v>0</v>
      </c>
      <c r="J54">
        <v>0</v>
      </c>
      <c r="K54">
        <v>0</v>
      </c>
      <c r="L54">
        <v>0</v>
      </c>
      <c r="M54">
        <v>0</v>
      </c>
      <c r="N54">
        <v>0</v>
      </c>
      <c r="O54">
        <v>0</v>
      </c>
      <c r="P54">
        <v>0</v>
      </c>
      <c r="Q54">
        <v>0</v>
      </c>
      <c r="R54">
        <v>0</v>
      </c>
      <c r="S54">
        <v>0</v>
      </c>
    </row>
    <row r="55" spans="1:19" ht="28.8" x14ac:dyDescent="0.3">
      <c r="A55" s="97">
        <v>102</v>
      </c>
      <c r="B55" s="330" t="s">
        <v>158</v>
      </c>
      <c r="D55">
        <v>0</v>
      </c>
      <c r="E55">
        <v>0</v>
      </c>
      <c r="F55">
        <v>0</v>
      </c>
      <c r="G55">
        <v>0</v>
      </c>
      <c r="H55">
        <v>0</v>
      </c>
      <c r="I55">
        <v>0</v>
      </c>
      <c r="J55">
        <v>0</v>
      </c>
      <c r="K55">
        <v>0</v>
      </c>
      <c r="L55">
        <v>0</v>
      </c>
      <c r="M55">
        <v>0</v>
      </c>
      <c r="N55">
        <v>0</v>
      </c>
      <c r="O55">
        <v>0</v>
      </c>
      <c r="P55">
        <v>0</v>
      </c>
      <c r="Q55">
        <v>0</v>
      </c>
      <c r="R55">
        <v>0</v>
      </c>
      <c r="S55">
        <v>0</v>
      </c>
    </row>
    <row r="56" spans="1:19" x14ac:dyDescent="0.3">
      <c r="A56" s="97">
        <v>103</v>
      </c>
      <c r="B56" s="330" t="s">
        <v>159</v>
      </c>
      <c r="D56">
        <v>0</v>
      </c>
      <c r="E56">
        <v>0</v>
      </c>
      <c r="F56">
        <v>0</v>
      </c>
      <c r="G56">
        <v>0</v>
      </c>
      <c r="H56">
        <v>0</v>
      </c>
      <c r="I56">
        <v>0</v>
      </c>
      <c r="J56">
        <v>0</v>
      </c>
      <c r="K56">
        <v>0</v>
      </c>
      <c r="L56">
        <v>0</v>
      </c>
      <c r="M56">
        <v>0</v>
      </c>
      <c r="N56">
        <v>0</v>
      </c>
      <c r="O56">
        <v>0</v>
      </c>
      <c r="P56">
        <v>0</v>
      </c>
      <c r="Q56">
        <v>0</v>
      </c>
      <c r="R56">
        <v>0</v>
      </c>
      <c r="S56">
        <v>0</v>
      </c>
    </row>
    <row r="57" spans="1:19" x14ac:dyDescent="0.3">
      <c r="A57" s="97">
        <v>104</v>
      </c>
      <c r="B57" s="330" t="s">
        <v>430</v>
      </c>
      <c r="D57">
        <v>0</v>
      </c>
      <c r="E57">
        <v>0</v>
      </c>
      <c r="F57">
        <v>0</v>
      </c>
      <c r="G57">
        <v>0</v>
      </c>
      <c r="H57">
        <v>0</v>
      </c>
      <c r="I57">
        <v>0</v>
      </c>
      <c r="J57">
        <v>0</v>
      </c>
      <c r="K57">
        <v>0</v>
      </c>
      <c r="L57">
        <v>0</v>
      </c>
      <c r="M57">
        <v>0</v>
      </c>
      <c r="N57">
        <v>0</v>
      </c>
      <c r="O57">
        <v>0</v>
      </c>
      <c r="P57">
        <v>0</v>
      </c>
      <c r="Q57">
        <v>0</v>
      </c>
      <c r="R57">
        <v>0</v>
      </c>
      <c r="S57">
        <v>0</v>
      </c>
    </row>
    <row r="58" spans="1:19" ht="28.8" x14ac:dyDescent="0.3">
      <c r="A58" s="97">
        <v>107</v>
      </c>
      <c r="B58" s="330" t="s">
        <v>431</v>
      </c>
      <c r="D58">
        <v>0</v>
      </c>
      <c r="E58">
        <v>0</v>
      </c>
      <c r="F58">
        <v>0</v>
      </c>
      <c r="G58">
        <v>0</v>
      </c>
      <c r="H58">
        <v>0</v>
      </c>
      <c r="I58">
        <v>0</v>
      </c>
      <c r="J58">
        <v>0</v>
      </c>
      <c r="K58">
        <v>0</v>
      </c>
      <c r="L58">
        <v>0</v>
      </c>
      <c r="M58">
        <v>0</v>
      </c>
      <c r="N58">
        <v>0</v>
      </c>
      <c r="O58">
        <v>0</v>
      </c>
      <c r="P58">
        <v>0</v>
      </c>
      <c r="Q58">
        <v>0</v>
      </c>
      <c r="R58">
        <v>0</v>
      </c>
      <c r="S58">
        <v>0</v>
      </c>
    </row>
    <row r="59" spans="1:19" ht="28.8" x14ac:dyDescent="0.3">
      <c r="A59" s="97">
        <v>108</v>
      </c>
      <c r="B59" s="330" t="s">
        <v>432</v>
      </c>
      <c r="D59">
        <v>0</v>
      </c>
      <c r="E59">
        <v>0</v>
      </c>
      <c r="F59">
        <v>0</v>
      </c>
      <c r="G59">
        <v>0</v>
      </c>
      <c r="H59">
        <v>0</v>
      </c>
      <c r="I59">
        <v>0</v>
      </c>
      <c r="J59">
        <v>0</v>
      </c>
      <c r="K59">
        <v>0</v>
      </c>
      <c r="L59">
        <v>0</v>
      </c>
      <c r="M59">
        <v>0</v>
      </c>
      <c r="N59">
        <v>0</v>
      </c>
      <c r="O59">
        <v>0</v>
      </c>
      <c r="P59">
        <v>0</v>
      </c>
      <c r="Q59">
        <v>0</v>
      </c>
      <c r="R59">
        <v>0</v>
      </c>
      <c r="S59">
        <v>0</v>
      </c>
    </row>
    <row r="60" spans="1:19" ht="28.8" x14ac:dyDescent="0.3">
      <c r="A60" s="97">
        <v>147</v>
      </c>
      <c r="B60" s="330" t="s">
        <v>433</v>
      </c>
      <c r="D60">
        <v>0</v>
      </c>
      <c r="E60">
        <v>0</v>
      </c>
      <c r="F60">
        <v>0</v>
      </c>
      <c r="G60">
        <v>0</v>
      </c>
      <c r="H60">
        <v>0</v>
      </c>
      <c r="I60">
        <v>0</v>
      </c>
      <c r="J60">
        <v>0</v>
      </c>
      <c r="K60">
        <v>0</v>
      </c>
      <c r="L60">
        <v>0</v>
      </c>
      <c r="M60">
        <v>0</v>
      </c>
      <c r="N60">
        <v>0</v>
      </c>
      <c r="O60">
        <v>0</v>
      </c>
      <c r="P60">
        <v>0</v>
      </c>
      <c r="Q60">
        <v>0</v>
      </c>
      <c r="R60">
        <v>0</v>
      </c>
      <c r="S60">
        <v>0</v>
      </c>
    </row>
    <row r="61" spans="1:19" ht="28.8" x14ac:dyDescent="0.3">
      <c r="A61" s="97">
        <v>148</v>
      </c>
      <c r="B61" s="330" t="s">
        <v>434</v>
      </c>
      <c r="D61">
        <v>0</v>
      </c>
      <c r="E61">
        <v>0</v>
      </c>
      <c r="F61">
        <v>0</v>
      </c>
      <c r="G61">
        <v>0</v>
      </c>
      <c r="H61">
        <v>0</v>
      </c>
      <c r="I61">
        <v>0</v>
      </c>
      <c r="J61">
        <v>0</v>
      </c>
      <c r="K61">
        <v>0</v>
      </c>
      <c r="L61">
        <v>0</v>
      </c>
      <c r="M61">
        <v>0</v>
      </c>
      <c r="N61">
        <v>0</v>
      </c>
      <c r="O61">
        <v>0</v>
      </c>
      <c r="P61">
        <v>0</v>
      </c>
      <c r="Q61">
        <v>0</v>
      </c>
      <c r="R61">
        <v>0</v>
      </c>
      <c r="S61">
        <v>0</v>
      </c>
    </row>
    <row r="62" spans="1:19" ht="28.8" x14ac:dyDescent="0.3">
      <c r="A62" s="97">
        <v>149</v>
      </c>
      <c r="B62" s="330" t="s">
        <v>435</v>
      </c>
      <c r="D62">
        <v>0</v>
      </c>
      <c r="E62">
        <v>0</v>
      </c>
      <c r="F62">
        <v>0</v>
      </c>
      <c r="G62">
        <v>0</v>
      </c>
      <c r="H62">
        <v>0</v>
      </c>
      <c r="I62">
        <v>0</v>
      </c>
      <c r="J62">
        <v>0</v>
      </c>
      <c r="K62">
        <v>0</v>
      </c>
      <c r="L62">
        <v>0</v>
      </c>
      <c r="M62">
        <v>0</v>
      </c>
      <c r="N62">
        <v>0</v>
      </c>
      <c r="O62">
        <v>0</v>
      </c>
      <c r="P62">
        <v>0</v>
      </c>
      <c r="Q62">
        <v>0</v>
      </c>
      <c r="R62">
        <v>0</v>
      </c>
      <c r="S62">
        <v>0</v>
      </c>
    </row>
    <row r="63" spans="1:19" ht="28.8" x14ac:dyDescent="0.3">
      <c r="A63" s="97">
        <v>150</v>
      </c>
      <c r="B63" s="330" t="s">
        <v>436</v>
      </c>
      <c r="D63">
        <v>0</v>
      </c>
      <c r="E63">
        <v>0</v>
      </c>
      <c r="F63">
        <v>0</v>
      </c>
      <c r="G63">
        <v>0</v>
      </c>
      <c r="H63">
        <v>0</v>
      </c>
      <c r="I63">
        <v>0</v>
      </c>
      <c r="J63">
        <v>0</v>
      </c>
      <c r="K63">
        <v>0</v>
      </c>
      <c r="L63">
        <v>0</v>
      </c>
      <c r="M63">
        <v>0</v>
      </c>
      <c r="N63">
        <v>0</v>
      </c>
      <c r="O63">
        <v>0</v>
      </c>
      <c r="P63">
        <v>0</v>
      </c>
      <c r="Q63">
        <v>0</v>
      </c>
      <c r="R63">
        <v>0</v>
      </c>
      <c r="S63">
        <v>0</v>
      </c>
    </row>
    <row r="64" spans="1:19" x14ac:dyDescent="0.3">
      <c r="A64" s="97">
        <v>171</v>
      </c>
      <c r="B64" s="330" t="s">
        <v>113</v>
      </c>
      <c r="D64">
        <v>0</v>
      </c>
      <c r="E64">
        <v>0</v>
      </c>
      <c r="F64">
        <v>0</v>
      </c>
      <c r="G64">
        <v>0</v>
      </c>
      <c r="H64">
        <v>0</v>
      </c>
      <c r="I64">
        <v>0</v>
      </c>
      <c r="J64">
        <v>0</v>
      </c>
      <c r="K64">
        <v>0</v>
      </c>
      <c r="L64">
        <v>0</v>
      </c>
      <c r="M64">
        <v>0</v>
      </c>
      <c r="N64">
        <v>0</v>
      </c>
      <c r="O64">
        <v>0</v>
      </c>
      <c r="P64">
        <v>0</v>
      </c>
      <c r="Q64">
        <v>0</v>
      </c>
      <c r="R64">
        <v>0</v>
      </c>
      <c r="S64">
        <v>0</v>
      </c>
    </row>
    <row r="65" spans="1:19" x14ac:dyDescent="0.3">
      <c r="A65" s="97">
        <v>191</v>
      </c>
      <c r="B65" s="330" t="s">
        <v>128</v>
      </c>
      <c r="D65">
        <v>0</v>
      </c>
      <c r="E65">
        <v>0</v>
      </c>
      <c r="F65">
        <v>0</v>
      </c>
      <c r="G65">
        <v>0</v>
      </c>
      <c r="H65">
        <v>0</v>
      </c>
      <c r="I65">
        <v>0</v>
      </c>
      <c r="J65">
        <v>0</v>
      </c>
      <c r="K65">
        <v>0</v>
      </c>
      <c r="L65">
        <v>0</v>
      </c>
      <c r="M65">
        <v>0</v>
      </c>
      <c r="N65">
        <v>0</v>
      </c>
      <c r="O65">
        <v>0</v>
      </c>
      <c r="P65">
        <v>0</v>
      </c>
      <c r="Q65">
        <v>0</v>
      </c>
      <c r="R65">
        <v>0</v>
      </c>
      <c r="S65">
        <v>0</v>
      </c>
    </row>
    <row r="66" spans="1:19" x14ac:dyDescent="0.3">
      <c r="A66" s="97">
        <v>192</v>
      </c>
      <c r="B66" s="330" t="s">
        <v>139</v>
      </c>
      <c r="D66">
        <v>0</v>
      </c>
      <c r="E66">
        <v>0</v>
      </c>
      <c r="F66">
        <v>0</v>
      </c>
      <c r="G66">
        <v>0</v>
      </c>
      <c r="H66">
        <v>0</v>
      </c>
      <c r="I66">
        <v>0</v>
      </c>
      <c r="J66">
        <v>0</v>
      </c>
      <c r="K66">
        <v>0</v>
      </c>
      <c r="L66">
        <v>0</v>
      </c>
      <c r="M66">
        <v>0</v>
      </c>
      <c r="N66">
        <v>0</v>
      </c>
      <c r="O66">
        <v>0</v>
      </c>
      <c r="P66">
        <v>0</v>
      </c>
      <c r="Q66">
        <v>0</v>
      </c>
      <c r="R66">
        <v>0</v>
      </c>
      <c r="S66">
        <v>0</v>
      </c>
    </row>
    <row r="67" spans="1:19" ht="28.8" x14ac:dyDescent="0.3">
      <c r="A67" s="97">
        <v>193</v>
      </c>
      <c r="B67" s="330" t="s">
        <v>186</v>
      </c>
      <c r="D67">
        <v>0</v>
      </c>
      <c r="E67">
        <v>0</v>
      </c>
      <c r="F67">
        <v>0</v>
      </c>
      <c r="G67">
        <v>0</v>
      </c>
      <c r="H67">
        <v>0</v>
      </c>
      <c r="I67">
        <v>0</v>
      </c>
      <c r="J67">
        <v>0</v>
      </c>
      <c r="K67">
        <v>0</v>
      </c>
      <c r="L67">
        <v>0</v>
      </c>
      <c r="M67">
        <v>0</v>
      </c>
      <c r="N67">
        <v>0</v>
      </c>
      <c r="O67">
        <v>0</v>
      </c>
      <c r="P67">
        <v>0</v>
      </c>
      <c r="Q67">
        <v>0</v>
      </c>
      <c r="R67">
        <v>0</v>
      </c>
      <c r="S67">
        <v>0</v>
      </c>
    </row>
    <row r="68" spans="1:19" ht="28.8" x14ac:dyDescent="0.3">
      <c r="A68" s="97">
        <v>194</v>
      </c>
      <c r="B68" s="330" t="s">
        <v>437</v>
      </c>
      <c r="D68">
        <v>0</v>
      </c>
      <c r="E68">
        <v>0</v>
      </c>
      <c r="F68">
        <v>0</v>
      </c>
      <c r="G68">
        <v>0</v>
      </c>
      <c r="H68">
        <v>0</v>
      </c>
      <c r="I68">
        <v>0</v>
      </c>
      <c r="J68">
        <v>0</v>
      </c>
      <c r="K68">
        <v>0</v>
      </c>
      <c r="L68">
        <v>0</v>
      </c>
      <c r="M68">
        <v>0</v>
      </c>
      <c r="N68">
        <v>0</v>
      </c>
      <c r="O68">
        <v>0</v>
      </c>
      <c r="P68">
        <v>0</v>
      </c>
      <c r="Q68">
        <v>0</v>
      </c>
      <c r="R68">
        <v>0</v>
      </c>
      <c r="S68">
        <v>0</v>
      </c>
    </row>
    <row r="69" spans="1:19" ht="28.8" x14ac:dyDescent="0.3">
      <c r="A69" s="97">
        <v>252</v>
      </c>
      <c r="B69" s="330" t="s">
        <v>33</v>
      </c>
      <c r="D69">
        <v>101276</v>
      </c>
      <c r="E69">
        <v>3471</v>
      </c>
      <c r="F69">
        <v>66360</v>
      </c>
      <c r="G69">
        <v>165590</v>
      </c>
      <c r="H69">
        <v>388772</v>
      </c>
      <c r="I69">
        <v>0</v>
      </c>
      <c r="J69">
        <v>-190221</v>
      </c>
      <c r="K69">
        <v>311857</v>
      </c>
      <c r="L69">
        <v>4424</v>
      </c>
      <c r="M69">
        <v>54801</v>
      </c>
      <c r="N69">
        <v>0</v>
      </c>
      <c r="O69">
        <v>1092065</v>
      </c>
      <c r="P69">
        <v>2517</v>
      </c>
      <c r="Q69">
        <v>13334</v>
      </c>
      <c r="R69">
        <v>28668</v>
      </c>
      <c r="S69">
        <v>64555</v>
      </c>
    </row>
    <row r="70" spans="1:19" x14ac:dyDescent="0.3">
      <c r="A70" s="97">
        <v>253</v>
      </c>
      <c r="B70" s="330" t="s">
        <v>34</v>
      </c>
      <c r="D70">
        <v>895982</v>
      </c>
      <c r="E70">
        <v>2191851</v>
      </c>
      <c r="F70">
        <v>1512412</v>
      </c>
      <c r="G70">
        <v>2097301</v>
      </c>
      <c r="H70">
        <v>360862</v>
      </c>
      <c r="I70">
        <v>1501318</v>
      </c>
      <c r="J70">
        <v>3479197</v>
      </c>
      <c r="K70">
        <v>1459161</v>
      </c>
      <c r="L70">
        <v>1618954</v>
      </c>
      <c r="M70">
        <v>2375326</v>
      </c>
      <c r="N70">
        <v>1634459</v>
      </c>
      <c r="O70">
        <v>2511301</v>
      </c>
      <c r="P70">
        <v>3931141</v>
      </c>
      <c r="Q70">
        <v>4073447</v>
      </c>
      <c r="R70">
        <v>768068</v>
      </c>
      <c r="S70">
        <v>3684096</v>
      </c>
    </row>
    <row r="71" spans="1:19" x14ac:dyDescent="0.3">
      <c r="A71" s="97">
        <v>254</v>
      </c>
      <c r="B71" s="330" t="s">
        <v>35</v>
      </c>
      <c r="D71">
        <v>1301083</v>
      </c>
      <c r="E71">
        <v>-1655311</v>
      </c>
      <c r="F71">
        <v>-1545819</v>
      </c>
      <c r="G71">
        <v>-812424</v>
      </c>
      <c r="H71">
        <v>702954</v>
      </c>
      <c r="I71">
        <v>-322506</v>
      </c>
      <c r="J71">
        <v>185530</v>
      </c>
      <c r="K71">
        <v>-1042695</v>
      </c>
      <c r="L71">
        <v>-1028586</v>
      </c>
      <c r="M71">
        <v>-2185674</v>
      </c>
      <c r="N71">
        <v>-1485448</v>
      </c>
      <c r="O71">
        <v>2281929</v>
      </c>
      <c r="P71">
        <v>-721488</v>
      </c>
      <c r="Q71">
        <v>-4856850</v>
      </c>
      <c r="R71">
        <v>137167</v>
      </c>
      <c r="S71">
        <v>-1533363</v>
      </c>
    </row>
    <row r="72" spans="1:19" x14ac:dyDescent="0.3">
      <c r="A72" s="97">
        <v>255</v>
      </c>
      <c r="B72" s="330" t="s">
        <v>96</v>
      </c>
      <c r="D72">
        <v>9118</v>
      </c>
      <c r="E72">
        <v>52990</v>
      </c>
      <c r="F72">
        <v>259541</v>
      </c>
      <c r="G72">
        <v>-140743</v>
      </c>
      <c r="H72">
        <v>96509</v>
      </c>
      <c r="I72">
        <v>417656</v>
      </c>
      <c r="J72">
        <v>430554</v>
      </c>
      <c r="K72">
        <v>126604</v>
      </c>
      <c r="L72">
        <v>-145341</v>
      </c>
      <c r="M72">
        <v>-200536</v>
      </c>
      <c r="N72">
        <v>-173256</v>
      </c>
      <c r="O72">
        <v>339816</v>
      </c>
      <c r="P72">
        <v>1086126</v>
      </c>
      <c r="Q72">
        <v>-294947</v>
      </c>
      <c r="R72">
        <v>177376</v>
      </c>
      <c r="S72">
        <v>112290</v>
      </c>
    </row>
    <row r="73" spans="1:19" x14ac:dyDescent="0.3">
      <c r="A73" s="97">
        <v>294</v>
      </c>
      <c r="B73" s="330" t="s">
        <v>438</v>
      </c>
      <c r="D73">
        <v>0</v>
      </c>
      <c r="E73">
        <v>0</v>
      </c>
      <c r="F73">
        <v>0</v>
      </c>
      <c r="G73">
        <v>0</v>
      </c>
      <c r="H73">
        <v>0</v>
      </c>
      <c r="I73">
        <v>0</v>
      </c>
      <c r="J73">
        <v>0</v>
      </c>
      <c r="K73">
        <v>0</v>
      </c>
      <c r="L73">
        <v>0</v>
      </c>
      <c r="M73">
        <v>0</v>
      </c>
      <c r="N73">
        <v>0</v>
      </c>
      <c r="O73">
        <v>0</v>
      </c>
      <c r="P73">
        <v>0</v>
      </c>
      <c r="Q73">
        <v>0</v>
      </c>
      <c r="R73">
        <v>0</v>
      </c>
      <c r="S73">
        <v>0</v>
      </c>
    </row>
    <row r="74" spans="1:19" ht="28.8" x14ac:dyDescent="0.3">
      <c r="A74" s="97">
        <v>327</v>
      </c>
      <c r="B74" s="330" t="s">
        <v>439</v>
      </c>
      <c r="D74">
        <v>0</v>
      </c>
      <c r="E74">
        <v>0</v>
      </c>
      <c r="F74">
        <v>0</v>
      </c>
      <c r="G74">
        <v>0</v>
      </c>
      <c r="H74">
        <v>0</v>
      </c>
      <c r="I74">
        <v>0</v>
      </c>
      <c r="J74">
        <v>0</v>
      </c>
      <c r="K74">
        <v>0</v>
      </c>
      <c r="L74">
        <v>0</v>
      </c>
      <c r="M74">
        <v>0</v>
      </c>
      <c r="N74">
        <v>0</v>
      </c>
      <c r="O74">
        <v>0</v>
      </c>
      <c r="P74">
        <v>0</v>
      </c>
      <c r="Q74">
        <v>0</v>
      </c>
      <c r="R74">
        <v>0</v>
      </c>
      <c r="S74">
        <v>0</v>
      </c>
    </row>
    <row r="75" spans="1:19" ht="28.8" x14ac:dyDescent="0.3">
      <c r="A75" s="97">
        <v>328</v>
      </c>
      <c r="B75" s="330" t="s">
        <v>199</v>
      </c>
      <c r="D75">
        <v>0</v>
      </c>
      <c r="E75">
        <v>0</v>
      </c>
      <c r="F75">
        <v>0</v>
      </c>
      <c r="G75">
        <v>0</v>
      </c>
      <c r="H75">
        <v>0</v>
      </c>
      <c r="I75">
        <v>0</v>
      </c>
      <c r="J75">
        <v>0</v>
      </c>
      <c r="K75">
        <v>0</v>
      </c>
      <c r="L75">
        <v>0</v>
      </c>
      <c r="M75">
        <v>0</v>
      </c>
      <c r="N75">
        <v>0</v>
      </c>
      <c r="O75">
        <v>0</v>
      </c>
      <c r="P75">
        <v>0</v>
      </c>
      <c r="Q75">
        <v>0</v>
      </c>
      <c r="R75">
        <v>0</v>
      </c>
      <c r="S75">
        <v>0</v>
      </c>
    </row>
    <row r="76" spans="1:19" x14ac:dyDescent="0.3">
      <c r="A76" s="97">
        <v>331</v>
      </c>
      <c r="B76" s="330" t="s">
        <v>142</v>
      </c>
      <c r="D76">
        <v>0</v>
      </c>
      <c r="E76">
        <v>0</v>
      </c>
      <c r="F76">
        <v>0</v>
      </c>
      <c r="G76">
        <v>0</v>
      </c>
      <c r="H76">
        <v>0</v>
      </c>
      <c r="I76">
        <v>0</v>
      </c>
      <c r="J76">
        <v>0</v>
      </c>
      <c r="K76">
        <v>0</v>
      </c>
      <c r="L76">
        <v>0</v>
      </c>
      <c r="M76">
        <v>0</v>
      </c>
      <c r="N76">
        <v>0</v>
      </c>
      <c r="O76">
        <v>0</v>
      </c>
      <c r="P76">
        <v>0</v>
      </c>
      <c r="Q76">
        <v>0</v>
      </c>
      <c r="R76">
        <v>0</v>
      </c>
      <c r="S76">
        <v>0</v>
      </c>
    </row>
    <row r="77" spans="1:19" x14ac:dyDescent="0.3">
      <c r="A77" s="97">
        <v>332</v>
      </c>
      <c r="B77" s="330" t="s">
        <v>143</v>
      </c>
      <c r="D77">
        <v>0</v>
      </c>
      <c r="E77">
        <v>0</v>
      </c>
      <c r="F77">
        <v>0</v>
      </c>
      <c r="G77">
        <v>0</v>
      </c>
      <c r="H77">
        <v>0</v>
      </c>
      <c r="I77">
        <v>0</v>
      </c>
      <c r="J77">
        <v>0</v>
      </c>
      <c r="K77">
        <v>0</v>
      </c>
      <c r="L77">
        <v>0</v>
      </c>
      <c r="M77">
        <v>0</v>
      </c>
      <c r="N77">
        <v>0</v>
      </c>
      <c r="O77">
        <v>0</v>
      </c>
      <c r="P77">
        <v>0</v>
      </c>
      <c r="Q77">
        <v>0</v>
      </c>
      <c r="R77">
        <v>0</v>
      </c>
      <c r="S77">
        <v>0</v>
      </c>
    </row>
    <row r="78" spans="1:19" ht="28.8" x14ac:dyDescent="0.3">
      <c r="A78" s="97">
        <v>333</v>
      </c>
      <c r="B78" s="330" t="s">
        <v>84</v>
      </c>
      <c r="D78">
        <v>1386789</v>
      </c>
      <c r="E78">
        <v>667744</v>
      </c>
      <c r="F78">
        <v>822707</v>
      </c>
      <c r="G78">
        <v>258231</v>
      </c>
      <c r="H78">
        <v>1118408</v>
      </c>
      <c r="I78">
        <v>1443156</v>
      </c>
      <c r="J78">
        <v>3247764</v>
      </c>
      <c r="K78">
        <v>478120</v>
      </c>
      <c r="L78">
        <v>417316</v>
      </c>
      <c r="M78">
        <v>943748</v>
      </c>
      <c r="N78">
        <v>345327</v>
      </c>
      <c r="O78">
        <v>4720765</v>
      </c>
      <c r="P78">
        <v>234861</v>
      </c>
      <c r="Q78">
        <v>1786624</v>
      </c>
      <c r="R78">
        <v>190272</v>
      </c>
      <c r="S78">
        <v>1711800</v>
      </c>
    </row>
    <row r="79" spans="1:19" ht="28.8" x14ac:dyDescent="0.3">
      <c r="A79" s="97">
        <v>334</v>
      </c>
      <c r="B79" s="330" t="s">
        <v>164</v>
      </c>
      <c r="D79">
        <v>0</v>
      </c>
      <c r="E79">
        <v>0</v>
      </c>
      <c r="F79">
        <v>0</v>
      </c>
      <c r="G79">
        <v>0</v>
      </c>
      <c r="H79">
        <v>0</v>
      </c>
      <c r="I79">
        <v>0</v>
      </c>
      <c r="J79">
        <v>0</v>
      </c>
      <c r="K79">
        <v>0</v>
      </c>
      <c r="L79">
        <v>0</v>
      </c>
      <c r="M79">
        <v>0</v>
      </c>
      <c r="N79">
        <v>0</v>
      </c>
      <c r="O79">
        <v>0</v>
      </c>
      <c r="P79">
        <v>0</v>
      </c>
      <c r="Q79">
        <v>0</v>
      </c>
      <c r="R79">
        <v>0</v>
      </c>
      <c r="S79">
        <v>0</v>
      </c>
    </row>
    <row r="80" spans="1:19" ht="28.8" x14ac:dyDescent="0.3">
      <c r="A80" s="97">
        <v>335</v>
      </c>
      <c r="B80" s="330" t="s">
        <v>46</v>
      </c>
      <c r="D80">
        <v>0</v>
      </c>
      <c r="E80">
        <v>229005</v>
      </c>
      <c r="F80">
        <v>0</v>
      </c>
      <c r="G80">
        <v>91800</v>
      </c>
      <c r="H80">
        <v>0</v>
      </c>
      <c r="I80">
        <v>304441</v>
      </c>
      <c r="J80">
        <v>367394</v>
      </c>
      <c r="K80">
        <v>0</v>
      </c>
      <c r="L80">
        <v>0</v>
      </c>
      <c r="M80">
        <v>0</v>
      </c>
      <c r="N80">
        <v>0</v>
      </c>
      <c r="O80">
        <v>852197</v>
      </c>
      <c r="P80">
        <v>225920</v>
      </c>
      <c r="Q80">
        <v>298388</v>
      </c>
      <c r="R80">
        <v>0</v>
      </c>
      <c r="S80">
        <v>0</v>
      </c>
    </row>
    <row r="81" spans="1:19" x14ac:dyDescent="0.3">
      <c r="A81" s="97">
        <v>336</v>
      </c>
      <c r="B81" s="330" t="s">
        <v>440</v>
      </c>
      <c r="D81">
        <v>405766</v>
      </c>
      <c r="E81">
        <v>1995940</v>
      </c>
      <c r="F81">
        <v>4044487</v>
      </c>
      <c r="G81">
        <v>754691</v>
      </c>
      <c r="H81">
        <v>713932</v>
      </c>
      <c r="I81">
        <v>1377253</v>
      </c>
      <c r="J81">
        <v>2263841</v>
      </c>
      <c r="K81">
        <v>1316005</v>
      </c>
      <c r="L81">
        <v>1147609</v>
      </c>
      <c r="M81">
        <v>2236450</v>
      </c>
      <c r="N81">
        <v>1278383</v>
      </c>
      <c r="O81">
        <v>5557432</v>
      </c>
      <c r="P81">
        <v>780336</v>
      </c>
      <c r="Q81">
        <v>4096252</v>
      </c>
      <c r="R81">
        <v>862973</v>
      </c>
      <c r="S81">
        <v>1333467</v>
      </c>
    </row>
    <row r="82" spans="1:19" x14ac:dyDescent="0.3">
      <c r="A82" s="97">
        <v>337</v>
      </c>
      <c r="B82" s="330" t="s">
        <v>149</v>
      </c>
      <c r="D82">
        <v>0</v>
      </c>
      <c r="E82">
        <v>0</v>
      </c>
      <c r="F82">
        <v>0</v>
      </c>
      <c r="G82">
        <v>0</v>
      </c>
      <c r="H82">
        <v>0</v>
      </c>
      <c r="I82">
        <v>0</v>
      </c>
      <c r="J82">
        <v>0</v>
      </c>
      <c r="K82">
        <v>0</v>
      </c>
      <c r="L82">
        <v>0</v>
      </c>
      <c r="M82">
        <v>0</v>
      </c>
      <c r="N82">
        <v>0</v>
      </c>
      <c r="O82">
        <v>0</v>
      </c>
      <c r="P82">
        <v>0</v>
      </c>
      <c r="Q82">
        <v>0</v>
      </c>
      <c r="R82">
        <v>0</v>
      </c>
      <c r="S82">
        <v>0</v>
      </c>
    </row>
    <row r="83" spans="1:19" ht="28.8" x14ac:dyDescent="0.3">
      <c r="A83" s="97">
        <v>338</v>
      </c>
      <c r="B83" s="330" t="s">
        <v>45</v>
      </c>
      <c r="D83">
        <v>1201989</v>
      </c>
      <c r="E83">
        <v>2628892</v>
      </c>
      <c r="F83">
        <v>6358123</v>
      </c>
      <c r="G83">
        <v>1508462</v>
      </c>
      <c r="H83">
        <v>2306944</v>
      </c>
      <c r="I83">
        <v>3645968</v>
      </c>
      <c r="J83">
        <v>4891941</v>
      </c>
      <c r="K83">
        <v>2620896</v>
      </c>
      <c r="L83">
        <v>1476885</v>
      </c>
      <c r="M83">
        <v>3105464</v>
      </c>
      <c r="N83">
        <v>1666692</v>
      </c>
      <c r="O83">
        <v>9189857</v>
      </c>
      <c r="P83">
        <v>1294850</v>
      </c>
      <c r="Q83">
        <v>7680334</v>
      </c>
      <c r="R83">
        <v>1847643</v>
      </c>
      <c r="S83">
        <v>6116520</v>
      </c>
    </row>
    <row r="84" spans="1:19" x14ac:dyDescent="0.3">
      <c r="A84" s="97">
        <v>339</v>
      </c>
      <c r="B84" s="330" t="s">
        <v>89</v>
      </c>
      <c r="D84">
        <v>504643</v>
      </c>
      <c r="E84">
        <v>393668</v>
      </c>
      <c r="F84">
        <v>3105150</v>
      </c>
      <c r="G84">
        <v>0</v>
      </c>
      <c r="H84">
        <v>0</v>
      </c>
      <c r="I84">
        <v>453841</v>
      </c>
      <c r="J84">
        <v>1083855</v>
      </c>
      <c r="K84">
        <v>745292</v>
      </c>
      <c r="L84">
        <v>590654</v>
      </c>
      <c r="M84">
        <v>834723</v>
      </c>
      <c r="N84">
        <v>71078</v>
      </c>
      <c r="O84">
        <v>2589130</v>
      </c>
      <c r="P84">
        <v>138145</v>
      </c>
      <c r="Q84">
        <v>1556445</v>
      </c>
      <c r="R84">
        <v>626687</v>
      </c>
      <c r="S84">
        <v>2059319</v>
      </c>
    </row>
    <row r="85" spans="1:19" ht="43.2" x14ac:dyDescent="0.3">
      <c r="A85" s="97">
        <v>341</v>
      </c>
      <c r="B85" s="330" t="s">
        <v>441</v>
      </c>
      <c r="D85">
        <v>14413</v>
      </c>
      <c r="E85">
        <v>222389</v>
      </c>
      <c r="F85">
        <v>898124</v>
      </c>
      <c r="G85">
        <v>191451</v>
      </c>
      <c r="H85">
        <v>221017</v>
      </c>
      <c r="I85">
        <v>170311</v>
      </c>
      <c r="J85">
        <v>195215</v>
      </c>
      <c r="K85">
        <v>0</v>
      </c>
      <c r="L85">
        <v>149138</v>
      </c>
      <c r="M85">
        <v>10555</v>
      </c>
      <c r="N85">
        <v>163599</v>
      </c>
      <c r="O85">
        <v>6835</v>
      </c>
      <c r="P85">
        <v>225341</v>
      </c>
      <c r="Q85">
        <v>1126261</v>
      </c>
      <c r="R85">
        <v>228713</v>
      </c>
      <c r="S85">
        <v>298288</v>
      </c>
    </row>
    <row r="86" spans="1:19" x14ac:dyDescent="0.3">
      <c r="A86" s="97">
        <v>343</v>
      </c>
      <c r="B86" s="330" t="s">
        <v>150</v>
      </c>
      <c r="D86">
        <v>0</v>
      </c>
      <c r="E86">
        <v>0</v>
      </c>
      <c r="F86">
        <v>0</v>
      </c>
      <c r="G86">
        <v>0</v>
      </c>
      <c r="H86">
        <v>0</v>
      </c>
      <c r="I86">
        <v>0</v>
      </c>
      <c r="J86">
        <v>0</v>
      </c>
      <c r="K86">
        <v>0</v>
      </c>
      <c r="L86">
        <v>0</v>
      </c>
      <c r="M86">
        <v>0</v>
      </c>
      <c r="N86">
        <v>0</v>
      </c>
      <c r="O86">
        <v>0</v>
      </c>
      <c r="P86">
        <v>0</v>
      </c>
      <c r="Q86">
        <v>0</v>
      </c>
      <c r="R86">
        <v>0</v>
      </c>
      <c r="S86">
        <v>0</v>
      </c>
    </row>
    <row r="87" spans="1:19" x14ac:dyDescent="0.3">
      <c r="A87" s="97">
        <v>344</v>
      </c>
      <c r="B87" s="330" t="s">
        <v>87</v>
      </c>
      <c r="D87">
        <v>0</v>
      </c>
      <c r="E87">
        <v>0</v>
      </c>
      <c r="F87">
        <v>0</v>
      </c>
      <c r="G87">
        <v>0</v>
      </c>
      <c r="H87">
        <v>0</v>
      </c>
      <c r="I87">
        <v>0</v>
      </c>
      <c r="J87">
        <v>0</v>
      </c>
      <c r="K87">
        <v>0</v>
      </c>
      <c r="L87">
        <v>0</v>
      </c>
      <c r="M87">
        <v>0</v>
      </c>
      <c r="N87">
        <v>0</v>
      </c>
      <c r="O87">
        <v>0</v>
      </c>
      <c r="P87">
        <v>0</v>
      </c>
      <c r="Q87">
        <v>0</v>
      </c>
      <c r="R87">
        <v>0</v>
      </c>
      <c r="S87">
        <v>0</v>
      </c>
    </row>
    <row r="88" spans="1:19" ht="28.8" x14ac:dyDescent="0.3">
      <c r="A88" s="97">
        <v>349</v>
      </c>
      <c r="B88" s="330" t="s">
        <v>51</v>
      </c>
      <c r="D88">
        <v>0</v>
      </c>
      <c r="E88">
        <v>0</v>
      </c>
      <c r="F88">
        <v>0</v>
      </c>
      <c r="G88">
        <v>0</v>
      </c>
      <c r="H88">
        <v>0</v>
      </c>
      <c r="I88">
        <v>0</v>
      </c>
      <c r="J88">
        <v>0</v>
      </c>
      <c r="K88">
        <v>0</v>
      </c>
      <c r="L88">
        <v>0</v>
      </c>
      <c r="M88">
        <v>0</v>
      </c>
      <c r="N88">
        <v>0</v>
      </c>
      <c r="O88">
        <v>0</v>
      </c>
      <c r="P88">
        <v>0</v>
      </c>
      <c r="Q88">
        <v>0</v>
      </c>
      <c r="R88">
        <v>0</v>
      </c>
      <c r="S88">
        <v>0</v>
      </c>
    </row>
    <row r="89" spans="1:19" ht="28.8" x14ac:dyDescent="0.3">
      <c r="A89" s="97">
        <v>350</v>
      </c>
      <c r="B89" s="330" t="s">
        <v>442</v>
      </c>
      <c r="D89">
        <v>0</v>
      </c>
      <c r="E89">
        <v>0</v>
      </c>
      <c r="F89">
        <v>0</v>
      </c>
      <c r="G89">
        <v>0</v>
      </c>
      <c r="H89">
        <v>0</v>
      </c>
      <c r="I89">
        <v>0</v>
      </c>
      <c r="J89">
        <v>0</v>
      </c>
      <c r="K89">
        <v>0</v>
      </c>
      <c r="L89">
        <v>0</v>
      </c>
      <c r="M89">
        <v>0</v>
      </c>
      <c r="N89">
        <v>0</v>
      </c>
      <c r="O89">
        <v>0</v>
      </c>
      <c r="P89">
        <v>0</v>
      </c>
      <c r="Q89">
        <v>0</v>
      </c>
      <c r="R89">
        <v>0</v>
      </c>
      <c r="S89">
        <v>0</v>
      </c>
    </row>
    <row r="90" spans="1:19" x14ac:dyDescent="0.3">
      <c r="A90" s="97">
        <v>351</v>
      </c>
      <c r="B90" s="330" t="s">
        <v>127</v>
      </c>
      <c r="D90">
        <v>0</v>
      </c>
      <c r="E90">
        <v>0</v>
      </c>
      <c r="F90">
        <v>0</v>
      </c>
      <c r="G90">
        <v>0</v>
      </c>
      <c r="H90">
        <v>0</v>
      </c>
      <c r="I90">
        <v>0</v>
      </c>
      <c r="J90">
        <v>0</v>
      </c>
      <c r="K90">
        <v>0</v>
      </c>
      <c r="L90">
        <v>0</v>
      </c>
      <c r="M90">
        <v>0</v>
      </c>
      <c r="N90">
        <v>0</v>
      </c>
      <c r="O90">
        <v>0</v>
      </c>
      <c r="P90">
        <v>0</v>
      </c>
      <c r="Q90">
        <v>0</v>
      </c>
      <c r="R90">
        <v>0</v>
      </c>
      <c r="S90">
        <v>0</v>
      </c>
    </row>
    <row r="91" spans="1:19" x14ac:dyDescent="0.3">
      <c r="A91" s="97">
        <v>352</v>
      </c>
      <c r="B91" s="330" t="s">
        <v>129</v>
      </c>
      <c r="D91">
        <v>0</v>
      </c>
      <c r="E91">
        <v>0</v>
      </c>
      <c r="F91">
        <v>0</v>
      </c>
      <c r="G91">
        <v>0</v>
      </c>
      <c r="H91">
        <v>0</v>
      </c>
      <c r="I91">
        <v>0</v>
      </c>
      <c r="J91">
        <v>0</v>
      </c>
      <c r="K91">
        <v>0</v>
      </c>
      <c r="L91">
        <v>0</v>
      </c>
      <c r="M91">
        <v>0</v>
      </c>
      <c r="N91">
        <v>0</v>
      </c>
      <c r="O91">
        <v>0</v>
      </c>
      <c r="P91">
        <v>0</v>
      </c>
      <c r="Q91">
        <v>0</v>
      </c>
      <c r="R91">
        <v>0</v>
      </c>
      <c r="S91">
        <v>0</v>
      </c>
    </row>
    <row r="92" spans="1:19" x14ac:dyDescent="0.3">
      <c r="A92" s="97">
        <v>353</v>
      </c>
      <c r="B92" s="330" t="s">
        <v>130</v>
      </c>
      <c r="D92">
        <v>0</v>
      </c>
      <c r="E92">
        <v>0</v>
      </c>
      <c r="F92">
        <v>0</v>
      </c>
      <c r="G92">
        <v>0</v>
      </c>
      <c r="H92">
        <v>0</v>
      </c>
      <c r="I92">
        <v>0</v>
      </c>
      <c r="J92">
        <v>0</v>
      </c>
      <c r="K92">
        <v>0</v>
      </c>
      <c r="L92">
        <v>0</v>
      </c>
      <c r="M92">
        <v>0</v>
      </c>
      <c r="N92">
        <v>0</v>
      </c>
      <c r="O92">
        <v>0</v>
      </c>
      <c r="P92">
        <v>0</v>
      </c>
      <c r="Q92">
        <v>0</v>
      </c>
      <c r="R92">
        <v>0</v>
      </c>
      <c r="S92">
        <v>0</v>
      </c>
    </row>
    <row r="93" spans="1:19" ht="28.8" x14ac:dyDescent="0.3">
      <c r="A93" s="97">
        <v>356</v>
      </c>
      <c r="B93" s="330" t="s">
        <v>200</v>
      </c>
      <c r="D93">
        <v>0</v>
      </c>
      <c r="E93">
        <v>0</v>
      </c>
      <c r="F93">
        <v>0</v>
      </c>
      <c r="G93">
        <v>0</v>
      </c>
      <c r="H93">
        <v>0</v>
      </c>
      <c r="I93">
        <v>0</v>
      </c>
      <c r="J93">
        <v>0</v>
      </c>
      <c r="K93">
        <v>0</v>
      </c>
      <c r="L93">
        <v>0</v>
      </c>
      <c r="M93">
        <v>0</v>
      </c>
      <c r="N93">
        <v>0</v>
      </c>
      <c r="O93">
        <v>0</v>
      </c>
      <c r="P93">
        <v>0</v>
      </c>
      <c r="Q93">
        <v>0</v>
      </c>
      <c r="R93">
        <v>0</v>
      </c>
      <c r="S93">
        <v>0</v>
      </c>
    </row>
    <row r="94" spans="1:19" x14ac:dyDescent="0.3">
      <c r="A94" s="97">
        <v>357</v>
      </c>
      <c r="B94" s="330" t="s">
        <v>201</v>
      </c>
      <c r="D94">
        <v>0</v>
      </c>
      <c r="E94">
        <v>0</v>
      </c>
      <c r="F94">
        <v>0</v>
      </c>
      <c r="G94">
        <v>0</v>
      </c>
      <c r="H94">
        <v>0</v>
      </c>
      <c r="I94">
        <v>0</v>
      </c>
      <c r="J94">
        <v>0</v>
      </c>
      <c r="K94">
        <v>0</v>
      </c>
      <c r="L94">
        <v>0</v>
      </c>
      <c r="M94">
        <v>0</v>
      </c>
      <c r="N94">
        <v>0</v>
      </c>
      <c r="O94">
        <v>0</v>
      </c>
      <c r="P94">
        <v>0</v>
      </c>
      <c r="Q94">
        <v>0</v>
      </c>
      <c r="R94">
        <v>0</v>
      </c>
      <c r="S94">
        <v>0</v>
      </c>
    </row>
    <row r="95" spans="1:19" x14ac:dyDescent="0.3">
      <c r="A95" s="97">
        <v>359</v>
      </c>
      <c r="B95" s="330" t="s">
        <v>151</v>
      </c>
      <c r="D95">
        <v>0</v>
      </c>
      <c r="E95">
        <v>0</v>
      </c>
      <c r="F95">
        <v>0</v>
      </c>
      <c r="G95">
        <v>0</v>
      </c>
      <c r="H95">
        <v>0</v>
      </c>
      <c r="I95">
        <v>0</v>
      </c>
      <c r="J95">
        <v>0</v>
      </c>
      <c r="K95">
        <v>0</v>
      </c>
      <c r="L95">
        <v>0</v>
      </c>
      <c r="M95">
        <v>0</v>
      </c>
      <c r="N95">
        <v>0</v>
      </c>
      <c r="O95">
        <v>0</v>
      </c>
      <c r="P95">
        <v>0</v>
      </c>
      <c r="Q95">
        <v>0</v>
      </c>
      <c r="R95">
        <v>0</v>
      </c>
      <c r="S95">
        <v>0</v>
      </c>
    </row>
    <row r="96" spans="1:19" ht="28.8" x14ac:dyDescent="0.3">
      <c r="A96" s="97">
        <v>360</v>
      </c>
      <c r="B96" s="330" t="s">
        <v>54</v>
      </c>
      <c r="D96">
        <v>0</v>
      </c>
      <c r="E96">
        <v>0</v>
      </c>
      <c r="F96">
        <v>0</v>
      </c>
      <c r="G96">
        <v>0</v>
      </c>
      <c r="H96">
        <v>0</v>
      </c>
      <c r="I96">
        <v>0</v>
      </c>
      <c r="J96">
        <v>0</v>
      </c>
      <c r="K96">
        <v>0</v>
      </c>
      <c r="L96">
        <v>0</v>
      </c>
      <c r="M96">
        <v>0</v>
      </c>
      <c r="N96">
        <v>0</v>
      </c>
      <c r="O96">
        <v>0</v>
      </c>
      <c r="P96">
        <v>0</v>
      </c>
      <c r="Q96">
        <v>0</v>
      </c>
      <c r="R96">
        <v>0</v>
      </c>
      <c r="S96">
        <v>0</v>
      </c>
    </row>
    <row r="97" spans="1:19" x14ac:dyDescent="0.3">
      <c r="A97" s="97">
        <v>361</v>
      </c>
      <c r="B97" s="330" t="s">
        <v>36</v>
      </c>
      <c r="D97">
        <v>0</v>
      </c>
      <c r="E97">
        <v>0</v>
      </c>
      <c r="F97">
        <v>0</v>
      </c>
      <c r="G97">
        <v>0</v>
      </c>
      <c r="H97">
        <v>0</v>
      </c>
      <c r="I97">
        <v>0</v>
      </c>
      <c r="J97">
        <v>0</v>
      </c>
      <c r="K97">
        <v>0</v>
      </c>
      <c r="L97">
        <v>0</v>
      </c>
      <c r="M97">
        <v>0</v>
      </c>
      <c r="N97">
        <v>0</v>
      </c>
      <c r="O97">
        <v>0</v>
      </c>
      <c r="P97">
        <v>0</v>
      </c>
      <c r="Q97">
        <v>0</v>
      </c>
      <c r="R97">
        <v>0</v>
      </c>
      <c r="S97">
        <v>0</v>
      </c>
    </row>
    <row r="98" spans="1:19" x14ac:dyDescent="0.3">
      <c r="A98" s="97">
        <v>362</v>
      </c>
      <c r="B98" s="330" t="s">
        <v>37</v>
      </c>
      <c r="D98">
        <v>0</v>
      </c>
      <c r="E98">
        <v>0</v>
      </c>
      <c r="F98">
        <v>0</v>
      </c>
      <c r="G98">
        <v>0</v>
      </c>
      <c r="H98">
        <v>0</v>
      </c>
      <c r="I98">
        <v>0</v>
      </c>
      <c r="J98">
        <v>0</v>
      </c>
      <c r="K98">
        <v>0</v>
      </c>
      <c r="L98">
        <v>0</v>
      </c>
      <c r="M98">
        <v>0</v>
      </c>
      <c r="N98">
        <v>0</v>
      </c>
      <c r="O98">
        <v>0</v>
      </c>
      <c r="P98">
        <v>0</v>
      </c>
      <c r="Q98">
        <v>0</v>
      </c>
      <c r="R98">
        <v>0</v>
      </c>
      <c r="S98">
        <v>0</v>
      </c>
    </row>
    <row r="99" spans="1:19" ht="28.8" x14ac:dyDescent="0.3">
      <c r="A99" s="97">
        <v>363</v>
      </c>
      <c r="B99" s="330" t="s">
        <v>137</v>
      </c>
      <c r="D99">
        <v>0</v>
      </c>
      <c r="E99">
        <v>0</v>
      </c>
      <c r="F99">
        <v>0</v>
      </c>
      <c r="G99">
        <v>0</v>
      </c>
      <c r="H99">
        <v>0</v>
      </c>
      <c r="I99">
        <v>0</v>
      </c>
      <c r="J99">
        <v>0</v>
      </c>
      <c r="K99">
        <v>0</v>
      </c>
      <c r="L99">
        <v>0</v>
      </c>
      <c r="M99">
        <v>0</v>
      </c>
      <c r="N99">
        <v>0</v>
      </c>
      <c r="O99">
        <v>0</v>
      </c>
      <c r="P99">
        <v>0</v>
      </c>
      <c r="Q99">
        <v>0</v>
      </c>
      <c r="R99">
        <v>0</v>
      </c>
      <c r="S99">
        <v>0</v>
      </c>
    </row>
    <row r="100" spans="1:19" ht="28.8" x14ac:dyDescent="0.3">
      <c r="A100" s="97">
        <v>364</v>
      </c>
      <c r="B100" s="330" t="s">
        <v>138</v>
      </c>
      <c r="D100">
        <v>0</v>
      </c>
      <c r="E100">
        <v>0</v>
      </c>
      <c r="F100">
        <v>0</v>
      </c>
      <c r="G100">
        <v>0</v>
      </c>
      <c r="H100">
        <v>0</v>
      </c>
      <c r="I100">
        <v>0</v>
      </c>
      <c r="J100">
        <v>0</v>
      </c>
      <c r="K100">
        <v>0</v>
      </c>
      <c r="L100">
        <v>0</v>
      </c>
      <c r="M100">
        <v>0</v>
      </c>
      <c r="N100">
        <v>0</v>
      </c>
      <c r="O100">
        <v>0</v>
      </c>
      <c r="P100">
        <v>0</v>
      </c>
      <c r="Q100">
        <v>0</v>
      </c>
      <c r="R100">
        <v>0</v>
      </c>
      <c r="S100">
        <v>0</v>
      </c>
    </row>
    <row r="101" spans="1:19" x14ac:dyDescent="0.3">
      <c r="A101" s="97">
        <v>365</v>
      </c>
      <c r="B101" s="330" t="s">
        <v>140</v>
      </c>
      <c r="D101">
        <v>0</v>
      </c>
      <c r="E101">
        <v>0</v>
      </c>
      <c r="F101">
        <v>0</v>
      </c>
      <c r="G101">
        <v>0</v>
      </c>
      <c r="H101">
        <v>0</v>
      </c>
      <c r="I101">
        <v>0</v>
      </c>
      <c r="J101">
        <v>0</v>
      </c>
      <c r="K101">
        <v>0</v>
      </c>
      <c r="L101">
        <v>0</v>
      </c>
      <c r="M101">
        <v>0</v>
      </c>
      <c r="N101">
        <v>0</v>
      </c>
      <c r="O101">
        <v>0</v>
      </c>
      <c r="P101">
        <v>0</v>
      </c>
      <c r="Q101">
        <v>0</v>
      </c>
      <c r="R101">
        <v>0</v>
      </c>
      <c r="S101">
        <v>0</v>
      </c>
    </row>
    <row r="102" spans="1:19" ht="28.8" x14ac:dyDescent="0.3">
      <c r="A102" s="97">
        <v>366</v>
      </c>
      <c r="B102" s="330" t="s">
        <v>443</v>
      </c>
      <c r="D102">
        <v>0</v>
      </c>
      <c r="E102">
        <v>0</v>
      </c>
      <c r="F102">
        <v>0</v>
      </c>
      <c r="G102">
        <v>0</v>
      </c>
      <c r="H102">
        <v>0</v>
      </c>
      <c r="I102">
        <v>0</v>
      </c>
      <c r="J102">
        <v>0</v>
      </c>
      <c r="K102">
        <v>0</v>
      </c>
      <c r="L102">
        <v>0</v>
      </c>
      <c r="M102">
        <v>0</v>
      </c>
      <c r="N102">
        <v>0</v>
      </c>
      <c r="O102">
        <v>0</v>
      </c>
      <c r="P102">
        <v>0</v>
      </c>
      <c r="Q102">
        <v>0</v>
      </c>
      <c r="R102">
        <v>0</v>
      </c>
      <c r="S102">
        <v>0</v>
      </c>
    </row>
    <row r="103" spans="1:19" ht="28.8" x14ac:dyDescent="0.3">
      <c r="A103" s="97">
        <v>368</v>
      </c>
      <c r="B103" s="330" t="s">
        <v>99</v>
      </c>
      <c r="D103">
        <v>0</v>
      </c>
      <c r="E103">
        <v>0</v>
      </c>
      <c r="F103">
        <v>0</v>
      </c>
      <c r="G103">
        <v>0</v>
      </c>
      <c r="H103">
        <v>0</v>
      </c>
      <c r="I103">
        <v>0</v>
      </c>
      <c r="J103">
        <v>0</v>
      </c>
      <c r="K103">
        <v>0</v>
      </c>
      <c r="L103">
        <v>0</v>
      </c>
      <c r="M103">
        <v>0</v>
      </c>
      <c r="N103">
        <v>0</v>
      </c>
      <c r="O103">
        <v>0</v>
      </c>
      <c r="P103">
        <v>0</v>
      </c>
      <c r="Q103">
        <v>0</v>
      </c>
      <c r="R103">
        <v>0</v>
      </c>
      <c r="S103">
        <v>0</v>
      </c>
    </row>
    <row r="104" spans="1:19" x14ac:dyDescent="0.3">
      <c r="A104" s="97">
        <v>369</v>
      </c>
      <c r="B104" s="330" t="s">
        <v>104</v>
      </c>
      <c r="D104">
        <v>0</v>
      </c>
      <c r="E104">
        <v>0</v>
      </c>
      <c r="F104">
        <v>0</v>
      </c>
      <c r="G104">
        <v>0</v>
      </c>
      <c r="H104">
        <v>0</v>
      </c>
      <c r="I104">
        <v>0</v>
      </c>
      <c r="J104">
        <v>0</v>
      </c>
      <c r="K104">
        <v>0</v>
      </c>
      <c r="L104">
        <v>0</v>
      </c>
      <c r="M104">
        <v>0</v>
      </c>
      <c r="N104">
        <v>0</v>
      </c>
      <c r="O104">
        <v>0</v>
      </c>
      <c r="P104">
        <v>0</v>
      </c>
      <c r="Q104">
        <v>0</v>
      </c>
      <c r="R104">
        <v>0</v>
      </c>
      <c r="S104">
        <v>0</v>
      </c>
    </row>
    <row r="105" spans="1:19" x14ac:dyDescent="0.3">
      <c r="A105" s="97">
        <v>370</v>
      </c>
      <c r="B105" s="330" t="s">
        <v>106</v>
      </c>
      <c r="D105">
        <v>0</v>
      </c>
      <c r="E105">
        <v>0</v>
      </c>
      <c r="F105">
        <v>0</v>
      </c>
      <c r="G105">
        <v>0</v>
      </c>
      <c r="H105">
        <v>0</v>
      </c>
      <c r="I105">
        <v>0</v>
      </c>
      <c r="J105">
        <v>0</v>
      </c>
      <c r="K105">
        <v>0</v>
      </c>
      <c r="L105">
        <v>0</v>
      </c>
      <c r="M105">
        <v>0</v>
      </c>
      <c r="N105">
        <v>0</v>
      </c>
      <c r="O105">
        <v>0</v>
      </c>
      <c r="P105">
        <v>0</v>
      </c>
      <c r="Q105">
        <v>0</v>
      </c>
      <c r="R105">
        <v>0</v>
      </c>
      <c r="S105">
        <v>0</v>
      </c>
    </row>
    <row r="106" spans="1:19" x14ac:dyDescent="0.3">
      <c r="A106" s="97">
        <v>371</v>
      </c>
      <c r="B106" s="330" t="s">
        <v>152</v>
      </c>
      <c r="D106">
        <v>0</v>
      </c>
      <c r="E106">
        <v>0</v>
      </c>
      <c r="F106">
        <v>0</v>
      </c>
      <c r="G106">
        <v>0</v>
      </c>
      <c r="H106">
        <v>0</v>
      </c>
      <c r="I106">
        <v>0</v>
      </c>
      <c r="J106">
        <v>0</v>
      </c>
      <c r="K106">
        <v>0</v>
      </c>
      <c r="L106">
        <v>0</v>
      </c>
      <c r="M106">
        <v>0</v>
      </c>
      <c r="N106">
        <v>0</v>
      </c>
      <c r="O106">
        <v>0</v>
      </c>
      <c r="P106">
        <v>0</v>
      </c>
      <c r="Q106">
        <v>0</v>
      </c>
      <c r="R106">
        <v>0</v>
      </c>
      <c r="S106">
        <v>0</v>
      </c>
    </row>
    <row r="107" spans="1:19" x14ac:dyDescent="0.3">
      <c r="A107" s="97">
        <v>373</v>
      </c>
      <c r="B107" s="330" t="s">
        <v>198</v>
      </c>
      <c r="D107">
        <v>0</v>
      </c>
      <c r="E107">
        <v>0</v>
      </c>
      <c r="F107">
        <v>0</v>
      </c>
      <c r="G107">
        <v>0</v>
      </c>
      <c r="H107">
        <v>0</v>
      </c>
      <c r="I107">
        <v>0</v>
      </c>
      <c r="J107">
        <v>0</v>
      </c>
      <c r="K107">
        <v>0</v>
      </c>
      <c r="L107">
        <v>0</v>
      </c>
      <c r="M107">
        <v>0</v>
      </c>
      <c r="N107">
        <v>0</v>
      </c>
      <c r="O107">
        <v>0</v>
      </c>
      <c r="P107">
        <v>0</v>
      </c>
      <c r="Q107">
        <v>0</v>
      </c>
      <c r="R107">
        <v>0</v>
      </c>
      <c r="S107">
        <v>0</v>
      </c>
    </row>
    <row r="108" spans="1:19" x14ac:dyDescent="0.3">
      <c r="A108" s="97">
        <v>375</v>
      </c>
      <c r="B108" s="330" t="s">
        <v>118</v>
      </c>
      <c r="D108">
        <v>0</v>
      </c>
      <c r="E108">
        <v>0</v>
      </c>
      <c r="F108">
        <v>0</v>
      </c>
      <c r="G108">
        <v>0</v>
      </c>
      <c r="H108">
        <v>0</v>
      </c>
      <c r="I108">
        <v>0</v>
      </c>
      <c r="J108">
        <v>0</v>
      </c>
      <c r="K108">
        <v>0</v>
      </c>
      <c r="L108">
        <v>0</v>
      </c>
      <c r="M108">
        <v>0</v>
      </c>
      <c r="N108">
        <v>0</v>
      </c>
      <c r="O108">
        <v>0</v>
      </c>
      <c r="P108">
        <v>0</v>
      </c>
      <c r="Q108">
        <v>0</v>
      </c>
      <c r="R108">
        <v>0</v>
      </c>
      <c r="S108">
        <v>0</v>
      </c>
    </row>
    <row r="109" spans="1:19" ht="28.8" x14ac:dyDescent="0.3">
      <c r="A109" s="97">
        <v>376</v>
      </c>
      <c r="B109" s="330" t="s">
        <v>38</v>
      </c>
      <c r="D109">
        <v>0</v>
      </c>
      <c r="E109">
        <v>0</v>
      </c>
      <c r="F109">
        <v>0</v>
      </c>
      <c r="G109">
        <v>0</v>
      </c>
      <c r="H109">
        <v>0</v>
      </c>
      <c r="I109">
        <v>0</v>
      </c>
      <c r="J109">
        <v>0</v>
      </c>
      <c r="K109">
        <v>0</v>
      </c>
      <c r="L109">
        <v>0</v>
      </c>
      <c r="M109">
        <v>0</v>
      </c>
      <c r="N109">
        <v>0</v>
      </c>
      <c r="O109">
        <v>0</v>
      </c>
      <c r="P109">
        <v>0</v>
      </c>
      <c r="Q109">
        <v>0</v>
      </c>
      <c r="R109">
        <v>0</v>
      </c>
      <c r="S109">
        <v>0</v>
      </c>
    </row>
    <row r="110" spans="1:19" ht="28.8" x14ac:dyDescent="0.3">
      <c r="A110" s="97">
        <v>377</v>
      </c>
      <c r="B110" s="330" t="s">
        <v>39</v>
      </c>
      <c r="D110">
        <v>0</v>
      </c>
      <c r="E110">
        <v>0</v>
      </c>
      <c r="F110">
        <v>0</v>
      </c>
      <c r="G110">
        <v>0</v>
      </c>
      <c r="H110">
        <v>0</v>
      </c>
      <c r="I110">
        <v>0</v>
      </c>
      <c r="J110">
        <v>0</v>
      </c>
      <c r="K110">
        <v>0</v>
      </c>
      <c r="L110">
        <v>0</v>
      </c>
      <c r="M110">
        <v>0</v>
      </c>
      <c r="N110">
        <v>0</v>
      </c>
      <c r="O110">
        <v>0</v>
      </c>
      <c r="P110">
        <v>0</v>
      </c>
      <c r="Q110">
        <v>0</v>
      </c>
      <c r="R110">
        <v>0</v>
      </c>
      <c r="S110">
        <v>0</v>
      </c>
    </row>
    <row r="111" spans="1:19" ht="28.8" x14ac:dyDescent="0.3">
      <c r="A111" s="97">
        <v>378</v>
      </c>
      <c r="B111" s="330" t="s">
        <v>40</v>
      </c>
      <c r="D111">
        <v>0</v>
      </c>
      <c r="E111">
        <v>0</v>
      </c>
      <c r="F111">
        <v>0</v>
      </c>
      <c r="G111">
        <v>0</v>
      </c>
      <c r="H111">
        <v>0</v>
      </c>
      <c r="I111">
        <v>0</v>
      </c>
      <c r="J111">
        <v>0</v>
      </c>
      <c r="K111">
        <v>0</v>
      </c>
      <c r="L111">
        <v>0</v>
      </c>
      <c r="M111">
        <v>0</v>
      </c>
      <c r="N111">
        <v>0</v>
      </c>
      <c r="O111">
        <v>0</v>
      </c>
      <c r="P111">
        <v>0</v>
      </c>
      <c r="Q111">
        <v>0</v>
      </c>
      <c r="R111">
        <v>0</v>
      </c>
      <c r="S111">
        <v>0</v>
      </c>
    </row>
    <row r="112" spans="1:19" ht="28.8" x14ac:dyDescent="0.3">
      <c r="A112" s="97">
        <v>379</v>
      </c>
      <c r="B112" s="330" t="s">
        <v>47</v>
      </c>
      <c r="D112">
        <v>1111991</v>
      </c>
      <c r="E112">
        <v>714761</v>
      </c>
      <c r="F112">
        <v>2397369</v>
      </c>
      <c r="G112">
        <v>2173089</v>
      </c>
      <c r="H112">
        <v>1465010</v>
      </c>
      <c r="I112">
        <v>1058050</v>
      </c>
      <c r="J112">
        <v>6748066</v>
      </c>
      <c r="K112">
        <v>1984004</v>
      </c>
      <c r="L112">
        <v>1751281</v>
      </c>
      <c r="M112">
        <v>387265</v>
      </c>
      <c r="N112">
        <v>719591</v>
      </c>
      <c r="O112">
        <v>3338359</v>
      </c>
      <c r="P112">
        <v>1086451</v>
      </c>
      <c r="Q112">
        <v>5860071</v>
      </c>
      <c r="R112">
        <v>314787</v>
      </c>
      <c r="S112">
        <v>2579480</v>
      </c>
    </row>
    <row r="113" spans="1:19" ht="28.8" x14ac:dyDescent="0.3">
      <c r="A113" s="97">
        <v>380</v>
      </c>
      <c r="B113" s="330" t="s">
        <v>50</v>
      </c>
      <c r="D113">
        <v>0</v>
      </c>
      <c r="E113">
        <v>0</v>
      </c>
      <c r="F113">
        <v>0</v>
      </c>
      <c r="G113">
        <v>0</v>
      </c>
      <c r="H113">
        <v>0</v>
      </c>
      <c r="I113">
        <v>0</v>
      </c>
      <c r="J113">
        <v>0</v>
      </c>
      <c r="K113">
        <v>0</v>
      </c>
      <c r="L113">
        <v>0</v>
      </c>
      <c r="M113">
        <v>0</v>
      </c>
      <c r="N113">
        <v>0</v>
      </c>
      <c r="O113">
        <v>0</v>
      </c>
      <c r="P113">
        <v>0</v>
      </c>
      <c r="Q113">
        <v>0</v>
      </c>
      <c r="R113">
        <v>0</v>
      </c>
      <c r="S113">
        <v>208095</v>
      </c>
    </row>
    <row r="114" spans="1:19" ht="28.8" x14ac:dyDescent="0.3">
      <c r="A114" s="97">
        <v>381</v>
      </c>
      <c r="B114" s="330" t="s">
        <v>42</v>
      </c>
      <c r="D114">
        <v>0</v>
      </c>
      <c r="E114">
        <v>0</v>
      </c>
      <c r="F114">
        <v>0</v>
      </c>
      <c r="G114">
        <v>0</v>
      </c>
      <c r="H114">
        <v>0</v>
      </c>
      <c r="I114">
        <v>0</v>
      </c>
      <c r="J114">
        <v>0</v>
      </c>
      <c r="K114">
        <v>0</v>
      </c>
      <c r="L114">
        <v>0</v>
      </c>
      <c r="M114">
        <v>0</v>
      </c>
      <c r="N114">
        <v>0</v>
      </c>
      <c r="O114">
        <v>0</v>
      </c>
      <c r="P114">
        <v>0</v>
      </c>
      <c r="Q114">
        <v>0</v>
      </c>
      <c r="R114">
        <v>0</v>
      </c>
      <c r="S114">
        <v>0</v>
      </c>
    </row>
    <row r="115" spans="1:19" ht="28.8" x14ac:dyDescent="0.3">
      <c r="A115" s="97">
        <v>382</v>
      </c>
      <c r="B115" s="330" t="s">
        <v>43</v>
      </c>
      <c r="D115">
        <v>0</v>
      </c>
      <c r="E115">
        <v>0</v>
      </c>
      <c r="F115">
        <v>0</v>
      </c>
      <c r="G115">
        <v>0</v>
      </c>
      <c r="H115">
        <v>0</v>
      </c>
      <c r="I115">
        <v>0</v>
      </c>
      <c r="J115">
        <v>0</v>
      </c>
      <c r="K115">
        <v>0</v>
      </c>
      <c r="L115">
        <v>0</v>
      </c>
      <c r="M115">
        <v>0</v>
      </c>
      <c r="N115">
        <v>0</v>
      </c>
      <c r="O115">
        <v>0</v>
      </c>
      <c r="P115">
        <v>0</v>
      </c>
      <c r="Q115">
        <v>0</v>
      </c>
      <c r="R115">
        <v>0</v>
      </c>
      <c r="S115">
        <v>0</v>
      </c>
    </row>
    <row r="116" spans="1:19" x14ac:dyDescent="0.3">
      <c r="A116" s="97">
        <v>383</v>
      </c>
      <c r="B116" s="330" t="s">
        <v>117</v>
      </c>
      <c r="D116">
        <v>0</v>
      </c>
      <c r="E116">
        <v>0</v>
      </c>
      <c r="F116">
        <v>0</v>
      </c>
      <c r="G116">
        <v>0</v>
      </c>
      <c r="H116">
        <v>0</v>
      </c>
      <c r="I116">
        <v>0</v>
      </c>
      <c r="J116">
        <v>0</v>
      </c>
      <c r="K116">
        <v>0</v>
      </c>
      <c r="L116">
        <v>0</v>
      </c>
      <c r="M116">
        <v>0</v>
      </c>
      <c r="N116">
        <v>0</v>
      </c>
      <c r="O116">
        <v>0</v>
      </c>
      <c r="P116">
        <v>0</v>
      </c>
      <c r="Q116">
        <v>0</v>
      </c>
      <c r="R116">
        <v>0</v>
      </c>
      <c r="S116">
        <v>0</v>
      </c>
    </row>
    <row r="117" spans="1:19" ht="28.8" x14ac:dyDescent="0.3">
      <c r="A117" s="97">
        <v>384</v>
      </c>
      <c r="B117" s="330" t="s">
        <v>53</v>
      </c>
      <c r="D117">
        <v>0</v>
      </c>
      <c r="E117">
        <v>0</v>
      </c>
      <c r="F117">
        <v>0</v>
      </c>
      <c r="G117">
        <v>0</v>
      </c>
      <c r="H117">
        <v>0</v>
      </c>
      <c r="I117">
        <v>0</v>
      </c>
      <c r="J117">
        <v>0</v>
      </c>
      <c r="K117">
        <v>0</v>
      </c>
      <c r="L117">
        <v>0</v>
      </c>
      <c r="M117">
        <v>0</v>
      </c>
      <c r="N117">
        <v>0</v>
      </c>
      <c r="O117">
        <v>0</v>
      </c>
      <c r="P117">
        <v>0</v>
      </c>
      <c r="Q117">
        <v>0</v>
      </c>
      <c r="R117">
        <v>0</v>
      </c>
      <c r="S117">
        <v>0</v>
      </c>
    </row>
    <row r="118" spans="1:19" ht="28.8" x14ac:dyDescent="0.3">
      <c r="A118" s="97">
        <v>385</v>
      </c>
      <c r="B118" s="330" t="s">
        <v>44</v>
      </c>
      <c r="D118">
        <v>3500330</v>
      </c>
      <c r="E118">
        <v>3168903</v>
      </c>
      <c r="F118">
        <v>6391076</v>
      </c>
      <c r="G118">
        <v>2958929</v>
      </c>
      <c r="H118">
        <v>3759532</v>
      </c>
      <c r="I118">
        <v>4824780</v>
      </c>
      <c r="J118">
        <v>8366447</v>
      </c>
      <c r="K118">
        <v>3349219</v>
      </c>
      <c r="L118">
        <v>2071677</v>
      </c>
      <c r="M118">
        <v>3349917</v>
      </c>
      <c r="N118">
        <v>1815703</v>
      </c>
      <c r="O118">
        <v>15075152</v>
      </c>
      <c r="P118">
        <v>4507020</v>
      </c>
      <c r="Q118">
        <v>6910265</v>
      </c>
      <c r="R118">
        <v>2781546</v>
      </c>
      <c r="S118">
        <v>8331808</v>
      </c>
    </row>
    <row r="119" spans="1:19" x14ac:dyDescent="0.3">
      <c r="A119" s="97">
        <v>386</v>
      </c>
      <c r="B119" s="330" t="s">
        <v>93</v>
      </c>
      <c r="D119">
        <v>0</v>
      </c>
      <c r="E119">
        <v>0</v>
      </c>
      <c r="F119">
        <v>0</v>
      </c>
      <c r="G119">
        <v>0</v>
      </c>
      <c r="H119">
        <v>0</v>
      </c>
      <c r="I119">
        <v>0</v>
      </c>
      <c r="J119">
        <v>0</v>
      </c>
      <c r="K119">
        <v>0</v>
      </c>
      <c r="L119">
        <v>0</v>
      </c>
      <c r="M119">
        <v>0</v>
      </c>
      <c r="N119">
        <v>0</v>
      </c>
      <c r="O119">
        <v>0</v>
      </c>
      <c r="P119">
        <v>0</v>
      </c>
      <c r="Q119">
        <v>0</v>
      </c>
      <c r="R119">
        <v>0</v>
      </c>
      <c r="S119">
        <v>0</v>
      </c>
    </row>
    <row r="120" spans="1:19" x14ac:dyDescent="0.3">
      <c r="A120" s="97">
        <v>387</v>
      </c>
      <c r="B120" s="330" t="s">
        <v>94</v>
      </c>
      <c r="D120">
        <v>0</v>
      </c>
      <c r="E120">
        <v>0</v>
      </c>
      <c r="F120">
        <v>0</v>
      </c>
      <c r="G120">
        <v>0</v>
      </c>
      <c r="H120">
        <v>0</v>
      </c>
      <c r="I120">
        <v>0</v>
      </c>
      <c r="J120">
        <v>0</v>
      </c>
      <c r="K120">
        <v>0</v>
      </c>
      <c r="L120">
        <v>0</v>
      </c>
      <c r="M120">
        <v>0</v>
      </c>
      <c r="N120">
        <v>0</v>
      </c>
      <c r="O120">
        <v>0</v>
      </c>
      <c r="P120">
        <v>0</v>
      </c>
      <c r="Q120">
        <v>0</v>
      </c>
      <c r="R120">
        <v>0</v>
      </c>
      <c r="S120">
        <v>0</v>
      </c>
    </row>
    <row r="121" spans="1:19" x14ac:dyDescent="0.3">
      <c r="A121" s="97">
        <v>388</v>
      </c>
      <c r="B121" s="330" t="s">
        <v>88</v>
      </c>
      <c r="D121">
        <v>6463779</v>
      </c>
      <c r="E121">
        <v>10590266</v>
      </c>
      <c r="F121">
        <v>22094931</v>
      </c>
      <c r="G121">
        <v>12699872</v>
      </c>
      <c r="H121">
        <v>5686563</v>
      </c>
      <c r="I121">
        <v>6454712</v>
      </c>
      <c r="J121">
        <v>11239168</v>
      </c>
      <c r="K121">
        <v>8472609</v>
      </c>
      <c r="L121">
        <v>5695443</v>
      </c>
      <c r="M121">
        <v>8079803</v>
      </c>
      <c r="N121">
        <v>7276368</v>
      </c>
      <c r="O121">
        <v>33694691</v>
      </c>
      <c r="P121">
        <v>6192251</v>
      </c>
      <c r="Q121">
        <v>18966462</v>
      </c>
      <c r="R121">
        <v>10025356</v>
      </c>
      <c r="S121">
        <v>17071109</v>
      </c>
    </row>
    <row r="122" spans="1:19" x14ac:dyDescent="0.3">
      <c r="A122" s="97">
        <v>389</v>
      </c>
      <c r="B122" s="330" t="s">
        <v>95</v>
      </c>
      <c r="D122">
        <v>0</v>
      </c>
      <c r="E122">
        <v>0</v>
      </c>
      <c r="F122">
        <v>0</v>
      </c>
      <c r="G122">
        <v>0</v>
      </c>
      <c r="H122">
        <v>0</v>
      </c>
      <c r="I122">
        <v>0</v>
      </c>
      <c r="J122">
        <v>0</v>
      </c>
      <c r="K122">
        <v>0</v>
      </c>
      <c r="L122">
        <v>0</v>
      </c>
      <c r="M122">
        <v>0</v>
      </c>
      <c r="N122">
        <v>0</v>
      </c>
      <c r="O122">
        <v>0</v>
      </c>
      <c r="P122">
        <v>0</v>
      </c>
      <c r="Q122">
        <v>0</v>
      </c>
      <c r="R122">
        <v>-14498</v>
      </c>
      <c r="S122">
        <v>0</v>
      </c>
    </row>
    <row r="123" spans="1:19" x14ac:dyDescent="0.3">
      <c r="A123" s="97">
        <v>391</v>
      </c>
      <c r="B123" s="330" t="s">
        <v>100</v>
      </c>
      <c r="D123">
        <v>326163</v>
      </c>
      <c r="E123">
        <v>28700</v>
      </c>
      <c r="F123">
        <v>1512412</v>
      </c>
      <c r="G123">
        <v>1372593</v>
      </c>
      <c r="H123">
        <v>360862</v>
      </c>
      <c r="I123">
        <v>518788</v>
      </c>
      <c r="J123">
        <v>2495584</v>
      </c>
      <c r="K123">
        <v>1456161</v>
      </c>
      <c r="L123">
        <v>1478982</v>
      </c>
      <c r="M123">
        <v>387265</v>
      </c>
      <c r="N123">
        <v>369752</v>
      </c>
      <c r="O123">
        <v>86890</v>
      </c>
      <c r="P123">
        <v>851591</v>
      </c>
      <c r="Q123">
        <v>4073447</v>
      </c>
      <c r="R123">
        <v>107597</v>
      </c>
      <c r="S123">
        <v>1497131</v>
      </c>
    </row>
    <row r="124" spans="1:19" x14ac:dyDescent="0.3">
      <c r="A124" s="97">
        <v>500</v>
      </c>
      <c r="B124" s="330" t="s">
        <v>83</v>
      </c>
      <c r="D124">
        <v>310598</v>
      </c>
      <c r="E124">
        <v>0</v>
      </c>
      <c r="F124">
        <v>0</v>
      </c>
      <c r="G124">
        <v>483532</v>
      </c>
      <c r="H124">
        <v>0</v>
      </c>
      <c r="I124">
        <v>0</v>
      </c>
      <c r="J124">
        <v>0</v>
      </c>
      <c r="K124">
        <v>0</v>
      </c>
      <c r="L124">
        <v>0</v>
      </c>
      <c r="M124">
        <v>0</v>
      </c>
      <c r="N124">
        <v>0</v>
      </c>
      <c r="O124">
        <v>0</v>
      </c>
      <c r="P124">
        <v>930556</v>
      </c>
      <c r="Q124">
        <v>0</v>
      </c>
      <c r="R124">
        <v>0</v>
      </c>
      <c r="S124">
        <v>462336</v>
      </c>
    </row>
    <row r="125" spans="1:19" ht="28.8" x14ac:dyDescent="0.3">
      <c r="A125" s="97">
        <v>502</v>
      </c>
      <c r="B125" s="330" t="s">
        <v>85</v>
      </c>
      <c r="D125">
        <v>0</v>
      </c>
      <c r="E125">
        <v>0</v>
      </c>
      <c r="F125">
        <v>0</v>
      </c>
      <c r="G125">
        <v>0</v>
      </c>
      <c r="H125">
        <v>0</v>
      </c>
      <c r="I125">
        <v>0</v>
      </c>
      <c r="J125">
        <v>0</v>
      </c>
      <c r="K125">
        <v>614193</v>
      </c>
      <c r="L125">
        <v>0</v>
      </c>
      <c r="M125">
        <v>453385</v>
      </c>
      <c r="N125">
        <v>0</v>
      </c>
      <c r="O125">
        <v>0</v>
      </c>
      <c r="P125">
        <v>0</v>
      </c>
      <c r="Q125">
        <v>0</v>
      </c>
      <c r="R125">
        <v>0</v>
      </c>
      <c r="S125">
        <v>0</v>
      </c>
    </row>
    <row r="126" spans="1:19" x14ac:dyDescent="0.3">
      <c r="A126" s="97">
        <v>503</v>
      </c>
      <c r="B126" s="330" t="s">
        <v>86</v>
      </c>
      <c r="D126">
        <v>0</v>
      </c>
      <c r="E126">
        <v>0</v>
      </c>
      <c r="F126">
        <v>0</v>
      </c>
      <c r="G126">
        <v>0</v>
      </c>
      <c r="H126">
        <v>0</v>
      </c>
      <c r="I126">
        <v>0</v>
      </c>
      <c r="J126">
        <v>0</v>
      </c>
      <c r="K126">
        <v>954</v>
      </c>
      <c r="L126">
        <v>0</v>
      </c>
      <c r="M126">
        <v>14724</v>
      </c>
      <c r="N126">
        <v>0</v>
      </c>
      <c r="O126">
        <v>0</v>
      </c>
      <c r="P126">
        <v>0</v>
      </c>
      <c r="Q126">
        <v>0</v>
      </c>
      <c r="R126">
        <v>0</v>
      </c>
      <c r="S126">
        <v>0</v>
      </c>
    </row>
    <row r="127" spans="1:19" ht="28.8" x14ac:dyDescent="0.3">
      <c r="A127" s="97">
        <v>504</v>
      </c>
      <c r="B127" s="330" t="s">
        <v>90</v>
      </c>
      <c r="D127">
        <v>5953841</v>
      </c>
      <c r="E127">
        <v>10027199</v>
      </c>
      <c r="F127">
        <v>18351198</v>
      </c>
      <c r="G127">
        <v>12367678</v>
      </c>
      <c r="H127">
        <v>5562055</v>
      </c>
      <c r="I127">
        <v>6248216</v>
      </c>
      <c r="J127">
        <v>10390652</v>
      </c>
      <c r="K127">
        <v>7853921</v>
      </c>
      <c r="L127">
        <v>4810310</v>
      </c>
      <c r="M127">
        <v>7033989</v>
      </c>
      <c r="N127">
        <v>6868435</v>
      </c>
      <c r="O127">
        <v>31438542</v>
      </c>
      <c r="P127">
        <v>6914891</v>
      </c>
      <c r="Q127">
        <v>15988809</v>
      </c>
      <c r="R127">
        <v>9361830</v>
      </c>
      <c r="S127">
        <v>14825792</v>
      </c>
    </row>
    <row r="128" spans="1:19" ht="28.8" x14ac:dyDescent="0.3">
      <c r="A128" s="97">
        <v>505</v>
      </c>
      <c r="B128" s="330" t="s">
        <v>91</v>
      </c>
      <c r="D128">
        <v>0</v>
      </c>
      <c r="E128">
        <v>0</v>
      </c>
      <c r="F128">
        <v>0</v>
      </c>
      <c r="G128">
        <v>0</v>
      </c>
      <c r="H128">
        <v>0</v>
      </c>
      <c r="I128">
        <v>0</v>
      </c>
      <c r="J128">
        <v>0</v>
      </c>
      <c r="K128">
        <v>0</v>
      </c>
      <c r="L128">
        <v>0</v>
      </c>
      <c r="M128">
        <v>0</v>
      </c>
      <c r="N128">
        <v>0</v>
      </c>
      <c r="O128">
        <v>0</v>
      </c>
      <c r="P128">
        <v>0</v>
      </c>
      <c r="Q128">
        <v>0</v>
      </c>
      <c r="R128">
        <v>0</v>
      </c>
      <c r="S128">
        <v>0</v>
      </c>
    </row>
    <row r="129" spans="1:19" ht="28.8" x14ac:dyDescent="0.3">
      <c r="A129" s="97">
        <v>506</v>
      </c>
      <c r="B129" s="330" t="s">
        <v>97</v>
      </c>
      <c r="D129">
        <v>785828</v>
      </c>
      <c r="E129">
        <v>667744</v>
      </c>
      <c r="F129">
        <v>822707</v>
      </c>
      <c r="G129">
        <v>258231</v>
      </c>
      <c r="H129">
        <v>1104148</v>
      </c>
      <c r="I129">
        <v>538429</v>
      </c>
      <c r="J129">
        <v>3247764</v>
      </c>
      <c r="K129">
        <v>478120</v>
      </c>
      <c r="L129">
        <v>272299</v>
      </c>
      <c r="M129">
        <v>0</v>
      </c>
      <c r="N129">
        <v>345327</v>
      </c>
      <c r="O129">
        <v>3251469</v>
      </c>
      <c r="P129">
        <v>234861</v>
      </c>
      <c r="Q129">
        <v>1786624</v>
      </c>
      <c r="R129">
        <v>190272</v>
      </c>
      <c r="S129">
        <v>591675</v>
      </c>
    </row>
    <row r="130" spans="1:19" ht="28.8" x14ac:dyDescent="0.3">
      <c r="A130" s="97">
        <v>507</v>
      </c>
      <c r="B130" s="330" t="s">
        <v>444</v>
      </c>
      <c r="D130">
        <v>0</v>
      </c>
      <c r="E130">
        <v>0</v>
      </c>
      <c r="F130">
        <v>0</v>
      </c>
      <c r="G130">
        <v>0</v>
      </c>
      <c r="H130">
        <v>0</v>
      </c>
      <c r="I130">
        <v>0</v>
      </c>
      <c r="J130">
        <v>0</v>
      </c>
      <c r="K130">
        <v>0</v>
      </c>
      <c r="L130">
        <v>0</v>
      </c>
      <c r="M130">
        <v>0</v>
      </c>
      <c r="N130">
        <v>0</v>
      </c>
      <c r="O130">
        <v>0</v>
      </c>
      <c r="P130">
        <v>0</v>
      </c>
      <c r="Q130">
        <v>0</v>
      </c>
      <c r="R130">
        <v>0</v>
      </c>
      <c r="S130">
        <v>0</v>
      </c>
    </row>
    <row r="131" spans="1:19" x14ac:dyDescent="0.3">
      <c r="A131" s="97">
        <v>508</v>
      </c>
      <c r="B131" s="330" t="s">
        <v>110</v>
      </c>
      <c r="D131">
        <v>0</v>
      </c>
      <c r="E131">
        <v>0</v>
      </c>
      <c r="F131">
        <v>0</v>
      </c>
      <c r="G131">
        <v>0</v>
      </c>
      <c r="H131">
        <v>0</v>
      </c>
      <c r="I131">
        <v>0</v>
      </c>
      <c r="J131">
        <v>0</v>
      </c>
      <c r="K131">
        <v>0</v>
      </c>
      <c r="L131">
        <v>0</v>
      </c>
      <c r="M131">
        <v>0</v>
      </c>
      <c r="N131">
        <v>0</v>
      </c>
      <c r="O131">
        <v>0</v>
      </c>
      <c r="P131">
        <v>0</v>
      </c>
      <c r="Q131">
        <v>0</v>
      </c>
      <c r="R131">
        <v>0</v>
      </c>
      <c r="S131">
        <v>0</v>
      </c>
    </row>
    <row r="132" spans="1:19" x14ac:dyDescent="0.3">
      <c r="A132" s="97">
        <v>509</v>
      </c>
      <c r="B132" s="330" t="s">
        <v>111</v>
      </c>
      <c r="D132">
        <v>0</v>
      </c>
      <c r="E132">
        <v>0</v>
      </c>
      <c r="F132">
        <v>0</v>
      </c>
      <c r="G132">
        <v>0</v>
      </c>
      <c r="H132">
        <v>0</v>
      </c>
      <c r="I132">
        <v>0</v>
      </c>
      <c r="J132">
        <v>0</v>
      </c>
      <c r="K132">
        <v>0</v>
      </c>
      <c r="L132">
        <v>0</v>
      </c>
      <c r="M132">
        <v>0</v>
      </c>
      <c r="N132">
        <v>0</v>
      </c>
      <c r="O132">
        <v>0</v>
      </c>
      <c r="P132">
        <v>0</v>
      </c>
      <c r="Q132">
        <v>0</v>
      </c>
      <c r="R132">
        <v>0</v>
      </c>
      <c r="S132">
        <v>0</v>
      </c>
    </row>
    <row r="133" spans="1:19" ht="28.8" x14ac:dyDescent="0.3">
      <c r="A133" s="97">
        <v>510</v>
      </c>
      <c r="B133" s="330" t="s">
        <v>116</v>
      </c>
      <c r="D133">
        <v>0</v>
      </c>
      <c r="E133">
        <v>0</v>
      </c>
      <c r="F133">
        <v>0</v>
      </c>
      <c r="G133">
        <v>0</v>
      </c>
      <c r="H133">
        <v>0</v>
      </c>
      <c r="I133">
        <v>0</v>
      </c>
      <c r="J133">
        <v>0</v>
      </c>
      <c r="K133">
        <v>0</v>
      </c>
      <c r="L133">
        <v>0</v>
      </c>
      <c r="M133">
        <v>0</v>
      </c>
      <c r="N133">
        <v>0</v>
      </c>
      <c r="O133">
        <v>0</v>
      </c>
      <c r="P133">
        <v>0</v>
      </c>
      <c r="Q133">
        <v>0</v>
      </c>
      <c r="R133">
        <v>0</v>
      </c>
      <c r="S133">
        <v>0</v>
      </c>
    </row>
    <row r="134" spans="1:19" ht="28.8" x14ac:dyDescent="0.3">
      <c r="A134" s="97">
        <v>511</v>
      </c>
      <c r="B134" s="330" t="s">
        <v>121</v>
      </c>
      <c r="D134">
        <v>0</v>
      </c>
      <c r="E134">
        <v>0</v>
      </c>
      <c r="F134">
        <v>0</v>
      </c>
      <c r="G134">
        <v>0</v>
      </c>
      <c r="H134">
        <v>0</v>
      </c>
      <c r="I134">
        <v>0</v>
      </c>
      <c r="J134">
        <v>0</v>
      </c>
      <c r="K134">
        <v>0</v>
      </c>
      <c r="L134">
        <v>0</v>
      </c>
      <c r="M134">
        <v>0</v>
      </c>
      <c r="N134">
        <v>0</v>
      </c>
      <c r="O134">
        <v>0</v>
      </c>
      <c r="P134">
        <v>0</v>
      </c>
      <c r="Q134">
        <v>0</v>
      </c>
      <c r="R134">
        <v>0</v>
      </c>
      <c r="S134">
        <v>0</v>
      </c>
    </row>
    <row r="135" spans="1:19" x14ac:dyDescent="0.3">
      <c r="A135" s="97">
        <v>512</v>
      </c>
      <c r="B135" s="330" t="s">
        <v>147</v>
      </c>
      <c r="D135">
        <v>0</v>
      </c>
      <c r="E135">
        <v>0</v>
      </c>
      <c r="F135">
        <v>0</v>
      </c>
      <c r="G135">
        <v>726978</v>
      </c>
      <c r="H135">
        <v>0</v>
      </c>
      <c r="I135">
        <v>10479</v>
      </c>
      <c r="J135">
        <v>45999</v>
      </c>
      <c r="K135">
        <v>0</v>
      </c>
      <c r="L135">
        <v>0</v>
      </c>
      <c r="M135">
        <v>0</v>
      </c>
      <c r="N135">
        <v>0</v>
      </c>
      <c r="O135">
        <v>0</v>
      </c>
      <c r="P135">
        <v>0</v>
      </c>
      <c r="Q135">
        <v>264356</v>
      </c>
      <c r="R135">
        <v>0</v>
      </c>
      <c r="S135">
        <v>230393</v>
      </c>
    </row>
    <row r="136" spans="1:19" ht="28.8" x14ac:dyDescent="0.3">
      <c r="A136" s="97">
        <v>513</v>
      </c>
      <c r="B136" s="330" t="s">
        <v>153</v>
      </c>
      <c r="D136">
        <v>0</v>
      </c>
      <c r="E136">
        <v>0</v>
      </c>
      <c r="F136">
        <v>0</v>
      </c>
      <c r="G136">
        <v>0</v>
      </c>
      <c r="H136">
        <v>0</v>
      </c>
      <c r="I136">
        <v>0</v>
      </c>
      <c r="J136">
        <v>0</v>
      </c>
      <c r="K136">
        <v>0</v>
      </c>
      <c r="L136">
        <v>0</v>
      </c>
      <c r="M136">
        <v>0</v>
      </c>
      <c r="N136">
        <v>0</v>
      </c>
      <c r="O136">
        <v>0</v>
      </c>
      <c r="P136">
        <v>0</v>
      </c>
      <c r="Q136">
        <v>0</v>
      </c>
      <c r="R136">
        <v>0</v>
      </c>
      <c r="S136">
        <v>0</v>
      </c>
    </row>
    <row r="137" spans="1:19" ht="28.8" x14ac:dyDescent="0.3">
      <c r="A137" s="97">
        <v>514</v>
      </c>
      <c r="B137" s="330" t="s">
        <v>154</v>
      </c>
      <c r="D137">
        <v>0</v>
      </c>
      <c r="E137">
        <v>0</v>
      </c>
      <c r="F137">
        <v>0</v>
      </c>
      <c r="G137">
        <v>0</v>
      </c>
      <c r="H137">
        <v>0</v>
      </c>
      <c r="I137">
        <v>0</v>
      </c>
      <c r="J137">
        <v>0</v>
      </c>
      <c r="K137">
        <v>0</v>
      </c>
      <c r="L137">
        <v>0</v>
      </c>
      <c r="M137">
        <v>0</v>
      </c>
      <c r="N137">
        <v>0</v>
      </c>
      <c r="O137">
        <v>0</v>
      </c>
      <c r="P137">
        <v>0</v>
      </c>
      <c r="Q137">
        <v>0</v>
      </c>
      <c r="R137">
        <v>0</v>
      </c>
      <c r="S137">
        <v>0</v>
      </c>
    </row>
    <row r="138" spans="1:19" x14ac:dyDescent="0.3">
      <c r="A138" s="97">
        <v>515</v>
      </c>
      <c r="B138" s="330" t="s">
        <v>165</v>
      </c>
      <c r="D138">
        <v>0</v>
      </c>
      <c r="E138">
        <v>0</v>
      </c>
      <c r="F138">
        <v>0</v>
      </c>
      <c r="G138">
        <v>0</v>
      </c>
      <c r="H138">
        <v>0</v>
      </c>
      <c r="I138">
        <v>0</v>
      </c>
      <c r="J138">
        <v>0</v>
      </c>
      <c r="K138">
        <v>0</v>
      </c>
      <c r="L138">
        <v>0</v>
      </c>
      <c r="M138">
        <v>0</v>
      </c>
      <c r="N138">
        <v>0</v>
      </c>
      <c r="O138">
        <v>0</v>
      </c>
      <c r="P138">
        <v>0</v>
      </c>
      <c r="Q138">
        <v>0</v>
      </c>
      <c r="R138">
        <v>0</v>
      </c>
      <c r="S138">
        <v>0</v>
      </c>
    </row>
    <row r="139" spans="1:19" ht="28.8" x14ac:dyDescent="0.3">
      <c r="A139" s="97">
        <v>516</v>
      </c>
      <c r="B139" s="330" t="s">
        <v>166</v>
      </c>
      <c r="D139">
        <v>0</v>
      </c>
      <c r="E139">
        <v>0</v>
      </c>
      <c r="F139">
        <v>0</v>
      </c>
      <c r="G139">
        <v>0</v>
      </c>
      <c r="H139">
        <v>0</v>
      </c>
      <c r="I139">
        <v>0</v>
      </c>
      <c r="J139">
        <v>0</v>
      </c>
      <c r="K139">
        <v>0</v>
      </c>
      <c r="L139">
        <v>0</v>
      </c>
      <c r="M139">
        <v>0</v>
      </c>
      <c r="N139">
        <v>0</v>
      </c>
      <c r="O139">
        <v>0</v>
      </c>
      <c r="P139">
        <v>0</v>
      </c>
      <c r="Q139">
        <v>0</v>
      </c>
      <c r="R139">
        <v>0</v>
      </c>
      <c r="S139">
        <v>0</v>
      </c>
    </row>
    <row r="140" spans="1:19" x14ac:dyDescent="0.3">
      <c r="A140" s="97">
        <v>517</v>
      </c>
      <c r="B140" s="330" t="s">
        <v>167</v>
      </c>
      <c r="D140">
        <v>0</v>
      </c>
      <c r="E140">
        <v>0</v>
      </c>
      <c r="F140">
        <v>0</v>
      </c>
      <c r="G140">
        <v>0</v>
      </c>
      <c r="H140">
        <v>0</v>
      </c>
      <c r="I140">
        <v>0</v>
      </c>
      <c r="J140">
        <v>0</v>
      </c>
      <c r="K140">
        <v>0</v>
      </c>
      <c r="L140">
        <v>0</v>
      </c>
      <c r="M140">
        <v>0</v>
      </c>
      <c r="N140">
        <v>0</v>
      </c>
      <c r="O140">
        <v>0</v>
      </c>
      <c r="P140">
        <v>0</v>
      </c>
      <c r="Q140">
        <v>0</v>
      </c>
      <c r="R140">
        <v>0</v>
      </c>
      <c r="S140">
        <v>0</v>
      </c>
    </row>
    <row r="141" spans="1:19" ht="28.8" x14ac:dyDescent="0.3">
      <c r="A141" s="97">
        <v>518</v>
      </c>
      <c r="B141" s="330" t="s">
        <v>168</v>
      </c>
      <c r="D141">
        <v>0</v>
      </c>
      <c r="E141">
        <v>0</v>
      </c>
      <c r="F141">
        <v>0</v>
      </c>
      <c r="G141">
        <v>0</v>
      </c>
      <c r="H141">
        <v>0</v>
      </c>
      <c r="I141">
        <v>0</v>
      </c>
      <c r="J141">
        <v>0</v>
      </c>
      <c r="K141">
        <v>0</v>
      </c>
      <c r="L141">
        <v>0</v>
      </c>
      <c r="M141">
        <v>0</v>
      </c>
      <c r="N141">
        <v>0</v>
      </c>
      <c r="O141">
        <v>0</v>
      </c>
      <c r="P141">
        <v>0</v>
      </c>
      <c r="Q141">
        <v>0</v>
      </c>
      <c r="R141">
        <v>0</v>
      </c>
      <c r="S141">
        <v>0</v>
      </c>
    </row>
    <row r="142" spans="1:19" x14ac:dyDescent="0.3">
      <c r="A142" s="97">
        <v>519</v>
      </c>
      <c r="B142" s="330" t="s">
        <v>169</v>
      </c>
      <c r="D142">
        <v>0</v>
      </c>
      <c r="E142">
        <v>0</v>
      </c>
      <c r="F142">
        <v>0</v>
      </c>
      <c r="G142">
        <v>0</v>
      </c>
      <c r="H142">
        <v>0</v>
      </c>
      <c r="I142">
        <v>0</v>
      </c>
      <c r="J142">
        <v>0</v>
      </c>
      <c r="K142">
        <v>0</v>
      </c>
      <c r="L142">
        <v>0</v>
      </c>
      <c r="M142">
        <v>0</v>
      </c>
      <c r="N142">
        <v>0</v>
      </c>
      <c r="O142">
        <v>0</v>
      </c>
      <c r="P142">
        <v>0</v>
      </c>
      <c r="Q142">
        <v>0</v>
      </c>
      <c r="R142">
        <v>0</v>
      </c>
      <c r="S142">
        <v>0</v>
      </c>
    </row>
    <row r="143" spans="1:19" ht="28.8" x14ac:dyDescent="0.3">
      <c r="A143" s="97">
        <v>520</v>
      </c>
      <c r="B143" s="330" t="s">
        <v>170</v>
      </c>
      <c r="D143">
        <v>0</v>
      </c>
      <c r="E143">
        <v>0</v>
      </c>
      <c r="F143">
        <v>0</v>
      </c>
      <c r="G143">
        <v>0</v>
      </c>
      <c r="H143">
        <v>0</v>
      </c>
      <c r="I143">
        <v>0</v>
      </c>
      <c r="J143">
        <v>0</v>
      </c>
      <c r="K143">
        <v>0</v>
      </c>
      <c r="L143">
        <v>0</v>
      </c>
      <c r="M143">
        <v>0</v>
      </c>
      <c r="N143">
        <v>0</v>
      </c>
      <c r="O143">
        <v>0</v>
      </c>
      <c r="P143">
        <v>0</v>
      </c>
      <c r="Q143">
        <v>0</v>
      </c>
      <c r="R143">
        <v>0</v>
      </c>
      <c r="S143">
        <v>0</v>
      </c>
    </row>
    <row r="144" spans="1:19" x14ac:dyDescent="0.3">
      <c r="A144" s="97">
        <v>521</v>
      </c>
      <c r="B144" s="330" t="s">
        <v>171</v>
      </c>
      <c r="D144">
        <v>0</v>
      </c>
      <c r="E144">
        <v>0</v>
      </c>
      <c r="F144">
        <v>0</v>
      </c>
      <c r="G144">
        <v>0</v>
      </c>
      <c r="H144">
        <v>0</v>
      </c>
      <c r="I144">
        <v>0</v>
      </c>
      <c r="J144">
        <v>0</v>
      </c>
      <c r="K144">
        <v>0</v>
      </c>
      <c r="L144">
        <v>0</v>
      </c>
      <c r="M144">
        <v>0</v>
      </c>
      <c r="N144">
        <v>0</v>
      </c>
      <c r="O144">
        <v>0</v>
      </c>
      <c r="P144">
        <v>0</v>
      </c>
      <c r="Q144">
        <v>0</v>
      </c>
      <c r="R144">
        <v>0</v>
      </c>
      <c r="S144">
        <v>0</v>
      </c>
    </row>
    <row r="145" spans="1:19" ht="28.8" x14ac:dyDescent="0.3">
      <c r="A145" s="97">
        <v>522</v>
      </c>
      <c r="B145" s="330" t="s">
        <v>172</v>
      </c>
      <c r="D145">
        <v>0</v>
      </c>
      <c r="E145">
        <v>0</v>
      </c>
      <c r="F145">
        <v>0</v>
      </c>
      <c r="G145">
        <v>0</v>
      </c>
      <c r="H145">
        <v>0</v>
      </c>
      <c r="I145">
        <v>0</v>
      </c>
      <c r="J145">
        <v>0</v>
      </c>
      <c r="K145">
        <v>0</v>
      </c>
      <c r="L145">
        <v>0</v>
      </c>
      <c r="M145">
        <v>0</v>
      </c>
      <c r="N145">
        <v>0</v>
      </c>
      <c r="O145">
        <v>0</v>
      </c>
      <c r="P145">
        <v>0</v>
      </c>
      <c r="Q145">
        <v>0</v>
      </c>
      <c r="R145">
        <v>0</v>
      </c>
      <c r="S145">
        <v>0</v>
      </c>
    </row>
    <row r="146" spans="1:19" x14ac:dyDescent="0.3">
      <c r="A146" s="97">
        <v>523</v>
      </c>
      <c r="B146" s="330" t="s">
        <v>173</v>
      </c>
      <c r="D146">
        <v>0</v>
      </c>
      <c r="E146">
        <v>0</v>
      </c>
      <c r="F146">
        <v>0</v>
      </c>
      <c r="G146">
        <v>0</v>
      </c>
      <c r="H146">
        <v>0</v>
      </c>
      <c r="I146">
        <v>0</v>
      </c>
      <c r="J146">
        <v>0</v>
      </c>
      <c r="K146">
        <v>0</v>
      </c>
      <c r="L146">
        <v>0</v>
      </c>
      <c r="M146">
        <v>0</v>
      </c>
      <c r="N146">
        <v>0</v>
      </c>
      <c r="O146">
        <v>0</v>
      </c>
      <c r="P146">
        <v>0</v>
      </c>
      <c r="Q146">
        <v>0</v>
      </c>
      <c r="R146">
        <v>0</v>
      </c>
      <c r="S146">
        <v>0</v>
      </c>
    </row>
    <row r="147" spans="1:19" ht="28.8" x14ac:dyDescent="0.3">
      <c r="A147" s="97">
        <v>524</v>
      </c>
      <c r="B147" s="330" t="s">
        <v>174</v>
      </c>
      <c r="D147">
        <v>0</v>
      </c>
      <c r="E147">
        <v>0</v>
      </c>
      <c r="F147">
        <v>0</v>
      </c>
      <c r="G147">
        <v>0</v>
      </c>
      <c r="H147">
        <v>0</v>
      </c>
      <c r="I147">
        <v>0</v>
      </c>
      <c r="J147">
        <v>0</v>
      </c>
      <c r="K147">
        <v>0</v>
      </c>
      <c r="L147">
        <v>0</v>
      </c>
      <c r="M147">
        <v>0</v>
      </c>
      <c r="N147">
        <v>0</v>
      </c>
      <c r="O147">
        <v>0</v>
      </c>
      <c r="P147">
        <v>0</v>
      </c>
      <c r="Q147">
        <v>0</v>
      </c>
      <c r="R147">
        <v>0</v>
      </c>
      <c r="S147">
        <v>0</v>
      </c>
    </row>
    <row r="148" spans="1:19" x14ac:dyDescent="0.3">
      <c r="A148" s="97">
        <v>525</v>
      </c>
      <c r="B148" s="330" t="s">
        <v>175</v>
      </c>
      <c r="D148">
        <v>0</v>
      </c>
      <c r="E148">
        <v>0</v>
      </c>
      <c r="F148">
        <v>0</v>
      </c>
      <c r="G148">
        <v>0</v>
      </c>
      <c r="H148">
        <v>0</v>
      </c>
      <c r="I148">
        <v>0</v>
      </c>
      <c r="J148">
        <v>0</v>
      </c>
      <c r="K148">
        <v>0</v>
      </c>
      <c r="L148">
        <v>0</v>
      </c>
      <c r="M148">
        <v>0</v>
      </c>
      <c r="N148">
        <v>0</v>
      </c>
      <c r="O148">
        <v>0</v>
      </c>
      <c r="P148">
        <v>0</v>
      </c>
      <c r="Q148">
        <v>0</v>
      </c>
      <c r="R148">
        <v>0</v>
      </c>
      <c r="S148">
        <v>0</v>
      </c>
    </row>
    <row r="149" spans="1:19" ht="28.8" x14ac:dyDescent="0.3">
      <c r="A149" s="97">
        <v>526</v>
      </c>
      <c r="B149" s="330" t="s">
        <v>176</v>
      </c>
      <c r="D149">
        <v>0</v>
      </c>
      <c r="E149">
        <v>0</v>
      </c>
      <c r="F149">
        <v>0</v>
      </c>
      <c r="G149">
        <v>0</v>
      </c>
      <c r="H149">
        <v>0</v>
      </c>
      <c r="I149">
        <v>0</v>
      </c>
      <c r="J149">
        <v>0</v>
      </c>
      <c r="K149">
        <v>0</v>
      </c>
      <c r="L149">
        <v>0</v>
      </c>
      <c r="M149">
        <v>0</v>
      </c>
      <c r="N149">
        <v>0</v>
      </c>
      <c r="O149">
        <v>0</v>
      </c>
      <c r="P149">
        <v>0</v>
      </c>
      <c r="Q149">
        <v>0</v>
      </c>
      <c r="R149">
        <v>0</v>
      </c>
      <c r="S149">
        <v>0</v>
      </c>
    </row>
    <row r="150" spans="1:19" ht="28.8" x14ac:dyDescent="0.3">
      <c r="A150" s="97">
        <v>527</v>
      </c>
      <c r="B150" s="330" t="s">
        <v>177</v>
      </c>
      <c r="D150">
        <v>0</v>
      </c>
      <c r="E150">
        <v>0</v>
      </c>
      <c r="F150">
        <v>0</v>
      </c>
      <c r="G150">
        <v>0</v>
      </c>
      <c r="H150">
        <v>0</v>
      </c>
      <c r="I150">
        <v>0</v>
      </c>
      <c r="J150">
        <v>0</v>
      </c>
      <c r="K150">
        <v>0</v>
      </c>
      <c r="L150">
        <v>0</v>
      </c>
      <c r="M150">
        <v>0</v>
      </c>
      <c r="N150">
        <v>0</v>
      </c>
      <c r="O150">
        <v>0</v>
      </c>
      <c r="P150">
        <v>0</v>
      </c>
      <c r="Q150">
        <v>0</v>
      </c>
      <c r="R150">
        <v>0</v>
      </c>
      <c r="S150">
        <v>0</v>
      </c>
    </row>
    <row r="151" spans="1:19" ht="28.8" x14ac:dyDescent="0.3">
      <c r="A151" s="97">
        <v>528</v>
      </c>
      <c r="B151" s="330" t="s">
        <v>160</v>
      </c>
      <c r="D151">
        <v>0</v>
      </c>
      <c r="E151">
        <v>0</v>
      </c>
      <c r="F151">
        <v>0</v>
      </c>
      <c r="G151">
        <v>0</v>
      </c>
      <c r="H151">
        <v>0</v>
      </c>
      <c r="I151">
        <v>0</v>
      </c>
      <c r="J151">
        <v>0</v>
      </c>
      <c r="K151">
        <v>0</v>
      </c>
      <c r="L151">
        <v>0</v>
      </c>
      <c r="M151">
        <v>0</v>
      </c>
      <c r="N151">
        <v>0</v>
      </c>
      <c r="O151">
        <v>0</v>
      </c>
      <c r="P151">
        <v>0</v>
      </c>
      <c r="Q151">
        <v>0</v>
      </c>
      <c r="R151">
        <v>0</v>
      </c>
      <c r="S151">
        <v>0</v>
      </c>
    </row>
    <row r="152" spans="1:19" ht="28.8" x14ac:dyDescent="0.3">
      <c r="A152" s="97">
        <v>529</v>
      </c>
      <c r="B152" s="330" t="s">
        <v>161</v>
      </c>
      <c r="D152">
        <v>0</v>
      </c>
      <c r="E152">
        <v>0</v>
      </c>
      <c r="F152">
        <v>0</v>
      </c>
      <c r="G152">
        <v>0</v>
      </c>
      <c r="H152">
        <v>0</v>
      </c>
      <c r="I152">
        <v>0</v>
      </c>
      <c r="J152">
        <v>0</v>
      </c>
      <c r="K152">
        <v>0</v>
      </c>
      <c r="L152">
        <v>0</v>
      </c>
      <c r="M152">
        <v>0</v>
      </c>
      <c r="N152">
        <v>0</v>
      </c>
      <c r="O152">
        <v>0</v>
      </c>
      <c r="P152">
        <v>0</v>
      </c>
      <c r="Q152">
        <v>0</v>
      </c>
      <c r="R152">
        <v>0</v>
      </c>
      <c r="S152">
        <v>0</v>
      </c>
    </row>
    <row r="153" spans="1:19" ht="28.8" x14ac:dyDescent="0.3">
      <c r="A153" s="97">
        <v>530</v>
      </c>
      <c r="B153" s="330" t="s">
        <v>162</v>
      </c>
      <c r="D153">
        <v>0</v>
      </c>
      <c r="E153">
        <v>0</v>
      </c>
      <c r="F153">
        <v>0</v>
      </c>
      <c r="G153">
        <v>0</v>
      </c>
      <c r="H153">
        <v>0</v>
      </c>
      <c r="I153">
        <v>0</v>
      </c>
      <c r="J153">
        <v>0</v>
      </c>
      <c r="K153">
        <v>0</v>
      </c>
      <c r="L153">
        <v>0</v>
      </c>
      <c r="M153">
        <v>0</v>
      </c>
      <c r="N153">
        <v>0</v>
      </c>
      <c r="O153">
        <v>0</v>
      </c>
      <c r="P153">
        <v>0</v>
      </c>
      <c r="Q153">
        <v>0</v>
      </c>
      <c r="R153">
        <v>0</v>
      </c>
      <c r="S153">
        <v>0</v>
      </c>
    </row>
    <row r="154" spans="1:19" ht="28.8" x14ac:dyDescent="0.3">
      <c r="A154" s="97">
        <v>531</v>
      </c>
      <c r="B154" s="330" t="s">
        <v>163</v>
      </c>
      <c r="D154">
        <v>0</v>
      </c>
      <c r="E154">
        <v>0</v>
      </c>
      <c r="F154">
        <v>0</v>
      </c>
      <c r="G154">
        <v>0</v>
      </c>
      <c r="H154">
        <v>0</v>
      </c>
      <c r="I154">
        <v>0</v>
      </c>
      <c r="J154">
        <v>0</v>
      </c>
      <c r="K154">
        <v>0</v>
      </c>
      <c r="L154">
        <v>0</v>
      </c>
      <c r="M154">
        <v>0</v>
      </c>
      <c r="N154">
        <v>0</v>
      </c>
      <c r="O154">
        <v>0</v>
      </c>
      <c r="P154">
        <v>0</v>
      </c>
      <c r="Q154">
        <v>0</v>
      </c>
      <c r="R154">
        <v>0</v>
      </c>
      <c r="S154">
        <v>0</v>
      </c>
    </row>
    <row r="155" spans="1:19" x14ac:dyDescent="0.3">
      <c r="A155" s="97">
        <v>532</v>
      </c>
      <c r="B155" s="330" t="s">
        <v>445</v>
      </c>
      <c r="D155">
        <v>481293</v>
      </c>
      <c r="E155">
        <v>3852</v>
      </c>
      <c r="F155">
        <v>7665001</v>
      </c>
      <c r="G155">
        <v>12669105</v>
      </c>
      <c r="H155">
        <v>145564</v>
      </c>
      <c r="I155">
        <v>2722565</v>
      </c>
      <c r="J155">
        <v>11075757</v>
      </c>
      <c r="K155">
        <v>8443904</v>
      </c>
      <c r="L155">
        <v>5482655</v>
      </c>
      <c r="M155">
        <v>62997</v>
      </c>
      <c r="N155">
        <v>82540</v>
      </c>
      <c r="O155">
        <v>200338</v>
      </c>
      <c r="P155">
        <v>6128228</v>
      </c>
      <c r="Q155">
        <v>18586610</v>
      </c>
      <c r="R155">
        <v>960</v>
      </c>
      <c r="S155">
        <v>6186579</v>
      </c>
    </row>
    <row r="156" spans="1:19" x14ac:dyDescent="0.3">
      <c r="A156" s="97">
        <v>533</v>
      </c>
      <c r="B156" s="330" t="s">
        <v>446</v>
      </c>
      <c r="D156">
        <v>0</v>
      </c>
      <c r="E156">
        <v>0</v>
      </c>
      <c r="F156">
        <v>0</v>
      </c>
      <c r="G156">
        <v>0</v>
      </c>
      <c r="H156">
        <v>0</v>
      </c>
      <c r="I156">
        <v>0</v>
      </c>
      <c r="J156">
        <v>0</v>
      </c>
      <c r="K156">
        <v>0</v>
      </c>
      <c r="L156">
        <v>0</v>
      </c>
      <c r="M156">
        <v>0</v>
      </c>
      <c r="N156">
        <v>0</v>
      </c>
      <c r="O156">
        <v>0</v>
      </c>
      <c r="P156">
        <v>0</v>
      </c>
      <c r="Q156">
        <v>0</v>
      </c>
      <c r="R156">
        <v>0</v>
      </c>
      <c r="S156">
        <v>0</v>
      </c>
    </row>
    <row r="157" spans="1:19" ht="28.8" x14ac:dyDescent="0.3">
      <c r="A157" s="97">
        <v>534</v>
      </c>
      <c r="B157" s="330" t="s">
        <v>447</v>
      </c>
      <c r="D157">
        <v>0</v>
      </c>
      <c r="E157">
        <v>0</v>
      </c>
      <c r="F157">
        <v>0</v>
      </c>
      <c r="G157">
        <v>0</v>
      </c>
      <c r="H157">
        <v>0</v>
      </c>
      <c r="I157">
        <v>0</v>
      </c>
      <c r="J157">
        <v>0</v>
      </c>
      <c r="K157">
        <v>1455</v>
      </c>
      <c r="L157">
        <v>0</v>
      </c>
      <c r="M157">
        <v>2670</v>
      </c>
      <c r="N157">
        <v>0</v>
      </c>
      <c r="O157">
        <v>0</v>
      </c>
      <c r="P157">
        <v>0</v>
      </c>
      <c r="Q157">
        <v>0</v>
      </c>
      <c r="R157">
        <v>0</v>
      </c>
      <c r="S157">
        <v>0</v>
      </c>
    </row>
    <row r="158" spans="1:19" ht="28.8" x14ac:dyDescent="0.3">
      <c r="A158" s="97">
        <v>535</v>
      </c>
      <c r="B158" s="330" t="s">
        <v>148</v>
      </c>
      <c r="D158">
        <v>0</v>
      </c>
      <c r="E158">
        <v>0</v>
      </c>
      <c r="F158">
        <v>0</v>
      </c>
      <c r="G158">
        <v>0</v>
      </c>
      <c r="H158">
        <v>0</v>
      </c>
      <c r="I158">
        <v>0</v>
      </c>
      <c r="J158">
        <v>0</v>
      </c>
      <c r="K158">
        <v>0</v>
      </c>
      <c r="L158">
        <v>0</v>
      </c>
      <c r="M158">
        <v>0</v>
      </c>
      <c r="N158">
        <v>0</v>
      </c>
      <c r="O158">
        <v>0</v>
      </c>
      <c r="P158">
        <v>0</v>
      </c>
      <c r="Q158">
        <v>0</v>
      </c>
      <c r="R158">
        <v>0</v>
      </c>
      <c r="S158">
        <v>0</v>
      </c>
    </row>
    <row r="159" spans="1:19" ht="28.8" x14ac:dyDescent="0.3">
      <c r="A159" s="97">
        <v>536</v>
      </c>
      <c r="B159" s="330" t="s">
        <v>98</v>
      </c>
      <c r="D159">
        <v>0</v>
      </c>
      <c r="E159">
        <v>0</v>
      </c>
      <c r="F159">
        <v>0</v>
      </c>
      <c r="G159">
        <v>483532</v>
      </c>
      <c r="H159">
        <v>0</v>
      </c>
      <c r="I159">
        <v>0</v>
      </c>
      <c r="J159">
        <v>0</v>
      </c>
      <c r="K159">
        <v>0</v>
      </c>
      <c r="L159">
        <v>0</v>
      </c>
      <c r="M159">
        <v>0</v>
      </c>
      <c r="N159">
        <v>0</v>
      </c>
      <c r="O159">
        <v>0</v>
      </c>
      <c r="P159">
        <v>0</v>
      </c>
      <c r="Q159">
        <v>0</v>
      </c>
      <c r="R159">
        <v>0</v>
      </c>
      <c r="S159">
        <v>203775</v>
      </c>
    </row>
    <row r="160" spans="1:19" ht="28.8" x14ac:dyDescent="0.3">
      <c r="A160" s="97">
        <v>537</v>
      </c>
      <c r="B160" s="330" t="s">
        <v>183</v>
      </c>
      <c r="D160">
        <v>0</v>
      </c>
      <c r="E160">
        <v>0</v>
      </c>
      <c r="F160">
        <v>0</v>
      </c>
      <c r="G160">
        <v>0</v>
      </c>
      <c r="H160">
        <v>0</v>
      </c>
      <c r="I160">
        <v>0</v>
      </c>
      <c r="J160">
        <v>0</v>
      </c>
      <c r="K160">
        <v>0</v>
      </c>
      <c r="L160">
        <v>0</v>
      </c>
      <c r="M160">
        <v>0</v>
      </c>
      <c r="N160">
        <v>0</v>
      </c>
      <c r="O160">
        <v>0</v>
      </c>
      <c r="P160">
        <v>0</v>
      </c>
      <c r="Q160">
        <v>0</v>
      </c>
      <c r="R160">
        <v>0</v>
      </c>
      <c r="S160">
        <v>0</v>
      </c>
    </row>
    <row r="161" spans="1:19" ht="28.8" x14ac:dyDescent="0.3">
      <c r="A161" s="97">
        <v>538</v>
      </c>
      <c r="B161" s="330" t="s">
        <v>182</v>
      </c>
      <c r="D161">
        <v>0</v>
      </c>
      <c r="E161">
        <v>0</v>
      </c>
      <c r="F161">
        <v>0</v>
      </c>
      <c r="G161">
        <v>0</v>
      </c>
      <c r="H161">
        <v>0</v>
      </c>
      <c r="I161">
        <v>0</v>
      </c>
      <c r="J161">
        <v>0</v>
      </c>
      <c r="K161">
        <v>0</v>
      </c>
      <c r="L161">
        <v>0</v>
      </c>
      <c r="M161">
        <v>0</v>
      </c>
      <c r="N161">
        <v>0</v>
      </c>
      <c r="O161">
        <v>0</v>
      </c>
      <c r="P161">
        <v>0</v>
      </c>
      <c r="Q161">
        <v>0</v>
      </c>
      <c r="R161">
        <v>0</v>
      </c>
      <c r="S161">
        <v>0</v>
      </c>
    </row>
    <row r="162" spans="1:19" ht="28.8" x14ac:dyDescent="0.3">
      <c r="A162" s="97">
        <v>540</v>
      </c>
      <c r="B162" s="330" t="s">
        <v>156</v>
      </c>
      <c r="D162">
        <v>0</v>
      </c>
      <c r="E162">
        <v>0</v>
      </c>
      <c r="F162">
        <v>0</v>
      </c>
      <c r="G162">
        <v>0</v>
      </c>
      <c r="H162">
        <v>0</v>
      </c>
      <c r="I162">
        <v>0</v>
      </c>
      <c r="J162">
        <v>0</v>
      </c>
      <c r="K162">
        <v>0</v>
      </c>
      <c r="L162">
        <v>0</v>
      </c>
      <c r="M162">
        <v>0</v>
      </c>
      <c r="N162">
        <v>0</v>
      </c>
      <c r="O162">
        <v>0</v>
      </c>
      <c r="P162">
        <v>0</v>
      </c>
      <c r="Q162">
        <v>0</v>
      </c>
      <c r="R162">
        <v>0</v>
      </c>
      <c r="S162">
        <v>0</v>
      </c>
    </row>
    <row r="163" spans="1:19" ht="43.2" x14ac:dyDescent="0.3">
      <c r="A163" s="97">
        <v>541</v>
      </c>
      <c r="B163" s="330" t="s">
        <v>203</v>
      </c>
      <c r="D163">
        <v>0</v>
      </c>
      <c r="E163">
        <v>0</v>
      </c>
      <c r="F163">
        <v>0</v>
      </c>
      <c r="G163">
        <v>0</v>
      </c>
      <c r="H163">
        <v>0</v>
      </c>
      <c r="I163">
        <v>0</v>
      </c>
      <c r="J163">
        <v>0</v>
      </c>
      <c r="K163">
        <v>0</v>
      </c>
      <c r="L163">
        <v>0</v>
      </c>
      <c r="M163">
        <v>0</v>
      </c>
      <c r="N163">
        <v>0</v>
      </c>
      <c r="O163">
        <v>0</v>
      </c>
      <c r="P163">
        <v>0</v>
      </c>
      <c r="Q163">
        <v>0</v>
      </c>
      <c r="R163">
        <v>0</v>
      </c>
      <c r="S163">
        <v>0</v>
      </c>
    </row>
    <row r="164" spans="1:19" ht="43.2" x14ac:dyDescent="0.3">
      <c r="A164" s="97">
        <v>542</v>
      </c>
      <c r="B164" s="330" t="s">
        <v>448</v>
      </c>
      <c r="D164">
        <v>0</v>
      </c>
      <c r="E164">
        <v>0</v>
      </c>
      <c r="F164">
        <v>0</v>
      </c>
      <c r="G164">
        <v>0</v>
      </c>
      <c r="H164">
        <v>0</v>
      </c>
      <c r="I164">
        <v>0</v>
      </c>
      <c r="J164">
        <v>0</v>
      </c>
      <c r="K164">
        <v>0</v>
      </c>
      <c r="L164">
        <v>0</v>
      </c>
      <c r="M164">
        <v>0</v>
      </c>
      <c r="N164">
        <v>0</v>
      </c>
      <c r="O164">
        <v>0</v>
      </c>
      <c r="P164">
        <v>0</v>
      </c>
      <c r="Q164">
        <v>0</v>
      </c>
      <c r="R164">
        <v>0</v>
      </c>
      <c r="S164">
        <v>0</v>
      </c>
    </row>
    <row r="165" spans="1:19" ht="28.8" x14ac:dyDescent="0.3">
      <c r="A165" s="97">
        <v>544</v>
      </c>
      <c r="B165" s="330" t="s">
        <v>19</v>
      </c>
      <c r="D165">
        <v>0</v>
      </c>
      <c r="E165">
        <v>0</v>
      </c>
      <c r="F165">
        <v>0</v>
      </c>
      <c r="G165">
        <v>0</v>
      </c>
      <c r="H165">
        <v>0</v>
      </c>
      <c r="I165">
        <v>0</v>
      </c>
      <c r="J165">
        <v>0</v>
      </c>
      <c r="K165">
        <v>0</v>
      </c>
      <c r="L165">
        <v>0</v>
      </c>
      <c r="M165">
        <v>0</v>
      </c>
      <c r="N165">
        <v>0</v>
      </c>
      <c r="O165">
        <v>0</v>
      </c>
      <c r="P165">
        <v>0</v>
      </c>
      <c r="Q165">
        <v>0</v>
      </c>
      <c r="R165">
        <v>0</v>
      </c>
      <c r="S165">
        <v>0</v>
      </c>
    </row>
    <row r="166" spans="1:19" ht="28.8" x14ac:dyDescent="0.3">
      <c r="A166" s="97">
        <v>545</v>
      </c>
      <c r="B166" s="330" t="s">
        <v>20</v>
      </c>
      <c r="D166">
        <v>0</v>
      </c>
      <c r="E166">
        <v>0</v>
      </c>
      <c r="F166">
        <v>0</v>
      </c>
      <c r="G166">
        <v>0</v>
      </c>
      <c r="H166">
        <v>0</v>
      </c>
      <c r="I166">
        <v>0</v>
      </c>
      <c r="J166">
        <v>0</v>
      </c>
      <c r="K166">
        <v>0</v>
      </c>
      <c r="L166">
        <v>0</v>
      </c>
      <c r="M166">
        <v>0</v>
      </c>
      <c r="N166">
        <v>0</v>
      </c>
      <c r="O166">
        <v>0</v>
      </c>
      <c r="P166">
        <v>0</v>
      </c>
      <c r="Q166">
        <v>0</v>
      </c>
      <c r="R166">
        <v>0</v>
      </c>
      <c r="S166">
        <v>0</v>
      </c>
    </row>
    <row r="167" spans="1:19" x14ac:dyDescent="0.3">
      <c r="A167" s="97">
        <v>546</v>
      </c>
      <c r="B167" s="330" t="s">
        <v>449</v>
      </c>
      <c r="D167">
        <v>0</v>
      </c>
      <c r="E167">
        <v>0</v>
      </c>
      <c r="F167">
        <v>0</v>
      </c>
      <c r="G167">
        <v>0</v>
      </c>
      <c r="H167">
        <v>0</v>
      </c>
      <c r="I167">
        <v>0</v>
      </c>
      <c r="J167">
        <v>0</v>
      </c>
      <c r="K167">
        <v>0</v>
      </c>
      <c r="L167">
        <v>0</v>
      </c>
      <c r="M167">
        <v>0</v>
      </c>
      <c r="N167">
        <v>0</v>
      </c>
      <c r="O167">
        <v>0</v>
      </c>
      <c r="P167">
        <v>0</v>
      </c>
      <c r="Q167">
        <v>0</v>
      </c>
      <c r="R167">
        <v>0</v>
      </c>
      <c r="S167">
        <v>0</v>
      </c>
    </row>
    <row r="168" spans="1:19" ht="72" x14ac:dyDescent="0.3">
      <c r="A168" s="97">
        <v>547</v>
      </c>
      <c r="B168" s="330" t="s">
        <v>450</v>
      </c>
      <c r="D168">
        <v>1</v>
      </c>
      <c r="E168">
        <v>2</v>
      </c>
      <c r="F168">
        <v>3</v>
      </c>
      <c r="G168">
        <v>3</v>
      </c>
      <c r="H168">
        <v>3</v>
      </c>
      <c r="I168">
        <v>1</v>
      </c>
      <c r="J168">
        <v>4</v>
      </c>
      <c r="K168">
        <v>2</v>
      </c>
      <c r="L168">
        <v>1</v>
      </c>
      <c r="M168">
        <v>3</v>
      </c>
      <c r="N168">
        <v>2</v>
      </c>
      <c r="O168">
        <v>2</v>
      </c>
      <c r="P168">
        <v>2</v>
      </c>
      <c r="Q168">
        <v>3</v>
      </c>
      <c r="R168">
        <v>2</v>
      </c>
      <c r="S168">
        <v>3</v>
      </c>
    </row>
    <row r="169" spans="1:19" ht="43.2" x14ac:dyDescent="0.3">
      <c r="A169" s="97">
        <v>554</v>
      </c>
      <c r="B169" s="330" t="s">
        <v>208</v>
      </c>
      <c r="D169">
        <v>4296287</v>
      </c>
      <c r="E169">
        <v>7628435</v>
      </c>
      <c r="F169">
        <v>16310213</v>
      </c>
      <c r="G169">
        <v>10997808</v>
      </c>
      <c r="H169">
        <v>4050617</v>
      </c>
      <c r="I169">
        <v>5612847</v>
      </c>
      <c r="J169">
        <v>7025365</v>
      </c>
      <c r="K169">
        <v>5899977</v>
      </c>
      <c r="L169">
        <v>3099865</v>
      </c>
      <c r="M169">
        <v>5847624</v>
      </c>
      <c r="N169">
        <v>4446753</v>
      </c>
      <c r="O169">
        <v>27073378</v>
      </c>
      <c r="P169">
        <v>6740021</v>
      </c>
      <c r="Q169">
        <v>11315501</v>
      </c>
      <c r="R169">
        <v>8071341</v>
      </c>
      <c r="S169">
        <v>12577690</v>
      </c>
    </row>
    <row r="170" spans="1:19" ht="43.2" x14ac:dyDescent="0.3">
      <c r="A170" s="97">
        <v>555</v>
      </c>
      <c r="B170" s="330" t="s">
        <v>209</v>
      </c>
      <c r="D170">
        <v>1554392</v>
      </c>
      <c r="E170">
        <v>3321863</v>
      </c>
      <c r="F170">
        <v>9538262</v>
      </c>
      <c r="G170">
        <v>9770424</v>
      </c>
      <c r="H170">
        <v>1813319</v>
      </c>
      <c r="I170">
        <v>1750773</v>
      </c>
      <c r="J170">
        <v>4112295</v>
      </c>
      <c r="K170">
        <v>5106277</v>
      </c>
      <c r="L170">
        <v>1750773</v>
      </c>
      <c r="M170">
        <v>5270116</v>
      </c>
      <c r="N170">
        <v>3697073</v>
      </c>
      <c r="O170">
        <v>11250656</v>
      </c>
      <c r="P170">
        <v>4305460</v>
      </c>
      <c r="Q170">
        <v>7628743</v>
      </c>
      <c r="R170">
        <v>2872574</v>
      </c>
      <c r="S170">
        <v>11065532</v>
      </c>
    </row>
    <row r="171" spans="1:19" ht="43.2" x14ac:dyDescent="0.3">
      <c r="A171" s="97">
        <v>556</v>
      </c>
      <c r="B171" s="330" t="s">
        <v>210</v>
      </c>
      <c r="D171">
        <v>905669</v>
      </c>
      <c r="E171">
        <v>2398763</v>
      </c>
      <c r="F171">
        <v>5012052</v>
      </c>
      <c r="G171">
        <v>935908</v>
      </c>
      <c r="H171">
        <v>1096849</v>
      </c>
      <c r="I171">
        <v>1750077</v>
      </c>
      <c r="J171">
        <v>2042005</v>
      </c>
      <c r="K171">
        <v>1844623</v>
      </c>
      <c r="L171">
        <v>1650863</v>
      </c>
      <c r="M171">
        <v>1534394</v>
      </c>
      <c r="N171">
        <v>2481664</v>
      </c>
      <c r="O171">
        <v>6337869</v>
      </c>
      <c r="P171">
        <v>1713984</v>
      </c>
      <c r="Q171">
        <v>3963406</v>
      </c>
      <c r="R171">
        <v>1815117</v>
      </c>
      <c r="S171">
        <v>2002520</v>
      </c>
    </row>
    <row r="172" spans="1:19" ht="43.2" x14ac:dyDescent="0.3">
      <c r="A172" s="97">
        <v>557</v>
      </c>
      <c r="B172" s="330" t="s">
        <v>211</v>
      </c>
      <c r="D172">
        <v>781777</v>
      </c>
      <c r="E172">
        <v>2103820</v>
      </c>
      <c r="F172">
        <v>4643246</v>
      </c>
      <c r="G172">
        <v>774441</v>
      </c>
      <c r="H172">
        <v>989809</v>
      </c>
      <c r="I172">
        <v>1176209</v>
      </c>
      <c r="J172">
        <v>1803626</v>
      </c>
      <c r="K172">
        <v>1209577</v>
      </c>
      <c r="L172">
        <v>1468571</v>
      </c>
      <c r="M172">
        <v>875013</v>
      </c>
      <c r="N172">
        <v>2397133</v>
      </c>
      <c r="O172">
        <v>5688132</v>
      </c>
      <c r="P172">
        <v>1117837</v>
      </c>
      <c r="Q172">
        <v>3727553</v>
      </c>
      <c r="R172">
        <v>1697787</v>
      </c>
      <c r="S172">
        <v>1153529</v>
      </c>
    </row>
    <row r="173" spans="1:19" ht="28.8" x14ac:dyDescent="0.3">
      <c r="A173" s="97">
        <v>558</v>
      </c>
      <c r="B173" s="330" t="s">
        <v>451</v>
      </c>
      <c r="D173">
        <v>0</v>
      </c>
      <c r="E173">
        <v>0</v>
      </c>
      <c r="F173">
        <v>0</v>
      </c>
      <c r="G173">
        <v>0</v>
      </c>
      <c r="H173">
        <v>0</v>
      </c>
      <c r="I173">
        <v>0</v>
      </c>
      <c r="J173">
        <v>0</v>
      </c>
      <c r="K173">
        <v>0</v>
      </c>
      <c r="L173">
        <v>0</v>
      </c>
      <c r="M173">
        <v>0</v>
      </c>
      <c r="N173">
        <v>0</v>
      </c>
      <c r="O173">
        <v>0</v>
      </c>
      <c r="P173">
        <v>0</v>
      </c>
      <c r="Q173">
        <v>0</v>
      </c>
      <c r="R173">
        <v>0</v>
      </c>
      <c r="S173">
        <v>0</v>
      </c>
    </row>
    <row r="174" spans="1:19" ht="28.8" x14ac:dyDescent="0.3">
      <c r="A174" s="97">
        <v>559</v>
      </c>
      <c r="B174" s="330" t="s">
        <v>452</v>
      </c>
      <c r="D174">
        <v>0</v>
      </c>
      <c r="E174">
        <v>0</v>
      </c>
      <c r="F174">
        <v>0</v>
      </c>
      <c r="G174">
        <v>0</v>
      </c>
      <c r="H174">
        <v>0</v>
      </c>
      <c r="I174">
        <v>0</v>
      </c>
      <c r="J174">
        <v>0</v>
      </c>
      <c r="K174">
        <v>0</v>
      </c>
      <c r="L174">
        <v>0</v>
      </c>
      <c r="M174">
        <v>0</v>
      </c>
      <c r="N174">
        <v>0</v>
      </c>
      <c r="O174">
        <v>0</v>
      </c>
      <c r="P174">
        <v>0</v>
      </c>
      <c r="Q174">
        <v>0</v>
      </c>
      <c r="R174">
        <v>0</v>
      </c>
      <c r="S174">
        <v>0</v>
      </c>
    </row>
    <row r="175" spans="1:19" ht="28.8" x14ac:dyDescent="0.3">
      <c r="A175" s="97">
        <v>560</v>
      </c>
      <c r="B175" s="330" t="s">
        <v>453</v>
      </c>
      <c r="D175">
        <v>0</v>
      </c>
      <c r="E175">
        <v>0</v>
      </c>
      <c r="F175">
        <v>0</v>
      </c>
      <c r="G175">
        <v>0</v>
      </c>
      <c r="H175">
        <v>0</v>
      </c>
      <c r="I175">
        <v>0</v>
      </c>
      <c r="J175">
        <v>0</v>
      </c>
      <c r="K175">
        <v>0</v>
      </c>
      <c r="L175">
        <v>0</v>
      </c>
      <c r="M175">
        <v>0</v>
      </c>
      <c r="N175">
        <v>0</v>
      </c>
      <c r="O175">
        <v>0</v>
      </c>
      <c r="P175">
        <v>0</v>
      </c>
      <c r="Q175">
        <v>0</v>
      </c>
      <c r="R175">
        <v>0</v>
      </c>
      <c r="S175">
        <v>0</v>
      </c>
    </row>
    <row r="176" spans="1:19" ht="43.2" x14ac:dyDescent="0.3">
      <c r="A176" s="97">
        <v>561</v>
      </c>
      <c r="B176" s="330" t="s">
        <v>454</v>
      </c>
      <c r="D176">
        <v>0</v>
      </c>
      <c r="E176">
        <v>0</v>
      </c>
      <c r="F176">
        <v>0</v>
      </c>
      <c r="G176">
        <v>0</v>
      </c>
      <c r="H176">
        <v>0</v>
      </c>
      <c r="I176">
        <v>0</v>
      </c>
      <c r="J176">
        <v>0</v>
      </c>
      <c r="K176">
        <v>0</v>
      </c>
      <c r="L176">
        <v>0</v>
      </c>
      <c r="M176">
        <v>0</v>
      </c>
      <c r="N176">
        <v>0</v>
      </c>
      <c r="O176">
        <v>0</v>
      </c>
      <c r="P176">
        <v>0</v>
      </c>
      <c r="Q176">
        <v>0</v>
      </c>
      <c r="R176">
        <v>0</v>
      </c>
      <c r="S176">
        <v>0</v>
      </c>
    </row>
    <row r="177" spans="1:19" ht="28.8" x14ac:dyDescent="0.3">
      <c r="A177" s="97">
        <v>562</v>
      </c>
      <c r="B177" s="330" t="s">
        <v>455</v>
      </c>
      <c r="D177">
        <v>0</v>
      </c>
      <c r="E177">
        <v>0</v>
      </c>
      <c r="F177">
        <v>0</v>
      </c>
      <c r="G177">
        <v>0</v>
      </c>
      <c r="H177">
        <v>0</v>
      </c>
      <c r="I177">
        <v>0</v>
      </c>
      <c r="J177">
        <v>0</v>
      </c>
      <c r="K177">
        <v>0</v>
      </c>
      <c r="L177">
        <v>0</v>
      </c>
      <c r="M177">
        <v>0</v>
      </c>
      <c r="N177">
        <v>0</v>
      </c>
      <c r="O177">
        <v>0</v>
      </c>
      <c r="P177">
        <v>0</v>
      </c>
      <c r="Q177">
        <v>0</v>
      </c>
      <c r="R177">
        <v>0</v>
      </c>
      <c r="S177">
        <v>0</v>
      </c>
    </row>
    <row r="178" spans="1:19" ht="28.8" x14ac:dyDescent="0.3">
      <c r="A178" s="97">
        <v>563</v>
      </c>
      <c r="B178" s="330" t="s">
        <v>456</v>
      </c>
      <c r="D178">
        <v>0</v>
      </c>
      <c r="E178">
        <v>0</v>
      </c>
      <c r="F178">
        <v>0</v>
      </c>
      <c r="G178">
        <v>0</v>
      </c>
      <c r="H178">
        <v>0</v>
      </c>
      <c r="I178">
        <v>0</v>
      </c>
      <c r="J178">
        <v>0</v>
      </c>
      <c r="K178">
        <v>0</v>
      </c>
      <c r="L178">
        <v>0</v>
      </c>
      <c r="M178">
        <v>0</v>
      </c>
      <c r="N178">
        <v>0</v>
      </c>
      <c r="O178">
        <v>0</v>
      </c>
      <c r="P178">
        <v>0</v>
      </c>
      <c r="Q178">
        <v>0</v>
      </c>
      <c r="R178">
        <v>0</v>
      </c>
      <c r="S178">
        <v>0</v>
      </c>
    </row>
    <row r="179" spans="1:19" ht="28.8" x14ac:dyDescent="0.3">
      <c r="A179" s="97">
        <v>564</v>
      </c>
      <c r="B179" s="330" t="s">
        <v>457</v>
      </c>
      <c r="D179">
        <v>0</v>
      </c>
      <c r="E179">
        <v>0</v>
      </c>
      <c r="F179">
        <v>0</v>
      </c>
      <c r="G179">
        <v>0</v>
      </c>
      <c r="H179">
        <v>0</v>
      </c>
      <c r="I179">
        <v>0</v>
      </c>
      <c r="J179">
        <v>0</v>
      </c>
      <c r="K179">
        <v>0</v>
      </c>
      <c r="L179">
        <v>0</v>
      </c>
      <c r="M179">
        <v>0</v>
      </c>
      <c r="N179">
        <v>0</v>
      </c>
      <c r="O179">
        <v>0</v>
      </c>
      <c r="P179">
        <v>0</v>
      </c>
      <c r="Q179">
        <v>0</v>
      </c>
      <c r="R179">
        <v>0</v>
      </c>
      <c r="S179">
        <v>0</v>
      </c>
    </row>
    <row r="180" spans="1:19" ht="28.8" x14ac:dyDescent="0.3">
      <c r="A180" s="97">
        <v>565</v>
      </c>
      <c r="B180" s="330" t="s">
        <v>458</v>
      </c>
      <c r="D180">
        <v>0</v>
      </c>
      <c r="E180">
        <v>0</v>
      </c>
      <c r="F180">
        <v>0</v>
      </c>
      <c r="G180">
        <v>0</v>
      </c>
      <c r="H180">
        <v>0</v>
      </c>
      <c r="I180">
        <v>0</v>
      </c>
      <c r="J180">
        <v>0</v>
      </c>
      <c r="K180">
        <v>0</v>
      </c>
      <c r="L180">
        <v>0</v>
      </c>
      <c r="M180">
        <v>0</v>
      </c>
      <c r="N180">
        <v>0</v>
      </c>
      <c r="O180">
        <v>0</v>
      </c>
      <c r="P180">
        <v>0</v>
      </c>
      <c r="Q180">
        <v>0</v>
      </c>
      <c r="R180">
        <v>0</v>
      </c>
      <c r="S180">
        <v>0</v>
      </c>
    </row>
    <row r="181" spans="1:19" ht="28.8" x14ac:dyDescent="0.3">
      <c r="A181" s="97">
        <v>566</v>
      </c>
      <c r="B181" s="330" t="s">
        <v>459</v>
      </c>
      <c r="D181">
        <v>0</v>
      </c>
      <c r="E181">
        <v>0</v>
      </c>
      <c r="F181">
        <v>0</v>
      </c>
      <c r="G181">
        <v>0</v>
      </c>
      <c r="H181">
        <v>0</v>
      </c>
      <c r="I181">
        <v>0</v>
      </c>
      <c r="J181">
        <v>0</v>
      </c>
      <c r="K181">
        <v>0</v>
      </c>
      <c r="L181">
        <v>0</v>
      </c>
      <c r="M181">
        <v>0</v>
      </c>
      <c r="N181">
        <v>0</v>
      </c>
      <c r="O181">
        <v>0</v>
      </c>
      <c r="P181">
        <v>0</v>
      </c>
      <c r="Q181">
        <v>0</v>
      </c>
      <c r="R181">
        <v>0</v>
      </c>
      <c r="S181">
        <v>0</v>
      </c>
    </row>
    <row r="182" spans="1:19" ht="28.8" x14ac:dyDescent="0.3">
      <c r="A182" s="97">
        <v>567</v>
      </c>
      <c r="B182" s="330" t="s">
        <v>460</v>
      </c>
      <c r="D182">
        <v>0</v>
      </c>
      <c r="E182">
        <v>0</v>
      </c>
      <c r="F182">
        <v>0</v>
      </c>
      <c r="G182">
        <v>0</v>
      </c>
      <c r="H182">
        <v>0</v>
      </c>
      <c r="I182">
        <v>0</v>
      </c>
      <c r="J182">
        <v>0</v>
      </c>
      <c r="K182">
        <v>0</v>
      </c>
      <c r="L182">
        <v>0</v>
      </c>
      <c r="M182">
        <v>0</v>
      </c>
      <c r="N182">
        <v>0</v>
      </c>
      <c r="O182">
        <v>0</v>
      </c>
      <c r="P182">
        <v>0</v>
      </c>
      <c r="Q182">
        <v>0</v>
      </c>
      <c r="R182">
        <v>0</v>
      </c>
      <c r="S182">
        <v>0</v>
      </c>
    </row>
    <row r="183" spans="1:19" x14ac:dyDescent="0.3">
      <c r="A183" s="97">
        <v>568</v>
      </c>
      <c r="B183" s="330" t="s">
        <v>461</v>
      </c>
      <c r="D183">
        <v>0</v>
      </c>
      <c r="E183">
        <v>0</v>
      </c>
      <c r="F183">
        <v>0</v>
      </c>
      <c r="G183">
        <v>0</v>
      </c>
      <c r="H183">
        <v>0</v>
      </c>
      <c r="I183">
        <v>0</v>
      </c>
      <c r="J183">
        <v>0</v>
      </c>
      <c r="K183">
        <v>0</v>
      </c>
      <c r="L183">
        <v>0</v>
      </c>
      <c r="M183">
        <v>0</v>
      </c>
      <c r="N183">
        <v>0</v>
      </c>
      <c r="O183">
        <v>0</v>
      </c>
      <c r="P183">
        <v>0</v>
      </c>
      <c r="Q183">
        <v>0</v>
      </c>
      <c r="R183">
        <v>0</v>
      </c>
      <c r="S183">
        <v>0</v>
      </c>
    </row>
    <row r="184" spans="1:19" ht="28.8" x14ac:dyDescent="0.3">
      <c r="A184" s="97">
        <v>569</v>
      </c>
      <c r="B184" s="330" t="s">
        <v>462</v>
      </c>
      <c r="D184">
        <v>0</v>
      </c>
      <c r="E184">
        <v>0</v>
      </c>
      <c r="F184">
        <v>0</v>
      </c>
      <c r="G184">
        <v>0</v>
      </c>
      <c r="H184">
        <v>0</v>
      </c>
      <c r="I184">
        <v>0</v>
      </c>
      <c r="J184">
        <v>0</v>
      </c>
      <c r="K184">
        <v>0</v>
      </c>
      <c r="L184">
        <v>0</v>
      </c>
      <c r="M184">
        <v>0</v>
      </c>
      <c r="N184">
        <v>0</v>
      </c>
      <c r="O184">
        <v>0</v>
      </c>
      <c r="P184">
        <v>0</v>
      </c>
      <c r="Q184">
        <v>0</v>
      </c>
      <c r="R184">
        <v>0</v>
      </c>
      <c r="S184">
        <v>0</v>
      </c>
    </row>
    <row r="185" spans="1:19" ht="28.8" x14ac:dyDescent="0.3">
      <c r="A185" s="97">
        <v>571</v>
      </c>
      <c r="B185" s="330" t="s">
        <v>343</v>
      </c>
      <c r="D185">
        <v>0</v>
      </c>
      <c r="E185">
        <v>0</v>
      </c>
      <c r="F185">
        <v>0</v>
      </c>
      <c r="G185">
        <v>0</v>
      </c>
      <c r="H185">
        <v>0</v>
      </c>
      <c r="I185">
        <v>0</v>
      </c>
      <c r="J185">
        <v>0</v>
      </c>
      <c r="K185">
        <v>0</v>
      </c>
      <c r="L185">
        <v>0</v>
      </c>
      <c r="M185">
        <v>0</v>
      </c>
      <c r="N185">
        <v>0</v>
      </c>
      <c r="O185">
        <v>0</v>
      </c>
      <c r="P185">
        <v>0</v>
      </c>
      <c r="Q185">
        <v>0</v>
      </c>
      <c r="R185">
        <v>0</v>
      </c>
      <c r="S185">
        <v>0</v>
      </c>
    </row>
    <row r="186" spans="1:19" ht="28.8" x14ac:dyDescent="0.3">
      <c r="A186" s="97">
        <v>572</v>
      </c>
      <c r="B186" s="330" t="s">
        <v>344</v>
      </c>
      <c r="D186">
        <v>0</v>
      </c>
      <c r="E186">
        <v>0</v>
      </c>
      <c r="F186">
        <v>0</v>
      </c>
      <c r="G186">
        <v>0</v>
      </c>
      <c r="H186">
        <v>0</v>
      </c>
      <c r="I186">
        <v>0</v>
      </c>
      <c r="J186">
        <v>0</v>
      </c>
      <c r="K186">
        <v>0</v>
      </c>
      <c r="L186">
        <v>0</v>
      </c>
      <c r="M186">
        <v>0</v>
      </c>
      <c r="N186">
        <v>0</v>
      </c>
      <c r="O186">
        <v>0</v>
      </c>
      <c r="P186">
        <v>0</v>
      </c>
      <c r="Q186">
        <v>0</v>
      </c>
      <c r="R186">
        <v>0</v>
      </c>
      <c r="S186">
        <v>0</v>
      </c>
    </row>
    <row r="187" spans="1:19" ht="28.8" x14ac:dyDescent="0.3">
      <c r="A187" s="97">
        <v>573</v>
      </c>
      <c r="B187" s="330" t="s">
        <v>383</v>
      </c>
      <c r="D187">
        <v>0</v>
      </c>
      <c r="E187">
        <v>0</v>
      </c>
      <c r="F187">
        <v>0</v>
      </c>
      <c r="G187">
        <v>0</v>
      </c>
      <c r="H187">
        <v>0</v>
      </c>
      <c r="I187">
        <v>0</v>
      </c>
      <c r="J187">
        <v>0</v>
      </c>
      <c r="K187">
        <v>0</v>
      </c>
      <c r="L187">
        <v>0</v>
      </c>
      <c r="M187">
        <v>0</v>
      </c>
      <c r="N187">
        <v>0</v>
      </c>
      <c r="O187">
        <v>0</v>
      </c>
      <c r="P187">
        <v>0</v>
      </c>
      <c r="Q187">
        <v>0</v>
      </c>
      <c r="R187">
        <v>0</v>
      </c>
      <c r="S187">
        <v>0</v>
      </c>
    </row>
    <row r="188" spans="1:19" x14ac:dyDescent="0.3">
      <c r="A188" s="97">
        <v>575</v>
      </c>
      <c r="B188" s="330" t="s">
        <v>196</v>
      </c>
      <c r="D188">
        <v>0</v>
      </c>
      <c r="E188">
        <v>0</v>
      </c>
      <c r="F188">
        <v>0</v>
      </c>
      <c r="G188">
        <v>0</v>
      </c>
      <c r="H188">
        <v>0</v>
      </c>
      <c r="I188">
        <v>0</v>
      </c>
      <c r="J188">
        <v>0</v>
      </c>
      <c r="K188">
        <v>0</v>
      </c>
      <c r="L188">
        <v>0</v>
      </c>
      <c r="M188">
        <v>0</v>
      </c>
      <c r="N188">
        <v>0</v>
      </c>
      <c r="O188">
        <v>0</v>
      </c>
      <c r="P188">
        <v>0</v>
      </c>
      <c r="Q188">
        <v>0</v>
      </c>
      <c r="R188">
        <v>0</v>
      </c>
      <c r="S188">
        <v>0</v>
      </c>
    </row>
    <row r="189" spans="1:19" x14ac:dyDescent="0.3">
      <c r="A189" s="97">
        <v>576</v>
      </c>
      <c r="B189" s="330" t="s">
        <v>197</v>
      </c>
      <c r="D189">
        <v>0</v>
      </c>
      <c r="E189">
        <v>0</v>
      </c>
      <c r="F189">
        <v>0</v>
      </c>
      <c r="G189">
        <v>0</v>
      </c>
      <c r="H189">
        <v>0</v>
      </c>
      <c r="I189">
        <v>0</v>
      </c>
      <c r="J189">
        <v>0</v>
      </c>
      <c r="K189">
        <v>0</v>
      </c>
      <c r="L189">
        <v>0</v>
      </c>
      <c r="M189">
        <v>0</v>
      </c>
      <c r="N189">
        <v>0</v>
      </c>
      <c r="O189">
        <v>0</v>
      </c>
      <c r="P189">
        <v>0</v>
      </c>
      <c r="Q189">
        <v>0</v>
      </c>
      <c r="R189">
        <v>0</v>
      </c>
      <c r="S189">
        <v>0</v>
      </c>
    </row>
    <row r="190" spans="1:19" ht="43.2" x14ac:dyDescent="0.3">
      <c r="A190" s="97">
        <v>577</v>
      </c>
      <c r="B190" s="330" t="s">
        <v>463</v>
      </c>
      <c r="D190">
        <v>2</v>
      </c>
      <c r="E190">
        <v>2</v>
      </c>
      <c r="F190">
        <v>2</v>
      </c>
      <c r="G190">
        <v>2</v>
      </c>
      <c r="H190">
        <v>2</v>
      </c>
      <c r="I190">
        <v>2</v>
      </c>
      <c r="J190">
        <v>2</v>
      </c>
      <c r="K190">
        <v>2</v>
      </c>
      <c r="M190">
        <v>2</v>
      </c>
      <c r="N190">
        <v>2</v>
      </c>
      <c r="O190">
        <v>2</v>
      </c>
      <c r="P190">
        <v>2</v>
      </c>
      <c r="Q190">
        <v>2</v>
      </c>
      <c r="R190">
        <v>2</v>
      </c>
      <c r="S190">
        <v>2</v>
      </c>
    </row>
    <row r="191" spans="1:19" x14ac:dyDescent="0.3">
      <c r="A191" s="97">
        <v>578</v>
      </c>
      <c r="B191" s="330" t="s">
        <v>464</v>
      </c>
      <c r="D191">
        <v>0</v>
      </c>
      <c r="E191">
        <v>0</v>
      </c>
      <c r="F191">
        <v>0</v>
      </c>
      <c r="G191">
        <v>0</v>
      </c>
      <c r="H191">
        <v>0</v>
      </c>
      <c r="I191">
        <v>0</v>
      </c>
      <c r="J191">
        <v>0</v>
      </c>
      <c r="K191">
        <v>0</v>
      </c>
      <c r="L191">
        <v>0</v>
      </c>
      <c r="M191">
        <v>0</v>
      </c>
      <c r="N191">
        <v>0</v>
      </c>
      <c r="O191">
        <v>0</v>
      </c>
      <c r="P191">
        <v>0</v>
      </c>
      <c r="Q191">
        <v>0</v>
      </c>
      <c r="R191">
        <v>0</v>
      </c>
      <c r="S191">
        <v>0</v>
      </c>
    </row>
    <row r="192" spans="1:19" x14ac:dyDescent="0.3">
      <c r="A192" s="97">
        <v>579</v>
      </c>
      <c r="B192" s="330" t="s">
        <v>465</v>
      </c>
      <c r="D192">
        <v>0</v>
      </c>
      <c r="E192">
        <v>0</v>
      </c>
      <c r="F192">
        <v>0</v>
      </c>
      <c r="G192">
        <v>0</v>
      </c>
      <c r="H192">
        <v>0</v>
      </c>
      <c r="I192">
        <v>0</v>
      </c>
      <c r="J192">
        <v>0</v>
      </c>
      <c r="K192">
        <v>0</v>
      </c>
      <c r="L192">
        <v>0</v>
      </c>
      <c r="M192">
        <v>0</v>
      </c>
      <c r="N192">
        <v>0</v>
      </c>
      <c r="O192">
        <v>0</v>
      </c>
      <c r="P192">
        <v>0</v>
      </c>
      <c r="Q192">
        <v>0</v>
      </c>
      <c r="R192">
        <v>0</v>
      </c>
      <c r="S192">
        <v>0</v>
      </c>
    </row>
    <row r="193" spans="1:19" x14ac:dyDescent="0.3">
      <c r="A193" s="97">
        <v>580</v>
      </c>
      <c r="B193" s="330" t="s">
        <v>466</v>
      </c>
      <c r="D193">
        <v>0</v>
      </c>
      <c r="E193">
        <v>0</v>
      </c>
      <c r="F193">
        <v>0</v>
      </c>
      <c r="G193">
        <v>0</v>
      </c>
      <c r="H193">
        <v>0</v>
      </c>
      <c r="I193">
        <v>0</v>
      </c>
      <c r="J193">
        <v>0</v>
      </c>
      <c r="K193">
        <v>0</v>
      </c>
      <c r="L193">
        <v>0</v>
      </c>
      <c r="M193">
        <v>0</v>
      </c>
      <c r="N193">
        <v>0</v>
      </c>
      <c r="O193">
        <v>0</v>
      </c>
      <c r="P193">
        <v>0</v>
      </c>
      <c r="Q193">
        <v>0</v>
      </c>
      <c r="R193">
        <v>0</v>
      </c>
      <c r="S193">
        <v>0</v>
      </c>
    </row>
    <row r="194" spans="1:19" x14ac:dyDescent="0.3">
      <c r="A194" s="97">
        <v>581</v>
      </c>
      <c r="B194" s="330" t="s">
        <v>467</v>
      </c>
      <c r="D194">
        <v>0</v>
      </c>
      <c r="E194">
        <v>0</v>
      </c>
      <c r="F194">
        <v>0</v>
      </c>
      <c r="G194">
        <v>0</v>
      </c>
      <c r="H194">
        <v>0</v>
      </c>
      <c r="I194">
        <v>0</v>
      </c>
      <c r="J194">
        <v>0</v>
      </c>
      <c r="K194">
        <v>0</v>
      </c>
      <c r="L194">
        <v>0</v>
      </c>
      <c r="M194">
        <v>0</v>
      </c>
      <c r="N194">
        <v>0</v>
      </c>
      <c r="O194">
        <v>0</v>
      </c>
      <c r="P194">
        <v>0</v>
      </c>
      <c r="Q194">
        <v>0</v>
      </c>
      <c r="R194">
        <v>0</v>
      </c>
      <c r="S194">
        <v>0</v>
      </c>
    </row>
    <row r="195" spans="1:19" ht="28.8" x14ac:dyDescent="0.3">
      <c r="A195" s="97">
        <v>585</v>
      </c>
      <c r="B195" s="330" t="s">
        <v>468</v>
      </c>
      <c r="D195">
        <v>0</v>
      </c>
      <c r="E195">
        <v>0</v>
      </c>
      <c r="F195">
        <v>0</v>
      </c>
      <c r="G195">
        <v>0</v>
      </c>
      <c r="H195">
        <v>0</v>
      </c>
      <c r="I195">
        <v>0</v>
      </c>
      <c r="J195">
        <v>0</v>
      </c>
      <c r="K195">
        <v>0</v>
      </c>
      <c r="L195">
        <v>0</v>
      </c>
      <c r="M195">
        <v>0</v>
      </c>
      <c r="N195">
        <v>0</v>
      </c>
      <c r="O195">
        <v>0</v>
      </c>
      <c r="P195">
        <v>0</v>
      </c>
      <c r="Q195">
        <v>0</v>
      </c>
      <c r="R195">
        <v>0</v>
      </c>
      <c r="S195">
        <v>0</v>
      </c>
    </row>
    <row r="196" spans="1:19" x14ac:dyDescent="0.3">
      <c r="A196" s="97">
        <v>586</v>
      </c>
      <c r="B196" s="330" t="s">
        <v>469</v>
      </c>
      <c r="D196">
        <v>0</v>
      </c>
      <c r="E196">
        <v>0</v>
      </c>
      <c r="F196">
        <v>0</v>
      </c>
      <c r="G196">
        <v>0</v>
      </c>
      <c r="H196">
        <v>0</v>
      </c>
      <c r="I196">
        <v>0</v>
      </c>
      <c r="J196">
        <v>0</v>
      </c>
      <c r="K196">
        <v>0</v>
      </c>
      <c r="L196">
        <v>0</v>
      </c>
      <c r="M196">
        <v>0</v>
      </c>
      <c r="N196">
        <v>0</v>
      </c>
      <c r="O196">
        <v>0</v>
      </c>
      <c r="P196">
        <v>0</v>
      </c>
      <c r="Q196">
        <v>0</v>
      </c>
      <c r="R196">
        <v>0</v>
      </c>
      <c r="S196">
        <v>0</v>
      </c>
    </row>
    <row r="197" spans="1:19" x14ac:dyDescent="0.3">
      <c r="A197" s="97">
        <v>587</v>
      </c>
      <c r="B197" s="330" t="s">
        <v>470</v>
      </c>
      <c r="D197">
        <v>0</v>
      </c>
      <c r="E197">
        <v>0</v>
      </c>
      <c r="F197">
        <v>0</v>
      </c>
      <c r="G197">
        <v>0</v>
      </c>
      <c r="H197">
        <v>0</v>
      </c>
      <c r="I197">
        <v>0</v>
      </c>
      <c r="J197">
        <v>0</v>
      </c>
      <c r="K197">
        <v>0</v>
      </c>
      <c r="L197">
        <v>0</v>
      </c>
      <c r="M197">
        <v>0</v>
      </c>
      <c r="N197">
        <v>0</v>
      </c>
      <c r="O197">
        <v>0</v>
      </c>
      <c r="P197">
        <v>0</v>
      </c>
      <c r="Q197">
        <v>0</v>
      </c>
      <c r="R197">
        <v>0</v>
      </c>
      <c r="S197">
        <v>0</v>
      </c>
    </row>
    <row r="198" spans="1:19" x14ac:dyDescent="0.3">
      <c r="A198" s="97">
        <v>588</v>
      </c>
      <c r="B198" s="330" t="s">
        <v>471</v>
      </c>
      <c r="D198">
        <v>0</v>
      </c>
      <c r="E198">
        <v>0</v>
      </c>
      <c r="F198">
        <v>0</v>
      </c>
      <c r="G198">
        <v>0</v>
      </c>
      <c r="H198">
        <v>0</v>
      </c>
      <c r="I198">
        <v>0</v>
      </c>
      <c r="J198">
        <v>0</v>
      </c>
      <c r="K198">
        <v>0</v>
      </c>
      <c r="L198">
        <v>0</v>
      </c>
      <c r="M198">
        <v>0</v>
      </c>
      <c r="N198">
        <v>0</v>
      </c>
      <c r="O198">
        <v>0</v>
      </c>
      <c r="P198">
        <v>0</v>
      </c>
      <c r="Q198">
        <v>0</v>
      </c>
      <c r="R198">
        <v>0</v>
      </c>
      <c r="S198">
        <v>0</v>
      </c>
    </row>
    <row r="199" spans="1:19" ht="28.8" x14ac:dyDescent="0.3">
      <c r="A199" s="97">
        <v>589</v>
      </c>
      <c r="B199" s="330" t="s">
        <v>472</v>
      </c>
      <c r="D199">
        <v>0</v>
      </c>
      <c r="E199">
        <v>0</v>
      </c>
      <c r="F199">
        <v>0</v>
      </c>
      <c r="G199">
        <v>0</v>
      </c>
      <c r="H199">
        <v>0</v>
      </c>
      <c r="I199">
        <v>0</v>
      </c>
      <c r="J199">
        <v>0</v>
      </c>
      <c r="K199">
        <v>0</v>
      </c>
      <c r="L199">
        <v>0</v>
      </c>
      <c r="M199">
        <v>0</v>
      </c>
      <c r="N199">
        <v>0</v>
      </c>
      <c r="O199">
        <v>0</v>
      </c>
      <c r="P199">
        <v>0</v>
      </c>
      <c r="Q199">
        <v>0</v>
      </c>
      <c r="R199">
        <v>0</v>
      </c>
      <c r="S199">
        <v>0</v>
      </c>
    </row>
    <row r="200" spans="1:19" x14ac:dyDescent="0.3">
      <c r="A200" s="97">
        <v>591</v>
      </c>
      <c r="B200" s="330" t="s">
        <v>218</v>
      </c>
      <c r="D200">
        <v>0</v>
      </c>
      <c r="E200">
        <v>0</v>
      </c>
      <c r="F200">
        <v>0</v>
      </c>
      <c r="G200">
        <v>0</v>
      </c>
      <c r="H200">
        <v>0</v>
      </c>
      <c r="I200">
        <v>0</v>
      </c>
      <c r="J200">
        <v>0</v>
      </c>
      <c r="K200">
        <v>157063</v>
      </c>
      <c r="L200">
        <v>0</v>
      </c>
      <c r="M200">
        <v>320783</v>
      </c>
      <c r="N200">
        <v>0</v>
      </c>
      <c r="O200">
        <v>0</v>
      </c>
      <c r="P200">
        <v>0</v>
      </c>
      <c r="Q200">
        <v>0</v>
      </c>
      <c r="R200">
        <v>0</v>
      </c>
      <c r="S200">
        <v>0</v>
      </c>
    </row>
    <row r="201" spans="1:19" ht="28.8" x14ac:dyDescent="0.3">
      <c r="A201" s="97">
        <v>592</v>
      </c>
      <c r="B201" s="330" t="s">
        <v>219</v>
      </c>
      <c r="D201">
        <v>0</v>
      </c>
      <c r="E201">
        <v>0</v>
      </c>
      <c r="F201">
        <v>0</v>
      </c>
      <c r="G201">
        <v>0</v>
      </c>
      <c r="H201">
        <v>0</v>
      </c>
      <c r="I201">
        <v>0</v>
      </c>
      <c r="J201">
        <v>0</v>
      </c>
      <c r="K201">
        <v>-20850</v>
      </c>
      <c r="L201">
        <v>0</v>
      </c>
      <c r="M201">
        <v>-3906</v>
      </c>
      <c r="N201">
        <v>0</v>
      </c>
      <c r="O201">
        <v>0</v>
      </c>
      <c r="P201">
        <v>0</v>
      </c>
      <c r="Q201">
        <v>0</v>
      </c>
      <c r="R201">
        <v>0</v>
      </c>
      <c r="S201">
        <v>0</v>
      </c>
    </row>
    <row r="202" spans="1:19" x14ac:dyDescent="0.3">
      <c r="A202" s="97">
        <v>593</v>
      </c>
      <c r="B202" s="330" t="s">
        <v>473</v>
      </c>
      <c r="D202">
        <v>0</v>
      </c>
      <c r="E202">
        <v>0</v>
      </c>
      <c r="F202">
        <v>0</v>
      </c>
      <c r="G202">
        <v>0</v>
      </c>
      <c r="H202">
        <v>0</v>
      </c>
      <c r="I202">
        <v>0</v>
      </c>
      <c r="J202">
        <v>0</v>
      </c>
      <c r="K202">
        <v>0</v>
      </c>
      <c r="L202">
        <v>0</v>
      </c>
      <c r="M202">
        <v>0</v>
      </c>
      <c r="N202">
        <v>0</v>
      </c>
      <c r="O202">
        <v>0</v>
      </c>
      <c r="P202">
        <v>0</v>
      </c>
      <c r="Q202">
        <v>0</v>
      </c>
      <c r="R202">
        <v>0</v>
      </c>
      <c r="S202">
        <v>0</v>
      </c>
    </row>
    <row r="203" spans="1:19" x14ac:dyDescent="0.3">
      <c r="A203" s="97">
        <v>594</v>
      </c>
      <c r="B203" s="330" t="s">
        <v>474</v>
      </c>
      <c r="D203">
        <v>0</v>
      </c>
      <c r="E203">
        <v>0</v>
      </c>
      <c r="F203">
        <v>0</v>
      </c>
      <c r="G203">
        <v>0</v>
      </c>
      <c r="H203">
        <v>0</v>
      </c>
      <c r="I203">
        <v>0</v>
      </c>
      <c r="J203">
        <v>0</v>
      </c>
      <c r="K203">
        <v>0</v>
      </c>
      <c r="L203">
        <v>0</v>
      </c>
      <c r="M203">
        <v>0</v>
      </c>
      <c r="N203">
        <v>0</v>
      </c>
      <c r="O203">
        <v>0</v>
      </c>
      <c r="P203">
        <v>0</v>
      </c>
      <c r="Q203">
        <v>0</v>
      </c>
      <c r="R203">
        <v>0</v>
      </c>
      <c r="S203">
        <v>0</v>
      </c>
    </row>
    <row r="204" spans="1:19" x14ac:dyDescent="0.3">
      <c r="A204" s="97">
        <v>596</v>
      </c>
      <c r="B204" s="330" t="s">
        <v>224</v>
      </c>
      <c r="D204">
        <v>0</v>
      </c>
      <c r="E204">
        <v>0</v>
      </c>
      <c r="F204">
        <v>0</v>
      </c>
      <c r="G204">
        <v>0</v>
      </c>
      <c r="H204">
        <v>0</v>
      </c>
      <c r="I204">
        <v>0</v>
      </c>
      <c r="J204">
        <v>0</v>
      </c>
      <c r="K204">
        <v>0</v>
      </c>
      <c r="L204">
        <v>0</v>
      </c>
      <c r="M204">
        <v>0</v>
      </c>
      <c r="N204">
        <v>0</v>
      </c>
      <c r="O204">
        <v>0</v>
      </c>
      <c r="P204">
        <v>0</v>
      </c>
      <c r="Q204">
        <v>0</v>
      </c>
      <c r="R204">
        <v>0</v>
      </c>
      <c r="S204">
        <v>0</v>
      </c>
    </row>
    <row r="205" spans="1:19" ht="28.8" x14ac:dyDescent="0.3">
      <c r="A205" s="97">
        <v>597</v>
      </c>
      <c r="B205" s="330" t="s">
        <v>226</v>
      </c>
      <c r="D205">
        <v>0</v>
      </c>
      <c r="E205">
        <v>0</v>
      </c>
      <c r="F205">
        <v>0</v>
      </c>
      <c r="G205">
        <v>0</v>
      </c>
      <c r="H205">
        <v>0</v>
      </c>
      <c r="I205">
        <v>0</v>
      </c>
      <c r="J205">
        <v>0</v>
      </c>
      <c r="K205">
        <v>0</v>
      </c>
      <c r="L205">
        <v>0</v>
      </c>
      <c r="M205">
        <v>0</v>
      </c>
      <c r="N205">
        <v>0</v>
      </c>
      <c r="O205">
        <v>0</v>
      </c>
      <c r="P205">
        <v>0</v>
      </c>
      <c r="Q205">
        <v>0</v>
      </c>
      <c r="R205">
        <v>0</v>
      </c>
      <c r="S205">
        <v>0</v>
      </c>
    </row>
    <row r="206" spans="1:19" ht="28.8" x14ac:dyDescent="0.3">
      <c r="A206" s="97">
        <v>598</v>
      </c>
      <c r="B206" s="330" t="s">
        <v>228</v>
      </c>
      <c r="D206">
        <v>0</v>
      </c>
      <c r="E206">
        <v>0</v>
      </c>
      <c r="F206">
        <v>0</v>
      </c>
      <c r="G206">
        <v>0</v>
      </c>
      <c r="H206">
        <v>0</v>
      </c>
      <c r="I206">
        <v>0</v>
      </c>
      <c r="J206">
        <v>0</v>
      </c>
      <c r="K206">
        <v>0</v>
      </c>
      <c r="L206">
        <v>0</v>
      </c>
      <c r="M206">
        <v>0</v>
      </c>
      <c r="N206">
        <v>0</v>
      </c>
      <c r="O206">
        <v>0</v>
      </c>
      <c r="P206">
        <v>0</v>
      </c>
      <c r="Q206">
        <v>0</v>
      </c>
      <c r="R206">
        <v>0</v>
      </c>
      <c r="S206">
        <v>0</v>
      </c>
    </row>
    <row r="207" spans="1:19" ht="28.8" x14ac:dyDescent="0.3">
      <c r="A207" s="97">
        <v>599</v>
      </c>
      <c r="B207" s="330" t="s">
        <v>227</v>
      </c>
      <c r="D207">
        <v>0</v>
      </c>
      <c r="E207">
        <v>0</v>
      </c>
      <c r="F207">
        <v>0</v>
      </c>
      <c r="G207">
        <v>0</v>
      </c>
      <c r="H207">
        <v>0</v>
      </c>
      <c r="I207">
        <v>0</v>
      </c>
      <c r="J207">
        <v>0</v>
      </c>
      <c r="K207">
        <v>0</v>
      </c>
      <c r="L207">
        <v>0</v>
      </c>
      <c r="M207">
        <v>0</v>
      </c>
      <c r="N207">
        <v>0</v>
      </c>
      <c r="O207">
        <v>0</v>
      </c>
      <c r="P207">
        <v>0</v>
      </c>
      <c r="Q207">
        <v>0</v>
      </c>
      <c r="R207">
        <v>0</v>
      </c>
      <c r="S207">
        <v>0</v>
      </c>
    </row>
    <row r="208" spans="1:19" x14ac:dyDescent="0.3">
      <c r="A208" s="97">
        <v>602</v>
      </c>
      <c r="B208" s="330" t="s">
        <v>229</v>
      </c>
      <c r="D208">
        <v>0</v>
      </c>
      <c r="E208">
        <v>0</v>
      </c>
      <c r="F208">
        <v>0</v>
      </c>
      <c r="G208">
        <v>0</v>
      </c>
      <c r="H208">
        <v>0</v>
      </c>
      <c r="I208">
        <v>0</v>
      </c>
      <c r="J208">
        <v>0</v>
      </c>
      <c r="K208">
        <v>0</v>
      </c>
      <c r="L208">
        <v>0</v>
      </c>
      <c r="M208">
        <v>0</v>
      </c>
      <c r="N208">
        <v>0</v>
      </c>
      <c r="O208">
        <v>0</v>
      </c>
      <c r="P208">
        <v>0</v>
      </c>
      <c r="Q208">
        <v>0</v>
      </c>
      <c r="R208">
        <v>0</v>
      </c>
      <c r="S208">
        <v>0</v>
      </c>
    </row>
    <row r="209" spans="1:19" ht="43.2" x14ac:dyDescent="0.3">
      <c r="A209" s="97">
        <v>606</v>
      </c>
      <c r="B209" s="330" t="s">
        <v>475</v>
      </c>
      <c r="D209">
        <v>1</v>
      </c>
      <c r="E209">
        <v>1</v>
      </c>
      <c r="F209">
        <v>1</v>
      </c>
      <c r="G209">
        <v>1</v>
      </c>
      <c r="H209">
        <v>1</v>
      </c>
      <c r="I209">
        <v>1</v>
      </c>
      <c r="J209">
        <v>1</v>
      </c>
      <c r="K209">
        <v>1</v>
      </c>
      <c r="L209">
        <v>1</v>
      </c>
      <c r="M209">
        <v>1</v>
      </c>
      <c r="N209">
        <v>1</v>
      </c>
      <c r="O209">
        <v>1</v>
      </c>
      <c r="P209">
        <v>1</v>
      </c>
      <c r="Q209">
        <v>1</v>
      </c>
      <c r="R209">
        <v>1</v>
      </c>
      <c r="S209">
        <v>1</v>
      </c>
    </row>
    <row r="210" spans="1:19" ht="28.8" x14ac:dyDescent="0.3">
      <c r="A210" s="97">
        <v>619</v>
      </c>
      <c r="B210" s="330" t="s">
        <v>476</v>
      </c>
      <c r="D210">
        <v>0</v>
      </c>
      <c r="E210">
        <v>0</v>
      </c>
      <c r="F210">
        <v>0</v>
      </c>
      <c r="G210">
        <v>0</v>
      </c>
      <c r="H210">
        <v>0</v>
      </c>
      <c r="I210">
        <v>0</v>
      </c>
      <c r="J210">
        <v>0</v>
      </c>
      <c r="K210">
        <v>0</v>
      </c>
      <c r="L210">
        <v>0</v>
      </c>
      <c r="M210">
        <v>0</v>
      </c>
      <c r="N210">
        <v>0</v>
      </c>
      <c r="O210">
        <v>0</v>
      </c>
      <c r="P210">
        <v>0</v>
      </c>
      <c r="Q210">
        <v>0</v>
      </c>
      <c r="R210">
        <v>0</v>
      </c>
      <c r="S210">
        <v>0</v>
      </c>
    </row>
    <row r="211" spans="1:19" ht="57.6" x14ac:dyDescent="0.3">
      <c r="A211" s="97">
        <v>620</v>
      </c>
      <c r="B211" s="330" t="s">
        <v>477</v>
      </c>
      <c r="D211">
        <v>0</v>
      </c>
      <c r="E211">
        <v>0</v>
      </c>
      <c r="F211">
        <v>0</v>
      </c>
      <c r="G211">
        <v>0</v>
      </c>
      <c r="H211">
        <v>0</v>
      </c>
      <c r="I211">
        <v>0</v>
      </c>
      <c r="J211">
        <v>0</v>
      </c>
      <c r="K211">
        <v>0</v>
      </c>
      <c r="L211">
        <v>0</v>
      </c>
      <c r="M211">
        <v>0</v>
      </c>
      <c r="N211">
        <v>0</v>
      </c>
      <c r="O211">
        <v>0</v>
      </c>
      <c r="P211">
        <v>0</v>
      </c>
      <c r="Q211">
        <v>0</v>
      </c>
      <c r="R211">
        <v>0</v>
      </c>
      <c r="S211">
        <v>0</v>
      </c>
    </row>
    <row r="212" spans="1:19" ht="100.8" x14ac:dyDescent="0.3">
      <c r="A212" s="97">
        <v>621</v>
      </c>
      <c r="B212" s="330" t="s">
        <v>478</v>
      </c>
      <c r="D212">
        <v>0</v>
      </c>
      <c r="E212">
        <v>0</v>
      </c>
      <c r="F212">
        <v>0</v>
      </c>
      <c r="G212">
        <v>0</v>
      </c>
      <c r="H212">
        <v>0</v>
      </c>
      <c r="I212">
        <v>0</v>
      </c>
      <c r="J212">
        <v>0</v>
      </c>
      <c r="K212">
        <v>0</v>
      </c>
      <c r="L212">
        <v>0</v>
      </c>
      <c r="M212">
        <v>0</v>
      </c>
      <c r="N212">
        <v>0</v>
      </c>
      <c r="O212">
        <v>0</v>
      </c>
      <c r="P212">
        <v>0</v>
      </c>
      <c r="Q212">
        <v>0</v>
      </c>
      <c r="R212">
        <v>0</v>
      </c>
      <c r="S212">
        <v>0</v>
      </c>
    </row>
    <row r="213" spans="1:19" ht="115.2" x14ac:dyDescent="0.3">
      <c r="A213" s="97">
        <v>622</v>
      </c>
      <c r="B213" s="330" t="s">
        <v>479</v>
      </c>
      <c r="D213">
        <v>656081</v>
      </c>
      <c r="E213">
        <v>551380</v>
      </c>
      <c r="F213">
        <v>1362905</v>
      </c>
      <c r="G213">
        <v>512429</v>
      </c>
      <c r="H213">
        <v>539945</v>
      </c>
      <c r="I213">
        <v>407013</v>
      </c>
      <c r="J213">
        <v>1007349</v>
      </c>
      <c r="K213">
        <v>567460</v>
      </c>
      <c r="L213">
        <v>252999</v>
      </c>
      <c r="M213">
        <v>508141</v>
      </c>
      <c r="N213">
        <v>324467</v>
      </c>
      <c r="O213">
        <v>1785284</v>
      </c>
      <c r="P213">
        <v>437745</v>
      </c>
      <c r="Q213">
        <v>921587</v>
      </c>
      <c r="R213">
        <v>595690</v>
      </c>
      <c r="S213">
        <v>1509415</v>
      </c>
    </row>
    <row r="214" spans="1:19" ht="43.2" x14ac:dyDescent="0.3">
      <c r="A214" s="97">
        <v>624</v>
      </c>
      <c r="B214" s="330" t="s">
        <v>236</v>
      </c>
      <c r="D214">
        <v>0</v>
      </c>
      <c r="E214">
        <v>0</v>
      </c>
      <c r="F214">
        <v>0</v>
      </c>
      <c r="G214">
        <v>0</v>
      </c>
      <c r="H214">
        <v>0</v>
      </c>
      <c r="I214">
        <v>0</v>
      </c>
      <c r="J214">
        <v>0</v>
      </c>
      <c r="K214">
        <v>0</v>
      </c>
      <c r="L214">
        <v>0</v>
      </c>
      <c r="M214">
        <v>0</v>
      </c>
      <c r="N214">
        <v>0</v>
      </c>
      <c r="O214">
        <v>0</v>
      </c>
      <c r="P214">
        <v>0</v>
      </c>
      <c r="Q214">
        <v>0</v>
      </c>
      <c r="R214">
        <v>0</v>
      </c>
      <c r="S214">
        <v>0</v>
      </c>
    </row>
    <row r="215" spans="1:19" ht="43.2" x14ac:dyDescent="0.3">
      <c r="A215" s="97">
        <v>626</v>
      </c>
      <c r="B215" s="330" t="s">
        <v>480</v>
      </c>
      <c r="D215">
        <v>405766</v>
      </c>
      <c r="E215">
        <v>1995940</v>
      </c>
      <c r="F215">
        <v>4320736</v>
      </c>
      <c r="G215">
        <v>770291</v>
      </c>
      <c r="H215">
        <v>755423</v>
      </c>
      <c r="I215">
        <v>1421411</v>
      </c>
      <c r="J215">
        <v>2371525</v>
      </c>
      <c r="K215">
        <v>1316005</v>
      </c>
      <c r="L215">
        <v>1147609</v>
      </c>
      <c r="M215">
        <v>2236450</v>
      </c>
      <c r="N215">
        <v>1278383</v>
      </c>
      <c r="O215">
        <v>5603754</v>
      </c>
      <c r="P215">
        <v>810738</v>
      </c>
      <c r="Q215">
        <v>4096252</v>
      </c>
      <c r="R215">
        <v>862973</v>
      </c>
      <c r="S215">
        <v>1700511</v>
      </c>
    </row>
    <row r="216" spans="1:19" ht="28.8" x14ac:dyDescent="0.3">
      <c r="A216" s="97">
        <v>627</v>
      </c>
      <c r="B216" s="330" t="s">
        <v>481</v>
      </c>
      <c r="D216">
        <v>0</v>
      </c>
      <c r="E216">
        <v>0</v>
      </c>
      <c r="F216">
        <v>0</v>
      </c>
      <c r="G216">
        <v>0</v>
      </c>
      <c r="H216">
        <v>0</v>
      </c>
      <c r="I216">
        <v>0</v>
      </c>
      <c r="J216">
        <v>0</v>
      </c>
      <c r="K216">
        <v>0</v>
      </c>
      <c r="L216">
        <v>0</v>
      </c>
      <c r="M216">
        <v>0</v>
      </c>
      <c r="N216">
        <v>0</v>
      </c>
      <c r="O216">
        <v>0</v>
      </c>
      <c r="P216">
        <v>0</v>
      </c>
      <c r="Q216">
        <v>0</v>
      </c>
      <c r="R216">
        <v>0</v>
      </c>
      <c r="S216">
        <v>0</v>
      </c>
    </row>
    <row r="217" spans="1:19" ht="28.8" x14ac:dyDescent="0.3">
      <c r="A217" s="97">
        <v>628</v>
      </c>
      <c r="B217" s="330" t="s">
        <v>482</v>
      </c>
      <c r="D217">
        <v>0</v>
      </c>
      <c r="E217">
        <v>0</v>
      </c>
      <c r="F217">
        <v>276249</v>
      </c>
      <c r="G217">
        <v>15600</v>
      </c>
      <c r="H217">
        <v>41491</v>
      </c>
      <c r="I217">
        <v>44158</v>
      </c>
      <c r="J217">
        <v>107684</v>
      </c>
      <c r="K217">
        <v>0</v>
      </c>
      <c r="L217">
        <v>0</v>
      </c>
      <c r="M217">
        <v>0</v>
      </c>
      <c r="N217">
        <v>0</v>
      </c>
      <c r="O217">
        <v>46322</v>
      </c>
      <c r="P217">
        <v>30402</v>
      </c>
      <c r="Q217">
        <v>0</v>
      </c>
      <c r="R217">
        <v>0</v>
      </c>
      <c r="S217">
        <v>275852</v>
      </c>
    </row>
    <row r="218" spans="1:19" ht="28.8" x14ac:dyDescent="0.3">
      <c r="A218" s="97">
        <v>629</v>
      </c>
      <c r="B218" s="330" t="s">
        <v>483</v>
      </c>
      <c r="D218">
        <v>0</v>
      </c>
      <c r="E218">
        <v>0</v>
      </c>
      <c r="F218">
        <v>0</v>
      </c>
      <c r="G218">
        <v>0</v>
      </c>
      <c r="H218">
        <v>0</v>
      </c>
      <c r="I218">
        <v>0</v>
      </c>
      <c r="J218">
        <v>0</v>
      </c>
      <c r="K218">
        <v>0</v>
      </c>
      <c r="L218">
        <v>0</v>
      </c>
      <c r="M218">
        <v>0</v>
      </c>
      <c r="N218">
        <v>0</v>
      </c>
      <c r="O218">
        <v>0</v>
      </c>
      <c r="P218">
        <v>0</v>
      </c>
      <c r="Q218">
        <v>0</v>
      </c>
      <c r="R218">
        <v>0</v>
      </c>
      <c r="S218">
        <v>0</v>
      </c>
    </row>
    <row r="219" spans="1:19" ht="43.2" x14ac:dyDescent="0.3">
      <c r="A219" s="97">
        <v>630</v>
      </c>
      <c r="B219" s="330" t="s">
        <v>484</v>
      </c>
      <c r="D219">
        <v>0</v>
      </c>
      <c r="E219">
        <v>0</v>
      </c>
      <c r="F219">
        <v>0</v>
      </c>
      <c r="G219">
        <v>0</v>
      </c>
      <c r="H219">
        <v>0</v>
      </c>
      <c r="I219">
        <v>0</v>
      </c>
      <c r="J219">
        <v>0</v>
      </c>
      <c r="K219">
        <v>0</v>
      </c>
      <c r="L219">
        <v>0</v>
      </c>
      <c r="M219">
        <v>0</v>
      </c>
      <c r="N219">
        <v>0</v>
      </c>
      <c r="O219">
        <v>0</v>
      </c>
      <c r="P219">
        <v>0</v>
      </c>
      <c r="Q219">
        <v>0</v>
      </c>
      <c r="R219">
        <v>0</v>
      </c>
      <c r="S219">
        <v>91192</v>
      </c>
    </row>
    <row r="220" spans="1:19" x14ac:dyDescent="0.3">
      <c r="A220" s="97">
        <v>631</v>
      </c>
      <c r="B220" s="330" t="s">
        <v>485</v>
      </c>
      <c r="D220">
        <v>0</v>
      </c>
      <c r="E220">
        <v>0</v>
      </c>
      <c r="F220">
        <v>0</v>
      </c>
      <c r="G220">
        <v>0</v>
      </c>
      <c r="H220">
        <v>0</v>
      </c>
      <c r="I220">
        <v>0</v>
      </c>
      <c r="J220">
        <v>0</v>
      </c>
      <c r="K220">
        <v>0</v>
      </c>
      <c r="L220">
        <v>0</v>
      </c>
      <c r="M220">
        <v>0</v>
      </c>
      <c r="N220">
        <v>0</v>
      </c>
      <c r="O220">
        <v>0</v>
      </c>
      <c r="P220">
        <v>0</v>
      </c>
      <c r="Q220">
        <v>0</v>
      </c>
      <c r="R220">
        <v>0</v>
      </c>
      <c r="S220">
        <v>0</v>
      </c>
    </row>
    <row r="221" spans="1:19" ht="28.8" x14ac:dyDescent="0.3">
      <c r="A221" s="97">
        <v>632</v>
      </c>
      <c r="B221" s="330" t="s">
        <v>486</v>
      </c>
      <c r="D221">
        <v>0</v>
      </c>
      <c r="E221">
        <v>0</v>
      </c>
      <c r="F221">
        <v>0</v>
      </c>
      <c r="G221">
        <v>0</v>
      </c>
      <c r="H221">
        <v>0</v>
      </c>
      <c r="I221">
        <v>0</v>
      </c>
      <c r="J221">
        <v>0</v>
      </c>
      <c r="K221">
        <v>0</v>
      </c>
      <c r="L221">
        <v>0</v>
      </c>
      <c r="M221">
        <v>0</v>
      </c>
      <c r="N221">
        <v>0</v>
      </c>
      <c r="O221">
        <v>0</v>
      </c>
      <c r="P221">
        <v>0</v>
      </c>
      <c r="Q221">
        <v>0</v>
      </c>
      <c r="R221">
        <v>0</v>
      </c>
      <c r="S221">
        <v>0</v>
      </c>
    </row>
    <row r="222" spans="1:19" ht="43.2" x14ac:dyDescent="0.3">
      <c r="A222" s="97">
        <v>633</v>
      </c>
      <c r="B222" s="330" t="s">
        <v>248</v>
      </c>
      <c r="D222">
        <v>0</v>
      </c>
      <c r="E222">
        <v>0</v>
      </c>
      <c r="F222">
        <v>0</v>
      </c>
      <c r="G222">
        <v>0</v>
      </c>
      <c r="H222">
        <v>0</v>
      </c>
      <c r="I222">
        <v>0</v>
      </c>
      <c r="J222">
        <v>0</v>
      </c>
      <c r="K222">
        <v>0</v>
      </c>
      <c r="L222">
        <v>0</v>
      </c>
      <c r="M222">
        <v>0</v>
      </c>
      <c r="N222">
        <v>0</v>
      </c>
      <c r="O222">
        <v>0</v>
      </c>
      <c r="P222">
        <v>0</v>
      </c>
      <c r="Q222">
        <v>0</v>
      </c>
      <c r="R222">
        <v>0</v>
      </c>
      <c r="S222">
        <v>0</v>
      </c>
    </row>
    <row r="223" spans="1:19" ht="28.8" x14ac:dyDescent="0.3">
      <c r="A223" s="97">
        <v>634</v>
      </c>
      <c r="B223" s="330" t="s">
        <v>249</v>
      </c>
      <c r="D223">
        <v>0</v>
      </c>
      <c r="E223">
        <v>0</v>
      </c>
      <c r="F223">
        <v>0</v>
      </c>
      <c r="G223">
        <v>0</v>
      </c>
      <c r="H223">
        <v>0</v>
      </c>
      <c r="I223">
        <v>0</v>
      </c>
      <c r="J223">
        <v>0</v>
      </c>
      <c r="K223">
        <v>0</v>
      </c>
      <c r="L223">
        <v>0</v>
      </c>
      <c r="M223">
        <v>0</v>
      </c>
      <c r="N223">
        <v>0</v>
      </c>
      <c r="O223">
        <v>0</v>
      </c>
      <c r="P223">
        <v>0</v>
      </c>
      <c r="Q223">
        <v>0</v>
      </c>
      <c r="R223">
        <v>0</v>
      </c>
      <c r="S223">
        <v>0</v>
      </c>
    </row>
    <row r="224" spans="1:19" ht="28.8" x14ac:dyDescent="0.3">
      <c r="A224" s="97">
        <v>635</v>
      </c>
      <c r="B224" s="330" t="s">
        <v>250</v>
      </c>
      <c r="D224">
        <v>0</v>
      </c>
      <c r="E224">
        <v>0</v>
      </c>
      <c r="F224">
        <v>0</v>
      </c>
      <c r="G224">
        <v>0</v>
      </c>
      <c r="H224">
        <v>0</v>
      </c>
      <c r="I224">
        <v>0</v>
      </c>
      <c r="J224">
        <v>0</v>
      </c>
      <c r="K224">
        <v>0</v>
      </c>
      <c r="L224">
        <v>0</v>
      </c>
      <c r="M224">
        <v>0</v>
      </c>
      <c r="N224">
        <v>0</v>
      </c>
      <c r="O224">
        <v>0</v>
      </c>
      <c r="P224">
        <v>0</v>
      </c>
      <c r="Q224">
        <v>0</v>
      </c>
      <c r="R224">
        <v>0</v>
      </c>
      <c r="S224">
        <v>0</v>
      </c>
    </row>
    <row r="225" spans="1:19" ht="100.8" x14ac:dyDescent="0.3">
      <c r="A225" s="97">
        <v>636</v>
      </c>
      <c r="B225" s="330" t="s">
        <v>901</v>
      </c>
      <c r="D225">
        <v>0</v>
      </c>
      <c r="E225">
        <v>0</v>
      </c>
      <c r="F225">
        <v>0</v>
      </c>
      <c r="G225">
        <v>0</v>
      </c>
      <c r="H225">
        <v>0</v>
      </c>
      <c r="I225">
        <v>0</v>
      </c>
      <c r="J225">
        <v>0</v>
      </c>
      <c r="K225">
        <v>0</v>
      </c>
      <c r="L225">
        <v>0</v>
      </c>
      <c r="M225">
        <v>0</v>
      </c>
      <c r="N225">
        <v>0</v>
      </c>
      <c r="O225">
        <v>0</v>
      </c>
      <c r="P225">
        <v>0</v>
      </c>
      <c r="Q225">
        <v>0</v>
      </c>
      <c r="R225">
        <v>0</v>
      </c>
      <c r="S225">
        <v>0</v>
      </c>
    </row>
    <row r="226" spans="1:19" ht="100.8" x14ac:dyDescent="0.3">
      <c r="A226" s="97">
        <v>637</v>
      </c>
      <c r="B226" s="330" t="s">
        <v>902</v>
      </c>
      <c r="D226">
        <v>0</v>
      </c>
      <c r="E226">
        <v>0</v>
      </c>
      <c r="F226">
        <v>0</v>
      </c>
      <c r="G226">
        <v>0</v>
      </c>
      <c r="H226">
        <v>0</v>
      </c>
      <c r="I226">
        <v>0</v>
      </c>
      <c r="J226">
        <v>0</v>
      </c>
      <c r="K226">
        <v>0</v>
      </c>
      <c r="L226">
        <v>0</v>
      </c>
      <c r="M226">
        <v>0</v>
      </c>
      <c r="N226">
        <v>0</v>
      </c>
      <c r="O226">
        <v>0</v>
      </c>
      <c r="P226">
        <v>0</v>
      </c>
      <c r="Q226">
        <v>0</v>
      </c>
      <c r="R226">
        <v>0</v>
      </c>
      <c r="S226">
        <v>0</v>
      </c>
    </row>
    <row r="227" spans="1:19" ht="100.8" x14ac:dyDescent="0.3">
      <c r="A227" s="97">
        <v>638</v>
      </c>
      <c r="B227" s="330" t="s">
        <v>903</v>
      </c>
      <c r="D227">
        <v>0</v>
      </c>
      <c r="E227">
        <v>0</v>
      </c>
      <c r="F227">
        <v>0</v>
      </c>
      <c r="G227">
        <v>0</v>
      </c>
      <c r="H227">
        <v>0</v>
      </c>
      <c r="I227">
        <v>0</v>
      </c>
      <c r="J227">
        <v>0</v>
      </c>
      <c r="K227">
        <v>0</v>
      </c>
      <c r="L227">
        <v>0</v>
      </c>
      <c r="M227">
        <v>0</v>
      </c>
      <c r="N227">
        <v>0</v>
      </c>
      <c r="O227">
        <v>0</v>
      </c>
      <c r="P227">
        <v>0</v>
      </c>
      <c r="Q227">
        <v>0</v>
      </c>
      <c r="R227">
        <v>0</v>
      </c>
      <c r="S227">
        <v>0</v>
      </c>
    </row>
    <row r="228" spans="1:19" ht="129.6" x14ac:dyDescent="0.3">
      <c r="A228" s="97">
        <v>639</v>
      </c>
      <c r="B228" s="330" t="s">
        <v>904</v>
      </c>
      <c r="D228">
        <v>0</v>
      </c>
      <c r="E228">
        <v>0</v>
      </c>
      <c r="F228">
        <v>0</v>
      </c>
      <c r="G228">
        <v>0</v>
      </c>
      <c r="H228">
        <v>0</v>
      </c>
      <c r="I228">
        <v>0</v>
      </c>
      <c r="J228">
        <v>0</v>
      </c>
      <c r="K228">
        <v>0</v>
      </c>
      <c r="L228">
        <v>0</v>
      </c>
      <c r="M228">
        <v>0</v>
      </c>
      <c r="N228">
        <v>0</v>
      </c>
      <c r="O228">
        <v>0</v>
      </c>
      <c r="P228">
        <v>0</v>
      </c>
      <c r="Q228">
        <v>0</v>
      </c>
      <c r="R228">
        <v>0</v>
      </c>
      <c r="S228">
        <v>0</v>
      </c>
    </row>
    <row r="229" spans="1:19" ht="100.8" x14ac:dyDescent="0.3">
      <c r="A229" s="97">
        <v>640</v>
      </c>
      <c r="B229" s="330" t="s">
        <v>905</v>
      </c>
      <c r="D229">
        <v>0</v>
      </c>
      <c r="E229">
        <v>0</v>
      </c>
      <c r="F229">
        <v>0</v>
      </c>
      <c r="G229">
        <v>0</v>
      </c>
      <c r="H229">
        <v>0</v>
      </c>
      <c r="I229">
        <v>0</v>
      </c>
      <c r="J229">
        <v>0</v>
      </c>
      <c r="K229">
        <v>0</v>
      </c>
      <c r="L229">
        <v>0</v>
      </c>
      <c r="M229">
        <v>0</v>
      </c>
      <c r="N229">
        <v>0</v>
      </c>
      <c r="O229">
        <v>0</v>
      </c>
      <c r="P229">
        <v>0</v>
      </c>
      <c r="Q229">
        <v>0</v>
      </c>
      <c r="R229">
        <v>0</v>
      </c>
      <c r="S229">
        <v>0</v>
      </c>
    </row>
    <row r="230" spans="1:19" ht="100.8" x14ac:dyDescent="0.3">
      <c r="A230" s="97">
        <v>641</v>
      </c>
      <c r="B230" s="330" t="s">
        <v>906</v>
      </c>
      <c r="D230">
        <v>0</v>
      </c>
      <c r="E230">
        <v>0</v>
      </c>
      <c r="F230">
        <v>0</v>
      </c>
      <c r="G230">
        <v>0</v>
      </c>
      <c r="H230">
        <v>0</v>
      </c>
      <c r="I230">
        <v>0</v>
      </c>
      <c r="J230">
        <v>0</v>
      </c>
      <c r="K230">
        <v>0</v>
      </c>
      <c r="L230">
        <v>0</v>
      </c>
      <c r="M230">
        <v>0</v>
      </c>
      <c r="N230">
        <v>0</v>
      </c>
      <c r="O230">
        <v>0</v>
      </c>
      <c r="P230">
        <v>0</v>
      </c>
      <c r="Q230">
        <v>0</v>
      </c>
      <c r="R230">
        <v>0</v>
      </c>
      <c r="S230">
        <v>0</v>
      </c>
    </row>
    <row r="231" spans="1:19" ht="100.8" x14ac:dyDescent="0.3">
      <c r="A231" s="97">
        <v>642</v>
      </c>
      <c r="B231" s="330" t="s">
        <v>907</v>
      </c>
      <c r="D231">
        <v>0</v>
      </c>
      <c r="E231">
        <v>0</v>
      </c>
      <c r="F231">
        <v>0</v>
      </c>
      <c r="G231">
        <v>0</v>
      </c>
      <c r="H231">
        <v>0</v>
      </c>
      <c r="I231">
        <v>0</v>
      </c>
      <c r="J231">
        <v>0</v>
      </c>
      <c r="K231">
        <v>0</v>
      </c>
      <c r="L231">
        <v>0</v>
      </c>
      <c r="M231">
        <v>0</v>
      </c>
      <c r="N231">
        <v>0</v>
      </c>
      <c r="O231">
        <v>0</v>
      </c>
      <c r="P231">
        <v>0</v>
      </c>
      <c r="Q231">
        <v>0</v>
      </c>
      <c r="R231">
        <v>0</v>
      </c>
      <c r="S231">
        <v>0</v>
      </c>
    </row>
    <row r="232" spans="1:19" ht="57.6" x14ac:dyDescent="0.3">
      <c r="A232" s="97">
        <v>643</v>
      </c>
      <c r="B232" s="330" t="s">
        <v>908</v>
      </c>
      <c r="D232">
        <v>0</v>
      </c>
      <c r="E232">
        <v>0</v>
      </c>
      <c r="F232">
        <v>0</v>
      </c>
      <c r="G232">
        <v>0</v>
      </c>
      <c r="H232">
        <v>0</v>
      </c>
      <c r="I232">
        <v>0</v>
      </c>
      <c r="J232">
        <v>0</v>
      </c>
      <c r="K232">
        <v>0</v>
      </c>
      <c r="L232">
        <v>0</v>
      </c>
      <c r="M232">
        <v>0</v>
      </c>
      <c r="N232">
        <v>0</v>
      </c>
      <c r="O232">
        <v>0</v>
      </c>
      <c r="P232">
        <v>0</v>
      </c>
      <c r="Q232">
        <v>0</v>
      </c>
      <c r="R232">
        <v>0</v>
      </c>
      <c r="S232">
        <v>0</v>
      </c>
    </row>
    <row r="233" spans="1:19" ht="100.8" x14ac:dyDescent="0.3">
      <c r="A233" s="97">
        <v>644</v>
      </c>
      <c r="B233" s="330" t="s">
        <v>909</v>
      </c>
      <c r="D233">
        <v>0</v>
      </c>
      <c r="E233">
        <v>0</v>
      </c>
      <c r="F233">
        <v>0</v>
      </c>
      <c r="G233">
        <v>0</v>
      </c>
      <c r="H233">
        <v>0</v>
      </c>
      <c r="I233">
        <v>0</v>
      </c>
      <c r="J233">
        <v>0</v>
      </c>
      <c r="K233">
        <v>0</v>
      </c>
      <c r="L233">
        <v>0</v>
      </c>
      <c r="M233">
        <v>0</v>
      </c>
      <c r="N233">
        <v>0</v>
      </c>
      <c r="O233">
        <v>0</v>
      </c>
      <c r="P233">
        <v>0</v>
      </c>
      <c r="Q233">
        <v>0</v>
      </c>
      <c r="R233">
        <v>0</v>
      </c>
      <c r="S233">
        <v>0</v>
      </c>
    </row>
    <row r="234" spans="1:19" ht="28.8" x14ac:dyDescent="0.3">
      <c r="A234" s="97">
        <v>645</v>
      </c>
      <c r="B234" s="330" t="s">
        <v>254</v>
      </c>
      <c r="D234">
        <v>49636</v>
      </c>
      <c r="E234">
        <v>0</v>
      </c>
      <c r="F234">
        <v>0</v>
      </c>
      <c r="G234">
        <v>0</v>
      </c>
      <c r="H234">
        <v>0</v>
      </c>
      <c r="I234">
        <v>0</v>
      </c>
      <c r="J234">
        <v>247492</v>
      </c>
      <c r="K234">
        <v>0</v>
      </c>
      <c r="L234">
        <v>0</v>
      </c>
      <c r="M234">
        <v>0</v>
      </c>
      <c r="N234">
        <v>0</v>
      </c>
      <c r="O234">
        <v>0</v>
      </c>
      <c r="P234">
        <v>0</v>
      </c>
      <c r="Q234">
        <v>780922</v>
      </c>
      <c r="R234">
        <v>0</v>
      </c>
      <c r="S234">
        <v>58485</v>
      </c>
    </row>
    <row r="235" spans="1:19" x14ac:dyDescent="0.3">
      <c r="A235" s="97">
        <v>646</v>
      </c>
      <c r="B235" s="330" t="s">
        <v>239</v>
      </c>
      <c r="D235">
        <v>568497</v>
      </c>
      <c r="E235">
        <v>621146</v>
      </c>
      <c r="F235">
        <v>-203782</v>
      </c>
      <c r="G235">
        <v>-522211</v>
      </c>
      <c r="H235">
        <v>1022259</v>
      </c>
      <c r="I235">
        <v>144363</v>
      </c>
      <c r="J235">
        <v>628747</v>
      </c>
      <c r="K235">
        <v>-804272</v>
      </c>
      <c r="L235">
        <v>-875310</v>
      </c>
      <c r="M235">
        <v>-2325</v>
      </c>
      <c r="N235">
        <v>189870</v>
      </c>
      <c r="O235">
        <v>3241662</v>
      </c>
      <c r="P235">
        <v>-552026</v>
      </c>
      <c r="Q235">
        <v>-3243122</v>
      </c>
      <c r="R235">
        <v>174749</v>
      </c>
      <c r="S235">
        <v>3350</v>
      </c>
    </row>
    <row r="236" spans="1:19" ht="28.8" x14ac:dyDescent="0.3">
      <c r="A236" s="97">
        <v>647</v>
      </c>
      <c r="B236" s="330" t="s">
        <v>487</v>
      </c>
      <c r="D236">
        <v>0</v>
      </c>
      <c r="E236">
        <v>0</v>
      </c>
      <c r="F236">
        <v>0</v>
      </c>
      <c r="G236">
        <v>0</v>
      </c>
      <c r="H236">
        <v>0</v>
      </c>
      <c r="I236">
        <v>0</v>
      </c>
      <c r="J236">
        <v>0</v>
      </c>
      <c r="K236">
        <v>0</v>
      </c>
      <c r="L236">
        <v>0</v>
      </c>
      <c r="M236">
        <v>0</v>
      </c>
      <c r="N236">
        <v>0</v>
      </c>
      <c r="O236">
        <v>0</v>
      </c>
      <c r="P236">
        <v>0</v>
      </c>
      <c r="Q236">
        <v>0</v>
      </c>
      <c r="R236">
        <v>0</v>
      </c>
      <c r="S236">
        <v>0</v>
      </c>
    </row>
    <row r="237" spans="1:19" x14ac:dyDescent="0.3">
      <c r="A237" s="97">
        <v>648</v>
      </c>
      <c r="B237" s="330" t="s">
        <v>320</v>
      </c>
      <c r="D237">
        <v>0</v>
      </c>
      <c r="E237">
        <v>0</v>
      </c>
      <c r="F237">
        <v>0</v>
      </c>
      <c r="G237">
        <v>0</v>
      </c>
      <c r="H237">
        <v>0</v>
      </c>
      <c r="I237">
        <v>0</v>
      </c>
      <c r="J237">
        <v>0</v>
      </c>
      <c r="K237">
        <v>0</v>
      </c>
      <c r="L237">
        <v>0</v>
      </c>
      <c r="M237">
        <v>0</v>
      </c>
      <c r="N237">
        <v>0</v>
      </c>
      <c r="O237">
        <v>0</v>
      </c>
      <c r="P237">
        <v>0</v>
      </c>
      <c r="Q237">
        <v>0</v>
      </c>
      <c r="R237">
        <v>0</v>
      </c>
      <c r="S237">
        <v>0</v>
      </c>
    </row>
    <row r="238" spans="1:19" ht="43.2" x14ac:dyDescent="0.3">
      <c r="A238" s="97">
        <v>654</v>
      </c>
      <c r="B238" s="330" t="s">
        <v>271</v>
      </c>
      <c r="D238">
        <v>0</v>
      </c>
      <c r="E238">
        <v>0</v>
      </c>
      <c r="F238">
        <v>0</v>
      </c>
      <c r="G238">
        <v>0</v>
      </c>
      <c r="H238">
        <v>0</v>
      </c>
      <c r="I238">
        <v>0</v>
      </c>
      <c r="J238">
        <v>0</v>
      </c>
      <c r="K238">
        <v>0</v>
      </c>
      <c r="L238">
        <v>0</v>
      </c>
      <c r="M238">
        <v>0</v>
      </c>
      <c r="N238">
        <v>0</v>
      </c>
      <c r="O238">
        <v>0</v>
      </c>
      <c r="P238">
        <v>0</v>
      </c>
      <c r="Q238">
        <v>0</v>
      </c>
      <c r="R238">
        <v>0</v>
      </c>
      <c r="S238">
        <v>0</v>
      </c>
    </row>
    <row r="239" spans="1:19" ht="28.8" x14ac:dyDescent="0.3">
      <c r="A239" s="97">
        <v>655</v>
      </c>
      <c r="B239" s="330" t="s">
        <v>488</v>
      </c>
      <c r="D239">
        <v>0</v>
      </c>
      <c r="E239">
        <v>0</v>
      </c>
      <c r="F239">
        <v>0</v>
      </c>
      <c r="G239">
        <v>0</v>
      </c>
      <c r="H239">
        <v>0</v>
      </c>
      <c r="I239">
        <v>0</v>
      </c>
      <c r="J239">
        <v>0</v>
      </c>
      <c r="K239">
        <v>0</v>
      </c>
      <c r="L239">
        <v>0</v>
      </c>
      <c r="M239">
        <v>0</v>
      </c>
      <c r="N239">
        <v>0</v>
      </c>
      <c r="O239">
        <v>0</v>
      </c>
      <c r="P239">
        <v>0</v>
      </c>
      <c r="Q239">
        <v>0</v>
      </c>
      <c r="R239">
        <v>0</v>
      </c>
      <c r="S239">
        <v>0</v>
      </c>
    </row>
    <row r="240" spans="1:19" ht="43.2" x14ac:dyDescent="0.3">
      <c r="A240" s="97">
        <v>656</v>
      </c>
      <c r="B240" s="330" t="s">
        <v>275</v>
      </c>
      <c r="D240">
        <v>0</v>
      </c>
      <c r="E240">
        <v>0</v>
      </c>
      <c r="F240">
        <v>0</v>
      </c>
      <c r="G240">
        <v>0</v>
      </c>
      <c r="H240">
        <v>0</v>
      </c>
      <c r="I240">
        <v>0</v>
      </c>
      <c r="J240">
        <v>0</v>
      </c>
      <c r="K240">
        <v>0</v>
      </c>
      <c r="L240">
        <v>0</v>
      </c>
      <c r="M240">
        <v>0</v>
      </c>
      <c r="N240">
        <v>0</v>
      </c>
      <c r="O240">
        <v>0</v>
      </c>
      <c r="P240">
        <v>0</v>
      </c>
      <c r="Q240">
        <v>0</v>
      </c>
      <c r="R240">
        <v>0</v>
      </c>
      <c r="S240">
        <v>0</v>
      </c>
    </row>
    <row r="241" spans="1:19" ht="43.2" x14ac:dyDescent="0.3">
      <c r="A241" s="97">
        <v>657</v>
      </c>
      <c r="B241" s="330" t="s">
        <v>489</v>
      </c>
      <c r="D241">
        <v>0</v>
      </c>
      <c r="E241">
        <v>0</v>
      </c>
      <c r="F241">
        <v>0</v>
      </c>
      <c r="G241">
        <v>0</v>
      </c>
      <c r="H241">
        <v>0</v>
      </c>
      <c r="I241">
        <v>0</v>
      </c>
      <c r="J241">
        <v>0</v>
      </c>
      <c r="K241">
        <v>0</v>
      </c>
      <c r="L241">
        <v>0</v>
      </c>
      <c r="M241">
        <v>0</v>
      </c>
      <c r="N241">
        <v>0</v>
      </c>
      <c r="O241">
        <v>0</v>
      </c>
      <c r="P241">
        <v>0</v>
      </c>
      <c r="Q241">
        <v>0</v>
      </c>
      <c r="R241">
        <v>0</v>
      </c>
      <c r="S241">
        <v>0</v>
      </c>
    </row>
    <row r="242" spans="1:19" ht="28.8" x14ac:dyDescent="0.3">
      <c r="A242" s="97">
        <v>658</v>
      </c>
      <c r="B242" s="330" t="s">
        <v>490</v>
      </c>
      <c r="D242">
        <v>0</v>
      </c>
      <c r="E242">
        <v>0</v>
      </c>
      <c r="F242">
        <v>0</v>
      </c>
      <c r="G242">
        <v>0</v>
      </c>
      <c r="H242">
        <v>0</v>
      </c>
      <c r="I242">
        <v>0</v>
      </c>
      <c r="J242">
        <v>0</v>
      </c>
      <c r="K242">
        <v>0</v>
      </c>
      <c r="L242">
        <v>0</v>
      </c>
      <c r="M242">
        <v>0</v>
      </c>
      <c r="N242">
        <v>0</v>
      </c>
      <c r="O242">
        <v>0</v>
      </c>
      <c r="P242">
        <v>0</v>
      </c>
      <c r="Q242">
        <v>0</v>
      </c>
      <c r="R242">
        <v>0</v>
      </c>
      <c r="S242">
        <v>0</v>
      </c>
    </row>
    <row r="243" spans="1:19" x14ac:dyDescent="0.3">
      <c r="A243" s="97">
        <v>659</v>
      </c>
      <c r="B243" s="330" t="s">
        <v>491</v>
      </c>
      <c r="D243">
        <v>0</v>
      </c>
      <c r="E243">
        <v>0</v>
      </c>
      <c r="F243">
        <v>334215</v>
      </c>
      <c r="G243">
        <v>480412</v>
      </c>
      <c r="H243">
        <v>250202</v>
      </c>
      <c r="I243">
        <v>1745998</v>
      </c>
      <c r="J243">
        <v>0</v>
      </c>
      <c r="K243">
        <v>0</v>
      </c>
      <c r="L243">
        <v>0</v>
      </c>
      <c r="M243">
        <v>345988</v>
      </c>
      <c r="N243">
        <v>0</v>
      </c>
      <c r="O243">
        <v>0</v>
      </c>
      <c r="P243">
        <v>0</v>
      </c>
      <c r="Q243">
        <v>2560170</v>
      </c>
      <c r="R243">
        <v>0</v>
      </c>
      <c r="S243">
        <v>379056</v>
      </c>
    </row>
    <row r="244" spans="1:19" ht="28.8" x14ac:dyDescent="0.3">
      <c r="A244" s="97">
        <v>660</v>
      </c>
      <c r="B244" s="330" t="s">
        <v>492</v>
      </c>
      <c r="D244">
        <v>0</v>
      </c>
      <c r="E244">
        <v>0</v>
      </c>
      <c r="F244">
        <v>0</v>
      </c>
      <c r="G244">
        <v>711437</v>
      </c>
      <c r="H244">
        <v>0</v>
      </c>
      <c r="I244">
        <v>10479</v>
      </c>
      <c r="J244">
        <v>0</v>
      </c>
      <c r="K244">
        <v>0</v>
      </c>
      <c r="L244">
        <v>0</v>
      </c>
      <c r="M244">
        <v>0</v>
      </c>
      <c r="N244">
        <v>0</v>
      </c>
      <c r="O244">
        <v>0</v>
      </c>
      <c r="P244">
        <v>0</v>
      </c>
      <c r="Q244">
        <v>264356</v>
      </c>
      <c r="R244">
        <v>0</v>
      </c>
      <c r="S244">
        <v>172921</v>
      </c>
    </row>
    <row r="245" spans="1:19" ht="28.8" x14ac:dyDescent="0.3">
      <c r="A245" s="97">
        <v>661</v>
      </c>
      <c r="B245" s="330" t="s">
        <v>274</v>
      </c>
      <c r="D245">
        <v>0</v>
      </c>
      <c r="E245">
        <v>0</v>
      </c>
      <c r="F245">
        <v>0</v>
      </c>
      <c r="G245">
        <v>148.1</v>
      </c>
      <c r="H245">
        <v>0</v>
      </c>
      <c r="I245">
        <v>0.6</v>
      </c>
      <c r="J245">
        <v>0</v>
      </c>
      <c r="K245">
        <v>0</v>
      </c>
      <c r="L245">
        <v>0</v>
      </c>
      <c r="M245">
        <v>0</v>
      </c>
      <c r="N245">
        <v>0</v>
      </c>
      <c r="O245">
        <v>0</v>
      </c>
      <c r="P245">
        <v>0</v>
      </c>
      <c r="Q245">
        <v>10.3</v>
      </c>
      <c r="R245">
        <v>0</v>
      </c>
      <c r="S245">
        <v>45.6</v>
      </c>
    </row>
    <row r="246" spans="1:19" ht="28.8" x14ac:dyDescent="0.3">
      <c r="A246" s="97">
        <v>662</v>
      </c>
      <c r="B246" s="330" t="s">
        <v>290</v>
      </c>
      <c r="D246">
        <v>0</v>
      </c>
      <c r="E246">
        <v>0</v>
      </c>
      <c r="F246">
        <v>0</v>
      </c>
      <c r="G246">
        <v>0</v>
      </c>
      <c r="H246">
        <v>0</v>
      </c>
      <c r="I246">
        <v>0</v>
      </c>
      <c r="J246">
        <v>0</v>
      </c>
      <c r="K246">
        <v>0</v>
      </c>
      <c r="L246">
        <v>0</v>
      </c>
      <c r="M246">
        <v>0</v>
      </c>
      <c r="N246">
        <v>0</v>
      </c>
      <c r="O246">
        <v>262649</v>
      </c>
      <c r="P246">
        <v>0</v>
      </c>
      <c r="Q246">
        <v>0</v>
      </c>
      <c r="R246">
        <v>0</v>
      </c>
      <c r="S246">
        <v>0</v>
      </c>
    </row>
    <row r="247" spans="1:19" ht="28.8" x14ac:dyDescent="0.3">
      <c r="A247" s="97">
        <v>663</v>
      </c>
      <c r="B247" s="330" t="s">
        <v>493</v>
      </c>
      <c r="D247">
        <v>44005</v>
      </c>
      <c r="E247">
        <v>935238</v>
      </c>
      <c r="F247">
        <v>3723329</v>
      </c>
      <c r="G247">
        <v>1545323</v>
      </c>
      <c r="H247">
        <v>712920</v>
      </c>
      <c r="I247">
        <v>555111</v>
      </c>
      <c r="J247">
        <v>0</v>
      </c>
      <c r="K247">
        <v>402933</v>
      </c>
      <c r="L247">
        <v>695796</v>
      </c>
      <c r="M247">
        <v>999872</v>
      </c>
      <c r="N247">
        <v>1017528</v>
      </c>
      <c r="O247">
        <v>3317721</v>
      </c>
      <c r="P247">
        <v>1753983</v>
      </c>
      <c r="Q247">
        <v>2996405</v>
      </c>
      <c r="R247">
        <v>239877</v>
      </c>
      <c r="S247">
        <v>1411632</v>
      </c>
    </row>
    <row r="248" spans="1:19" ht="28.8" x14ac:dyDescent="0.3">
      <c r="A248" s="97">
        <v>906</v>
      </c>
      <c r="B248" s="330" t="s">
        <v>494</v>
      </c>
      <c r="D248">
        <v>1</v>
      </c>
      <c r="E248">
        <v>1</v>
      </c>
      <c r="F248">
        <v>1</v>
      </c>
      <c r="G248">
        <v>1</v>
      </c>
      <c r="H248">
        <v>1</v>
      </c>
      <c r="I248">
        <v>1</v>
      </c>
      <c r="J248">
        <v>1</v>
      </c>
      <c r="K248">
        <v>1</v>
      </c>
      <c r="L248">
        <v>1</v>
      </c>
      <c r="M248">
        <v>1</v>
      </c>
      <c r="N248">
        <v>1</v>
      </c>
      <c r="O248">
        <v>1</v>
      </c>
      <c r="P248">
        <v>1</v>
      </c>
      <c r="Q248">
        <v>1</v>
      </c>
      <c r="R248">
        <v>1</v>
      </c>
      <c r="S248">
        <v>1</v>
      </c>
    </row>
    <row r="249" spans="1:19" ht="28.8" x14ac:dyDescent="0.3">
      <c r="A249" s="97">
        <v>907</v>
      </c>
      <c r="B249" s="330" t="s">
        <v>495</v>
      </c>
      <c r="D249">
        <v>2</v>
      </c>
      <c r="E249">
        <v>1</v>
      </c>
      <c r="F249">
        <v>2</v>
      </c>
      <c r="G249">
        <v>2</v>
      </c>
      <c r="H249">
        <v>2</v>
      </c>
      <c r="I249">
        <v>2</v>
      </c>
      <c r="J249">
        <v>2</v>
      </c>
      <c r="K249">
        <v>2</v>
      </c>
      <c r="L249">
        <v>2</v>
      </c>
      <c r="M249">
        <v>2</v>
      </c>
      <c r="N249">
        <v>2</v>
      </c>
      <c r="O249">
        <v>2</v>
      </c>
      <c r="P249">
        <v>2</v>
      </c>
      <c r="Q249">
        <v>2</v>
      </c>
      <c r="R249">
        <v>2</v>
      </c>
      <c r="S249">
        <v>2</v>
      </c>
    </row>
    <row r="250" spans="1:19" ht="57.6" x14ac:dyDescent="0.3">
      <c r="A250" s="97">
        <v>947</v>
      </c>
      <c r="B250" s="330" t="s">
        <v>496</v>
      </c>
      <c r="D250" t="s">
        <v>616</v>
      </c>
      <c r="E250" t="s">
        <v>617</v>
      </c>
      <c r="F250" t="s">
        <v>618</v>
      </c>
      <c r="G250" t="s">
        <v>256</v>
      </c>
      <c r="H250" t="s">
        <v>619</v>
      </c>
      <c r="I250" t="s">
        <v>620</v>
      </c>
      <c r="J250" t="s">
        <v>256</v>
      </c>
      <c r="K250" t="s">
        <v>621</v>
      </c>
      <c r="L250" t="s">
        <v>622</v>
      </c>
      <c r="M250" t="s">
        <v>560</v>
      </c>
      <c r="N250" t="s">
        <v>714</v>
      </c>
      <c r="O250" t="s">
        <v>623</v>
      </c>
      <c r="P250" t="s">
        <v>624</v>
      </c>
      <c r="Q250" t="s">
        <v>625</v>
      </c>
      <c r="R250" t="s">
        <v>626</v>
      </c>
      <c r="S250" t="s">
        <v>627</v>
      </c>
    </row>
    <row r="251" spans="1:19" ht="57.6" x14ac:dyDescent="0.3">
      <c r="A251" s="97">
        <v>948</v>
      </c>
      <c r="B251" s="330" t="s">
        <v>497</v>
      </c>
      <c r="D251" t="s">
        <v>628</v>
      </c>
      <c r="E251" t="s">
        <v>629</v>
      </c>
      <c r="F251" t="s">
        <v>630</v>
      </c>
      <c r="G251" t="s">
        <v>633</v>
      </c>
      <c r="H251" t="s">
        <v>631</v>
      </c>
      <c r="I251" t="s">
        <v>632</v>
      </c>
      <c r="J251" t="s">
        <v>633</v>
      </c>
      <c r="K251" t="s">
        <v>634</v>
      </c>
      <c r="L251" t="s">
        <v>635</v>
      </c>
      <c r="M251" t="s">
        <v>636</v>
      </c>
      <c r="N251" t="s">
        <v>715</v>
      </c>
      <c r="O251" t="s">
        <v>637</v>
      </c>
      <c r="P251" t="s">
        <v>638</v>
      </c>
      <c r="Q251" t="s">
        <v>639</v>
      </c>
      <c r="R251" t="s">
        <v>640</v>
      </c>
      <c r="S251" t="s">
        <v>576</v>
      </c>
    </row>
    <row r="252" spans="1:19" ht="43.2" x14ac:dyDescent="0.3">
      <c r="A252" s="97">
        <v>949</v>
      </c>
      <c r="B252" s="330" t="s">
        <v>498</v>
      </c>
      <c r="D252" t="s">
        <v>268</v>
      </c>
      <c r="E252" t="s">
        <v>268</v>
      </c>
      <c r="F252" t="s">
        <v>268</v>
      </c>
      <c r="G252" t="s">
        <v>268</v>
      </c>
      <c r="H252" t="s">
        <v>268</v>
      </c>
      <c r="I252" t="s">
        <v>268</v>
      </c>
      <c r="J252" t="s">
        <v>268</v>
      </c>
      <c r="K252" t="s">
        <v>268</v>
      </c>
      <c r="L252" t="s">
        <v>268</v>
      </c>
      <c r="M252" t="s">
        <v>268</v>
      </c>
      <c r="N252" t="s">
        <v>283</v>
      </c>
      <c r="O252" t="s">
        <v>268</v>
      </c>
      <c r="P252" t="s">
        <v>268</v>
      </c>
      <c r="Q252" t="s">
        <v>268</v>
      </c>
      <c r="R252" t="s">
        <v>268</v>
      </c>
      <c r="S252" t="s">
        <v>268</v>
      </c>
    </row>
    <row r="253" spans="1:19" ht="57.6" x14ac:dyDescent="0.3">
      <c r="A253" s="97">
        <v>950</v>
      </c>
      <c r="B253" s="330" t="s">
        <v>499</v>
      </c>
      <c r="D253" t="s">
        <v>17</v>
      </c>
      <c r="E253" t="s">
        <v>17</v>
      </c>
      <c r="F253" t="s">
        <v>17</v>
      </c>
      <c r="G253" t="s">
        <v>17</v>
      </c>
      <c r="H253" t="s">
        <v>17</v>
      </c>
      <c r="I253" t="s">
        <v>17</v>
      </c>
      <c r="J253" t="s">
        <v>17</v>
      </c>
      <c r="K253" t="s">
        <v>17</v>
      </c>
      <c r="L253" t="s">
        <v>17</v>
      </c>
      <c r="M253" t="s">
        <v>17</v>
      </c>
      <c r="N253" t="s">
        <v>17</v>
      </c>
      <c r="O253" t="s">
        <v>17</v>
      </c>
      <c r="P253" t="s">
        <v>17</v>
      </c>
      <c r="Q253" t="s">
        <v>17</v>
      </c>
      <c r="R253" t="s">
        <v>17</v>
      </c>
      <c r="S253" t="s">
        <v>17</v>
      </c>
    </row>
    <row r="254" spans="1:19" ht="43.2" x14ac:dyDescent="0.3">
      <c r="A254" s="97">
        <v>951</v>
      </c>
      <c r="B254" s="330" t="s">
        <v>500</v>
      </c>
      <c r="D254">
        <v>2</v>
      </c>
      <c r="E254">
        <v>2</v>
      </c>
      <c r="F254">
        <v>2</v>
      </c>
      <c r="G254">
        <v>2</v>
      </c>
      <c r="H254">
        <v>2</v>
      </c>
      <c r="I254">
        <v>2</v>
      </c>
      <c r="J254">
        <v>2</v>
      </c>
      <c r="K254">
        <v>2</v>
      </c>
      <c r="L254">
        <v>2</v>
      </c>
      <c r="M254">
        <v>2</v>
      </c>
      <c r="N254">
        <v>2</v>
      </c>
      <c r="O254">
        <v>2</v>
      </c>
      <c r="P254">
        <v>2</v>
      </c>
      <c r="Q254">
        <v>2</v>
      </c>
      <c r="R254">
        <v>2</v>
      </c>
      <c r="S254">
        <v>2</v>
      </c>
    </row>
    <row r="255" spans="1:19" ht="86.4" x14ac:dyDescent="0.3">
      <c r="A255" s="97">
        <v>952</v>
      </c>
      <c r="B255" s="330" t="s">
        <v>501</v>
      </c>
      <c r="D255" t="s">
        <v>641</v>
      </c>
      <c r="E255" t="s">
        <v>642</v>
      </c>
      <c r="F255" t="s">
        <v>643</v>
      </c>
      <c r="H255" t="s">
        <v>644</v>
      </c>
      <c r="I255" t="s">
        <v>645</v>
      </c>
      <c r="J255" t="s">
        <v>561</v>
      </c>
      <c r="K255" t="s">
        <v>646</v>
      </c>
      <c r="L255" t="s">
        <v>647</v>
      </c>
      <c r="M255" t="s">
        <v>648</v>
      </c>
      <c r="N255" t="s">
        <v>910</v>
      </c>
      <c r="O255" t="s">
        <v>502</v>
      </c>
      <c r="P255" t="s">
        <v>502</v>
      </c>
      <c r="Q255" t="s">
        <v>586</v>
      </c>
      <c r="R255" t="s">
        <v>649</v>
      </c>
      <c r="S255" t="s">
        <v>567</v>
      </c>
    </row>
    <row r="256" spans="1:19" ht="28.8" x14ac:dyDescent="0.3">
      <c r="A256" s="97">
        <v>953</v>
      </c>
      <c r="B256" s="330" t="s">
        <v>503</v>
      </c>
      <c r="D256">
        <v>2</v>
      </c>
      <c r="E256">
        <v>2</v>
      </c>
      <c r="F256">
        <v>2</v>
      </c>
      <c r="G256">
        <v>2</v>
      </c>
      <c r="H256">
        <v>2</v>
      </c>
      <c r="I256">
        <v>2</v>
      </c>
      <c r="J256">
        <v>2</v>
      </c>
      <c r="K256">
        <v>2</v>
      </c>
      <c r="L256">
        <v>2</v>
      </c>
      <c r="M256">
        <v>2</v>
      </c>
      <c r="N256">
        <v>2</v>
      </c>
      <c r="O256">
        <v>2</v>
      </c>
      <c r="P256">
        <v>2</v>
      </c>
      <c r="Q256">
        <v>2</v>
      </c>
      <c r="R256">
        <v>2</v>
      </c>
      <c r="S256">
        <v>2</v>
      </c>
    </row>
    <row r="257" spans="1:19" ht="86.4" x14ac:dyDescent="0.3">
      <c r="A257" s="97">
        <v>954</v>
      </c>
      <c r="B257" s="330" t="s">
        <v>266</v>
      </c>
      <c r="D257" t="s">
        <v>17</v>
      </c>
      <c r="E257" t="s">
        <v>17</v>
      </c>
      <c r="F257" t="s">
        <v>17</v>
      </c>
      <c r="G257" t="s">
        <v>17</v>
      </c>
      <c r="H257" t="s">
        <v>17</v>
      </c>
      <c r="I257" t="s">
        <v>17</v>
      </c>
      <c r="J257" t="s">
        <v>17</v>
      </c>
      <c r="K257" t="s">
        <v>17</v>
      </c>
      <c r="L257" t="s">
        <v>17</v>
      </c>
      <c r="M257" t="s">
        <v>17</v>
      </c>
      <c r="N257" t="s">
        <v>17</v>
      </c>
      <c r="O257" t="s">
        <v>17</v>
      </c>
      <c r="P257" t="s">
        <v>17</v>
      </c>
      <c r="Q257" t="s">
        <v>17</v>
      </c>
      <c r="R257" t="s">
        <v>17</v>
      </c>
      <c r="S257" t="s">
        <v>17</v>
      </c>
    </row>
    <row r="258" spans="1:19" ht="43.2" x14ac:dyDescent="0.3">
      <c r="A258" s="97">
        <v>955</v>
      </c>
      <c r="B258" s="330" t="s">
        <v>504</v>
      </c>
      <c r="D258">
        <v>0</v>
      </c>
      <c r="E258">
        <v>1</v>
      </c>
      <c r="F258">
        <v>0</v>
      </c>
      <c r="G258">
        <v>2</v>
      </c>
      <c r="H258">
        <v>0</v>
      </c>
      <c r="I258">
        <v>0</v>
      </c>
      <c r="J258">
        <v>0</v>
      </c>
      <c r="K258">
        <v>0</v>
      </c>
      <c r="L258">
        <v>0</v>
      </c>
      <c r="M258">
        <v>0</v>
      </c>
      <c r="N258">
        <v>1</v>
      </c>
      <c r="O258">
        <v>0</v>
      </c>
      <c r="P258">
        <v>0</v>
      </c>
      <c r="Q258">
        <v>0</v>
      </c>
      <c r="R258">
        <v>0</v>
      </c>
      <c r="S258">
        <v>0</v>
      </c>
    </row>
    <row r="259" spans="1:19" ht="86.4" x14ac:dyDescent="0.3">
      <c r="A259" s="97">
        <v>956</v>
      </c>
      <c r="B259" s="330" t="s">
        <v>267</v>
      </c>
      <c r="D259" t="s">
        <v>17</v>
      </c>
      <c r="E259" t="s">
        <v>17</v>
      </c>
      <c r="F259" t="s">
        <v>17</v>
      </c>
      <c r="G259" t="s">
        <v>17</v>
      </c>
      <c r="H259" t="s">
        <v>17</v>
      </c>
      <c r="I259" t="s">
        <v>17</v>
      </c>
      <c r="J259" t="s">
        <v>17</v>
      </c>
      <c r="K259" t="s">
        <v>17</v>
      </c>
      <c r="L259" t="s">
        <v>17</v>
      </c>
      <c r="M259" t="s">
        <v>17</v>
      </c>
      <c r="N259" t="s">
        <v>17</v>
      </c>
      <c r="O259" t="s">
        <v>17</v>
      </c>
      <c r="P259" t="s">
        <v>17</v>
      </c>
      <c r="Q259" t="s">
        <v>17</v>
      </c>
      <c r="R259" t="s">
        <v>17</v>
      </c>
      <c r="S259" t="s">
        <v>17</v>
      </c>
    </row>
    <row r="260" spans="1:19" ht="43.2" x14ac:dyDescent="0.3">
      <c r="A260" s="97">
        <v>957</v>
      </c>
      <c r="B260" s="330" t="s">
        <v>505</v>
      </c>
      <c r="D260">
        <v>0</v>
      </c>
      <c r="E260">
        <v>0</v>
      </c>
      <c r="F260">
        <v>0</v>
      </c>
      <c r="G260">
        <v>2</v>
      </c>
      <c r="H260">
        <v>0</v>
      </c>
      <c r="I260">
        <v>0</v>
      </c>
      <c r="J260">
        <v>0</v>
      </c>
      <c r="K260">
        <v>0</v>
      </c>
      <c r="L260">
        <v>0</v>
      </c>
      <c r="M260">
        <v>0</v>
      </c>
      <c r="N260">
        <v>8</v>
      </c>
      <c r="O260">
        <v>0</v>
      </c>
      <c r="P260">
        <v>0</v>
      </c>
      <c r="Q260">
        <v>0</v>
      </c>
      <c r="R260">
        <v>0</v>
      </c>
      <c r="S260">
        <v>0</v>
      </c>
    </row>
    <row r="261" spans="1:19" ht="115.2" x14ac:dyDescent="0.3">
      <c r="A261" s="97">
        <v>958</v>
      </c>
      <c r="B261" s="330" t="s">
        <v>506</v>
      </c>
      <c r="D261" t="s">
        <v>17</v>
      </c>
      <c r="E261" t="s">
        <v>17</v>
      </c>
      <c r="F261" t="s">
        <v>17</v>
      </c>
      <c r="G261" t="s">
        <v>17</v>
      </c>
      <c r="H261" t="s">
        <v>17</v>
      </c>
      <c r="I261" t="s">
        <v>17</v>
      </c>
      <c r="J261" t="s">
        <v>17</v>
      </c>
      <c r="K261" t="s">
        <v>17</v>
      </c>
      <c r="L261" t="s">
        <v>17</v>
      </c>
      <c r="M261" t="s">
        <v>17</v>
      </c>
      <c r="N261" t="s">
        <v>17</v>
      </c>
      <c r="O261" t="s">
        <v>17</v>
      </c>
      <c r="P261" t="s">
        <v>17</v>
      </c>
      <c r="Q261" t="s">
        <v>17</v>
      </c>
      <c r="R261" t="s">
        <v>17</v>
      </c>
      <c r="S261" t="s">
        <v>17</v>
      </c>
    </row>
    <row r="262" spans="1:19" ht="72" x14ac:dyDescent="0.3">
      <c r="A262" s="97">
        <v>959</v>
      </c>
      <c r="B262" s="330" t="s">
        <v>507</v>
      </c>
      <c r="D262">
        <v>3</v>
      </c>
      <c r="E262">
        <v>3</v>
      </c>
      <c r="F262">
        <v>2</v>
      </c>
      <c r="G262">
        <v>3</v>
      </c>
      <c r="H262">
        <v>3</v>
      </c>
      <c r="I262">
        <v>2</v>
      </c>
      <c r="J262">
        <v>2</v>
      </c>
      <c r="K262">
        <v>2</v>
      </c>
      <c r="L262">
        <v>3</v>
      </c>
      <c r="M262">
        <v>2</v>
      </c>
      <c r="N262">
        <v>3</v>
      </c>
      <c r="O262">
        <v>2</v>
      </c>
      <c r="P262">
        <v>2</v>
      </c>
      <c r="Q262">
        <v>2</v>
      </c>
      <c r="R262">
        <v>3</v>
      </c>
      <c r="S262">
        <v>2</v>
      </c>
    </row>
    <row r="263" spans="1:19" ht="28.8" x14ac:dyDescent="0.3">
      <c r="A263" s="97">
        <v>960</v>
      </c>
      <c r="B263" s="330" t="s">
        <v>508</v>
      </c>
      <c r="D263" t="s">
        <v>650</v>
      </c>
      <c r="E263" t="s">
        <v>651</v>
      </c>
      <c r="F263" t="s">
        <v>652</v>
      </c>
      <c r="G263" t="s">
        <v>839</v>
      </c>
      <c r="H263" t="s">
        <v>653</v>
      </c>
      <c r="I263" t="s">
        <v>654</v>
      </c>
      <c r="J263" t="s">
        <v>655</v>
      </c>
      <c r="K263" t="s">
        <v>656</v>
      </c>
      <c r="L263" t="s">
        <v>657</v>
      </c>
      <c r="M263" t="s">
        <v>658</v>
      </c>
      <c r="N263" t="s">
        <v>716</v>
      </c>
      <c r="O263" t="s">
        <v>659</v>
      </c>
      <c r="P263" t="s">
        <v>660</v>
      </c>
      <c r="Q263" t="s">
        <v>661</v>
      </c>
      <c r="R263" t="s">
        <v>662</v>
      </c>
      <c r="S263" t="s">
        <v>663</v>
      </c>
    </row>
    <row r="264" spans="1:19" ht="28.8" x14ac:dyDescent="0.3">
      <c r="A264" s="97">
        <v>962</v>
      </c>
      <c r="B264" s="330" t="s">
        <v>509</v>
      </c>
      <c r="D264" t="s">
        <v>511</v>
      </c>
      <c r="E264" t="s">
        <v>510</v>
      </c>
      <c r="F264" t="s">
        <v>664</v>
      </c>
      <c r="G264" t="s">
        <v>511</v>
      </c>
      <c r="H264" t="s">
        <v>511</v>
      </c>
      <c r="I264" t="s">
        <v>665</v>
      </c>
      <c r="J264" t="s">
        <v>511</v>
      </c>
      <c r="K264" t="s">
        <v>511</v>
      </c>
      <c r="L264" t="s">
        <v>511</v>
      </c>
      <c r="M264" t="s">
        <v>510</v>
      </c>
      <c r="N264" t="s">
        <v>911</v>
      </c>
      <c r="O264" t="s">
        <v>664</v>
      </c>
      <c r="P264" t="s">
        <v>511</v>
      </c>
      <c r="Q264" t="s">
        <v>510</v>
      </c>
      <c r="R264" t="s">
        <v>510</v>
      </c>
      <c r="S264" t="s">
        <v>510</v>
      </c>
    </row>
    <row r="265" spans="1:19" ht="28.8" x14ac:dyDescent="0.3">
      <c r="A265" s="97">
        <v>964</v>
      </c>
      <c r="B265" s="330" t="s">
        <v>512</v>
      </c>
      <c r="D265" t="s">
        <v>562</v>
      </c>
      <c r="E265" t="s">
        <v>666</v>
      </c>
      <c r="F265" t="s">
        <v>666</v>
      </c>
      <c r="G265" t="s">
        <v>835</v>
      </c>
      <c r="H265" t="s">
        <v>667</v>
      </c>
      <c r="I265" t="s">
        <v>514</v>
      </c>
      <c r="J265" t="s">
        <v>587</v>
      </c>
      <c r="K265" t="s">
        <v>668</v>
      </c>
      <c r="L265" t="s">
        <v>513</v>
      </c>
      <c r="M265" t="s">
        <v>669</v>
      </c>
      <c r="N265" t="s">
        <v>910</v>
      </c>
      <c r="O265" t="s">
        <v>670</v>
      </c>
      <c r="P265" t="s">
        <v>671</v>
      </c>
      <c r="Q265" t="s">
        <v>672</v>
      </c>
      <c r="R265" t="s">
        <v>673</v>
      </c>
      <c r="S265" t="s">
        <v>674</v>
      </c>
    </row>
    <row r="266" spans="1:19" ht="28.8" x14ac:dyDescent="0.3">
      <c r="A266" s="97">
        <v>965</v>
      </c>
      <c r="B266" s="330" t="s">
        <v>515</v>
      </c>
      <c r="D266">
        <v>0</v>
      </c>
      <c r="E266">
        <v>0</v>
      </c>
      <c r="F266">
        <v>0</v>
      </c>
      <c r="G266">
        <v>0</v>
      </c>
      <c r="H266">
        <v>0</v>
      </c>
      <c r="I266">
        <v>0</v>
      </c>
      <c r="J266">
        <v>0</v>
      </c>
      <c r="K266">
        <v>0</v>
      </c>
      <c r="L266">
        <v>0</v>
      </c>
      <c r="M266">
        <v>0</v>
      </c>
      <c r="N266">
        <v>0</v>
      </c>
      <c r="O266">
        <v>0</v>
      </c>
      <c r="P266">
        <v>0</v>
      </c>
      <c r="Q266">
        <v>0</v>
      </c>
      <c r="R266">
        <v>0</v>
      </c>
      <c r="S266">
        <v>0</v>
      </c>
    </row>
    <row r="267" spans="1:19" ht="28.8" x14ac:dyDescent="0.3">
      <c r="A267" s="97">
        <v>966</v>
      </c>
      <c r="B267" s="330" t="s">
        <v>516</v>
      </c>
      <c r="D267" t="s">
        <v>675</v>
      </c>
      <c r="E267" t="s">
        <v>676</v>
      </c>
      <c r="F267" t="s">
        <v>677</v>
      </c>
      <c r="G267" t="s">
        <v>854</v>
      </c>
      <c r="H267" t="s">
        <v>678</v>
      </c>
      <c r="I267" t="s">
        <v>679</v>
      </c>
      <c r="J267" t="s">
        <v>680</v>
      </c>
      <c r="K267" t="s">
        <v>681</v>
      </c>
      <c r="L267" t="s">
        <v>682</v>
      </c>
      <c r="M267" t="s">
        <v>683</v>
      </c>
      <c r="N267" t="s">
        <v>912</v>
      </c>
      <c r="O267" t="s">
        <v>684</v>
      </c>
      <c r="P267" t="s">
        <v>685</v>
      </c>
      <c r="Q267" t="s">
        <v>686</v>
      </c>
      <c r="R267" t="s">
        <v>687</v>
      </c>
      <c r="S267" t="s">
        <v>688</v>
      </c>
    </row>
    <row r="268" spans="1:19" ht="28.8" x14ac:dyDescent="0.3">
      <c r="A268" s="97">
        <v>968</v>
      </c>
      <c r="B268" s="330" t="s">
        <v>517</v>
      </c>
      <c r="D268" t="s">
        <v>689</v>
      </c>
      <c r="E268" t="s">
        <v>690</v>
      </c>
      <c r="F268" t="s">
        <v>691</v>
      </c>
      <c r="G268" t="s">
        <v>861</v>
      </c>
      <c r="H268" t="s">
        <v>692</v>
      </c>
      <c r="I268" t="s">
        <v>693</v>
      </c>
      <c r="J268" t="s">
        <v>694</v>
      </c>
      <c r="K268" t="s">
        <v>695</v>
      </c>
      <c r="L268" t="s">
        <v>696</v>
      </c>
      <c r="M268" t="s">
        <v>697</v>
      </c>
      <c r="N268" t="s">
        <v>713</v>
      </c>
      <c r="O268" t="s">
        <v>698</v>
      </c>
      <c r="P268" t="s">
        <v>699</v>
      </c>
      <c r="Q268" t="s">
        <v>700</v>
      </c>
      <c r="R268" t="s">
        <v>701</v>
      </c>
      <c r="S268" t="s">
        <v>702</v>
      </c>
    </row>
    <row r="269" spans="1:19" ht="28.8" x14ac:dyDescent="0.3">
      <c r="A269" s="97">
        <v>973</v>
      </c>
      <c r="B269" s="330" t="s">
        <v>327</v>
      </c>
      <c r="D269">
        <v>0</v>
      </c>
      <c r="E269">
        <v>0</v>
      </c>
      <c r="F269">
        <v>0</v>
      </c>
      <c r="G269">
        <v>0</v>
      </c>
      <c r="H269">
        <v>0</v>
      </c>
      <c r="I269">
        <v>0</v>
      </c>
      <c r="J269">
        <v>0</v>
      </c>
      <c r="K269">
        <v>0</v>
      </c>
      <c r="L269">
        <v>0</v>
      </c>
      <c r="M269">
        <v>0</v>
      </c>
      <c r="N269">
        <v>0</v>
      </c>
      <c r="O269">
        <v>0</v>
      </c>
      <c r="P269">
        <v>0</v>
      </c>
      <c r="Q269">
        <v>0</v>
      </c>
      <c r="R269">
        <v>0</v>
      </c>
      <c r="S269">
        <v>0</v>
      </c>
    </row>
    <row r="270" spans="1:19" ht="129.6" x14ac:dyDescent="0.3">
      <c r="A270" s="97">
        <v>974</v>
      </c>
      <c r="B270" s="330" t="s">
        <v>518</v>
      </c>
      <c r="D270">
        <v>3</v>
      </c>
      <c r="E270">
        <v>3</v>
      </c>
      <c r="F270">
        <v>3</v>
      </c>
      <c r="G270">
        <v>3</v>
      </c>
      <c r="H270">
        <v>3</v>
      </c>
      <c r="I270">
        <v>2</v>
      </c>
      <c r="J270">
        <v>2</v>
      </c>
      <c r="K270">
        <v>2</v>
      </c>
      <c r="L270">
        <v>3</v>
      </c>
      <c r="M270">
        <v>2</v>
      </c>
      <c r="N270">
        <v>3</v>
      </c>
      <c r="O270">
        <v>3</v>
      </c>
      <c r="P270">
        <v>2</v>
      </c>
      <c r="Q270">
        <v>2</v>
      </c>
      <c r="R270">
        <v>2</v>
      </c>
      <c r="S270">
        <v>2</v>
      </c>
    </row>
    <row r="271" spans="1:19" ht="43.2" x14ac:dyDescent="0.3">
      <c r="A271" s="97">
        <v>975</v>
      </c>
      <c r="B271" s="330" t="s">
        <v>319</v>
      </c>
      <c r="D271">
        <v>2</v>
      </c>
      <c r="E271">
        <v>1</v>
      </c>
      <c r="F271">
        <v>2</v>
      </c>
      <c r="G271">
        <v>1</v>
      </c>
      <c r="H271">
        <v>2</v>
      </c>
      <c r="I271">
        <v>2</v>
      </c>
      <c r="J271">
        <v>2</v>
      </c>
      <c r="K271">
        <v>2</v>
      </c>
      <c r="L271">
        <v>2</v>
      </c>
      <c r="M271">
        <v>1</v>
      </c>
      <c r="N271">
        <v>1</v>
      </c>
      <c r="O271">
        <v>1</v>
      </c>
      <c r="P271">
        <v>2</v>
      </c>
      <c r="Q271">
        <v>1</v>
      </c>
      <c r="R271">
        <v>2</v>
      </c>
      <c r="S271">
        <v>2</v>
      </c>
    </row>
    <row r="272" spans="1:19" ht="57.6" x14ac:dyDescent="0.3">
      <c r="A272" s="97">
        <v>976</v>
      </c>
      <c r="B272" s="330" t="s">
        <v>328</v>
      </c>
      <c r="D272">
        <v>3</v>
      </c>
      <c r="E272">
        <v>1</v>
      </c>
      <c r="F272">
        <v>3</v>
      </c>
      <c r="G272">
        <v>1</v>
      </c>
      <c r="H272">
        <v>3</v>
      </c>
      <c r="I272">
        <v>3</v>
      </c>
      <c r="J272">
        <v>3</v>
      </c>
      <c r="K272">
        <v>3</v>
      </c>
      <c r="L272">
        <v>3</v>
      </c>
      <c r="M272">
        <v>1</v>
      </c>
      <c r="N272">
        <v>1</v>
      </c>
      <c r="O272">
        <v>1</v>
      </c>
      <c r="P272">
        <v>2</v>
      </c>
      <c r="Q272">
        <v>1</v>
      </c>
      <c r="R272">
        <v>3</v>
      </c>
      <c r="S272">
        <v>3</v>
      </c>
    </row>
    <row r="273" spans="1:19" ht="72" x14ac:dyDescent="0.3">
      <c r="A273" s="97">
        <v>977</v>
      </c>
      <c r="B273" s="330" t="s">
        <v>519</v>
      </c>
      <c r="D273">
        <v>0</v>
      </c>
      <c r="E273">
        <v>0</v>
      </c>
      <c r="F273">
        <v>0</v>
      </c>
      <c r="G273">
        <v>0</v>
      </c>
      <c r="H273">
        <v>0</v>
      </c>
      <c r="I273">
        <v>0</v>
      </c>
      <c r="J273">
        <v>0</v>
      </c>
      <c r="K273">
        <v>0</v>
      </c>
      <c r="L273">
        <v>0</v>
      </c>
      <c r="M273">
        <v>0</v>
      </c>
      <c r="N273">
        <v>0</v>
      </c>
      <c r="O273">
        <v>0</v>
      </c>
      <c r="P273">
        <v>0</v>
      </c>
      <c r="Q273">
        <v>0</v>
      </c>
      <c r="R273">
        <v>0</v>
      </c>
      <c r="S273">
        <v>0</v>
      </c>
    </row>
    <row r="274" spans="1:19" ht="57.6" x14ac:dyDescent="0.3">
      <c r="A274" s="97">
        <v>978</v>
      </c>
      <c r="B274" s="330" t="s">
        <v>314</v>
      </c>
      <c r="D274">
        <v>2</v>
      </c>
      <c r="E274">
        <v>2</v>
      </c>
      <c r="F274" s="409">
        <v>2</v>
      </c>
      <c r="G274">
        <v>2</v>
      </c>
      <c r="H274">
        <v>2</v>
      </c>
      <c r="I274">
        <v>2</v>
      </c>
      <c r="J274">
        <v>2</v>
      </c>
      <c r="K274">
        <v>2</v>
      </c>
      <c r="L274">
        <v>2</v>
      </c>
      <c r="M274">
        <v>2</v>
      </c>
      <c r="N274">
        <v>2</v>
      </c>
      <c r="O274">
        <v>1</v>
      </c>
      <c r="P274">
        <v>2</v>
      </c>
      <c r="Q274">
        <v>2</v>
      </c>
      <c r="R274">
        <v>2</v>
      </c>
      <c r="S274">
        <v>2</v>
      </c>
    </row>
    <row r="275" spans="1:19" ht="86.4" x14ac:dyDescent="0.3">
      <c r="A275" s="97">
        <v>979</v>
      </c>
      <c r="B275" s="330" t="s">
        <v>520</v>
      </c>
      <c r="D275">
        <v>1</v>
      </c>
      <c r="E275">
        <v>1</v>
      </c>
      <c r="F275">
        <v>1</v>
      </c>
      <c r="G275">
        <v>2</v>
      </c>
      <c r="H275">
        <v>1</v>
      </c>
      <c r="I275">
        <v>1</v>
      </c>
      <c r="J275">
        <v>1</v>
      </c>
      <c r="K275">
        <v>1</v>
      </c>
      <c r="L275">
        <v>1</v>
      </c>
      <c r="M275">
        <v>2</v>
      </c>
      <c r="N275">
        <v>2</v>
      </c>
      <c r="O275">
        <v>1</v>
      </c>
      <c r="P275">
        <v>1</v>
      </c>
      <c r="Q275">
        <v>2</v>
      </c>
      <c r="R275">
        <v>1</v>
      </c>
      <c r="S275">
        <v>1</v>
      </c>
    </row>
    <row r="276" spans="1:19" ht="43.2" x14ac:dyDescent="0.3">
      <c r="A276" s="97">
        <v>980</v>
      </c>
      <c r="B276" s="330" t="s">
        <v>313</v>
      </c>
      <c r="D276" t="s">
        <v>703</v>
      </c>
      <c r="E276" t="s">
        <v>704</v>
      </c>
      <c r="F276" t="s">
        <v>705</v>
      </c>
      <c r="G276" t="s">
        <v>913</v>
      </c>
      <c r="H276" t="s">
        <v>521</v>
      </c>
      <c r="I276" t="s">
        <v>706</v>
      </c>
      <c r="J276" t="s">
        <v>513</v>
      </c>
      <c r="K276" t="s">
        <v>707</v>
      </c>
      <c r="L276" t="s">
        <v>708</v>
      </c>
      <c r="M276" t="s">
        <v>709</v>
      </c>
      <c r="N276" t="s">
        <v>914</v>
      </c>
      <c r="O276" t="s">
        <v>710</v>
      </c>
      <c r="P276" t="s">
        <v>711</v>
      </c>
      <c r="Q276" t="s">
        <v>564</v>
      </c>
      <c r="R276" t="s">
        <v>712</v>
      </c>
      <c r="S276" t="s">
        <v>563</v>
      </c>
    </row>
    <row r="277" spans="1:19" ht="57.6" x14ac:dyDescent="0.3">
      <c r="A277" s="97">
        <v>984</v>
      </c>
      <c r="B277" s="330" t="s">
        <v>522</v>
      </c>
      <c r="D277">
        <v>0</v>
      </c>
      <c r="E277">
        <v>0</v>
      </c>
      <c r="F277">
        <v>0</v>
      </c>
      <c r="G277">
        <v>0</v>
      </c>
      <c r="H277">
        <v>0</v>
      </c>
      <c r="I277">
        <v>0</v>
      </c>
      <c r="J277">
        <v>0</v>
      </c>
      <c r="K277">
        <v>0</v>
      </c>
      <c r="L277">
        <v>0</v>
      </c>
      <c r="M277">
        <v>0</v>
      </c>
      <c r="N277">
        <v>0</v>
      </c>
      <c r="O277">
        <v>0</v>
      </c>
      <c r="P277">
        <v>0</v>
      </c>
      <c r="Q277">
        <v>0</v>
      </c>
      <c r="R277">
        <v>0</v>
      </c>
      <c r="S277">
        <v>0</v>
      </c>
    </row>
    <row r="278" spans="1:19" ht="57.6" x14ac:dyDescent="0.3">
      <c r="A278" s="97">
        <v>985</v>
      </c>
      <c r="B278" s="330" t="s">
        <v>523</v>
      </c>
      <c r="D278">
        <v>0</v>
      </c>
      <c r="E278">
        <v>0</v>
      </c>
      <c r="F278">
        <v>0</v>
      </c>
      <c r="G278">
        <v>0</v>
      </c>
      <c r="H278">
        <v>0</v>
      </c>
      <c r="I278">
        <v>0</v>
      </c>
      <c r="J278">
        <v>0</v>
      </c>
      <c r="K278">
        <v>0</v>
      </c>
      <c r="L278">
        <v>0</v>
      </c>
      <c r="M278">
        <v>0</v>
      </c>
      <c r="N278">
        <v>0</v>
      </c>
      <c r="O278">
        <v>0</v>
      </c>
      <c r="P278">
        <v>0</v>
      </c>
      <c r="Q278">
        <v>0</v>
      </c>
      <c r="R278">
        <v>0</v>
      </c>
      <c r="S278">
        <v>0</v>
      </c>
    </row>
    <row r="279" spans="1:19" ht="72" x14ac:dyDescent="0.3">
      <c r="A279" s="97">
        <v>986</v>
      </c>
      <c r="B279" s="330" t="s">
        <v>315</v>
      </c>
      <c r="D279">
        <v>0</v>
      </c>
      <c r="E279">
        <v>0</v>
      </c>
      <c r="F279">
        <v>0</v>
      </c>
      <c r="G279">
        <v>0</v>
      </c>
      <c r="H279">
        <v>0</v>
      </c>
      <c r="I279">
        <v>0</v>
      </c>
      <c r="J279">
        <v>0</v>
      </c>
      <c r="K279">
        <v>0</v>
      </c>
      <c r="L279">
        <v>0</v>
      </c>
      <c r="M279">
        <v>0</v>
      </c>
      <c r="N279">
        <v>0</v>
      </c>
      <c r="O279">
        <v>0</v>
      </c>
      <c r="P279">
        <v>0</v>
      </c>
      <c r="Q279">
        <v>0</v>
      </c>
      <c r="R279">
        <v>0</v>
      </c>
      <c r="S279">
        <v>0</v>
      </c>
    </row>
    <row r="280" spans="1:19" ht="100.8" x14ac:dyDescent="0.3">
      <c r="A280" s="97">
        <v>987</v>
      </c>
      <c r="B280" s="330" t="s">
        <v>524</v>
      </c>
      <c r="D280">
        <v>0</v>
      </c>
      <c r="E280">
        <v>0</v>
      </c>
      <c r="F280">
        <v>0</v>
      </c>
      <c r="G280">
        <v>0</v>
      </c>
      <c r="H280">
        <v>0</v>
      </c>
      <c r="I280">
        <v>0</v>
      </c>
      <c r="J280">
        <v>0</v>
      </c>
      <c r="K280">
        <v>0</v>
      </c>
      <c r="L280">
        <v>0</v>
      </c>
      <c r="M280">
        <v>0</v>
      </c>
      <c r="N280">
        <v>0</v>
      </c>
      <c r="O280">
        <v>0</v>
      </c>
      <c r="P280">
        <v>0</v>
      </c>
      <c r="Q280">
        <v>0</v>
      </c>
      <c r="R280">
        <v>0</v>
      </c>
      <c r="S280">
        <v>0</v>
      </c>
    </row>
    <row r="281" spans="1:19" ht="43.2" x14ac:dyDescent="0.3">
      <c r="A281" s="97">
        <v>988</v>
      </c>
      <c r="B281" s="330" t="s">
        <v>525</v>
      </c>
      <c r="D281">
        <v>0</v>
      </c>
      <c r="E281">
        <v>0</v>
      </c>
      <c r="F281">
        <v>0</v>
      </c>
      <c r="G281">
        <v>0</v>
      </c>
      <c r="H281">
        <v>0</v>
      </c>
      <c r="I281">
        <v>0</v>
      </c>
      <c r="J281">
        <v>0</v>
      </c>
      <c r="K281">
        <v>0</v>
      </c>
      <c r="L281">
        <v>0</v>
      </c>
      <c r="M281">
        <v>0</v>
      </c>
      <c r="N281">
        <v>0</v>
      </c>
      <c r="O281">
        <v>0</v>
      </c>
      <c r="P281">
        <v>0</v>
      </c>
      <c r="Q281">
        <v>0</v>
      </c>
      <c r="R281">
        <v>0</v>
      </c>
      <c r="S281">
        <v>0</v>
      </c>
    </row>
    <row r="282" spans="1:19" ht="57.6" x14ac:dyDescent="0.3">
      <c r="A282" s="97">
        <v>989</v>
      </c>
      <c r="B282" s="330" t="s">
        <v>526</v>
      </c>
      <c r="D282">
        <v>0</v>
      </c>
      <c r="E282">
        <v>0</v>
      </c>
      <c r="F282">
        <v>0</v>
      </c>
      <c r="G282">
        <v>0</v>
      </c>
      <c r="H282">
        <v>0</v>
      </c>
      <c r="I282">
        <v>0</v>
      </c>
      <c r="J282">
        <v>0</v>
      </c>
      <c r="K282">
        <v>0</v>
      </c>
      <c r="L282">
        <v>0</v>
      </c>
      <c r="M282">
        <v>0</v>
      </c>
      <c r="N282">
        <v>0</v>
      </c>
      <c r="O282">
        <v>0</v>
      </c>
      <c r="P282">
        <v>0</v>
      </c>
      <c r="Q282">
        <v>0</v>
      </c>
      <c r="R282">
        <v>0</v>
      </c>
      <c r="S282">
        <v>0</v>
      </c>
    </row>
    <row r="283" spans="1:19" ht="43.2" x14ac:dyDescent="0.3">
      <c r="A283" s="97">
        <v>990</v>
      </c>
      <c r="B283" s="330" t="s">
        <v>310</v>
      </c>
      <c r="D283">
        <v>0</v>
      </c>
      <c r="E283">
        <v>0</v>
      </c>
      <c r="F283">
        <v>0</v>
      </c>
      <c r="G283">
        <v>0</v>
      </c>
      <c r="H283">
        <v>0</v>
      </c>
      <c r="I283">
        <v>0</v>
      </c>
      <c r="J283">
        <v>0</v>
      </c>
      <c r="K283">
        <v>0</v>
      </c>
      <c r="L283">
        <v>0</v>
      </c>
      <c r="M283">
        <v>0</v>
      </c>
      <c r="N283">
        <v>0</v>
      </c>
      <c r="O283">
        <v>0</v>
      </c>
      <c r="P283">
        <v>0</v>
      </c>
      <c r="Q283">
        <v>0</v>
      </c>
      <c r="R283">
        <v>0</v>
      </c>
      <c r="S283">
        <v>0</v>
      </c>
    </row>
    <row r="284" spans="1:19" ht="100.8" x14ac:dyDescent="0.3">
      <c r="A284" s="97">
        <v>991</v>
      </c>
      <c r="B284" s="330" t="s">
        <v>527</v>
      </c>
      <c r="D284">
        <v>0</v>
      </c>
      <c r="E284">
        <v>0</v>
      </c>
      <c r="F284">
        <v>0</v>
      </c>
      <c r="G284">
        <v>0</v>
      </c>
      <c r="H284">
        <v>0</v>
      </c>
      <c r="I284">
        <v>0</v>
      </c>
      <c r="J284">
        <v>0</v>
      </c>
      <c r="K284">
        <v>0</v>
      </c>
      <c r="L284">
        <v>0</v>
      </c>
      <c r="M284">
        <v>0</v>
      </c>
      <c r="N284">
        <v>0</v>
      </c>
      <c r="O284">
        <v>0</v>
      </c>
      <c r="P284">
        <v>0</v>
      </c>
      <c r="Q284">
        <v>0</v>
      </c>
      <c r="R284">
        <v>0</v>
      </c>
      <c r="S284">
        <v>0</v>
      </c>
    </row>
    <row r="285" spans="1:19" ht="28.8" x14ac:dyDescent="0.3">
      <c r="A285" s="97">
        <v>995</v>
      </c>
      <c r="B285" s="330" t="s">
        <v>915</v>
      </c>
      <c r="D285">
        <v>0</v>
      </c>
      <c r="E285">
        <v>0</v>
      </c>
      <c r="F285">
        <v>0</v>
      </c>
      <c r="G285">
        <v>0</v>
      </c>
      <c r="H285">
        <v>0</v>
      </c>
      <c r="I285">
        <v>0</v>
      </c>
      <c r="J285">
        <v>0</v>
      </c>
      <c r="K285">
        <v>0</v>
      </c>
      <c r="L285">
        <v>0</v>
      </c>
      <c r="M285">
        <v>0</v>
      </c>
      <c r="N285">
        <v>0</v>
      </c>
      <c r="O285">
        <v>0</v>
      </c>
      <c r="P285">
        <v>0</v>
      </c>
      <c r="Q285">
        <v>0</v>
      </c>
      <c r="R285">
        <v>0</v>
      </c>
      <c r="S285">
        <v>0</v>
      </c>
    </row>
    <row r="286" spans="1:19" ht="28.8" x14ac:dyDescent="0.3">
      <c r="A286" s="97">
        <v>996</v>
      </c>
      <c r="B286" s="330" t="s">
        <v>179</v>
      </c>
      <c r="D286">
        <v>0</v>
      </c>
      <c r="E286">
        <v>0</v>
      </c>
      <c r="F286">
        <v>0</v>
      </c>
      <c r="G286">
        <v>0</v>
      </c>
      <c r="H286">
        <v>0</v>
      </c>
      <c r="I286">
        <v>0</v>
      </c>
      <c r="J286">
        <v>0</v>
      </c>
      <c r="K286">
        <v>0</v>
      </c>
      <c r="L286">
        <v>0</v>
      </c>
      <c r="M286">
        <v>0</v>
      </c>
      <c r="N286">
        <v>0</v>
      </c>
      <c r="O286">
        <v>0</v>
      </c>
      <c r="P286">
        <v>0</v>
      </c>
      <c r="Q286">
        <v>0</v>
      </c>
      <c r="R286">
        <v>0</v>
      </c>
      <c r="S286">
        <v>0</v>
      </c>
    </row>
    <row r="287" spans="1:19" x14ac:dyDescent="0.3">
      <c r="A287" s="97">
        <v>998</v>
      </c>
      <c r="B287" s="330" t="s">
        <v>180</v>
      </c>
      <c r="D287">
        <v>55</v>
      </c>
      <c r="E287">
        <v>55</v>
      </c>
      <c r="F287">
        <v>55</v>
      </c>
      <c r="G287">
        <v>55</v>
      </c>
      <c r="H287">
        <v>55</v>
      </c>
      <c r="I287">
        <v>55</v>
      </c>
      <c r="J287">
        <v>55</v>
      </c>
      <c r="K287">
        <v>55</v>
      </c>
      <c r="L287">
        <v>55</v>
      </c>
      <c r="M287">
        <v>55</v>
      </c>
      <c r="N287">
        <v>55</v>
      </c>
      <c r="O287">
        <v>55</v>
      </c>
      <c r="P287">
        <v>55</v>
      </c>
      <c r="Q287">
        <v>55</v>
      </c>
      <c r="R287">
        <v>55</v>
      </c>
      <c r="S287">
        <v>55</v>
      </c>
    </row>
    <row r="288" spans="1:19" x14ac:dyDescent="0.3">
      <c r="A288" s="97">
        <v>999</v>
      </c>
      <c r="B288" s="330" t="s">
        <v>181</v>
      </c>
      <c r="D288">
        <v>551100</v>
      </c>
      <c r="E288">
        <v>551101</v>
      </c>
      <c r="F288">
        <v>551102</v>
      </c>
      <c r="G288">
        <v>551103</v>
      </c>
      <c r="H288">
        <v>551113</v>
      </c>
      <c r="I288">
        <v>551104</v>
      </c>
      <c r="J288">
        <v>551105</v>
      </c>
      <c r="K288">
        <v>551106</v>
      </c>
      <c r="L288">
        <v>551107</v>
      </c>
      <c r="M288">
        <v>551108</v>
      </c>
      <c r="N288">
        <v>551109</v>
      </c>
      <c r="O288">
        <v>551112</v>
      </c>
      <c r="P288">
        <v>551115</v>
      </c>
      <c r="Q288">
        <v>551116</v>
      </c>
      <c r="R288">
        <v>551114</v>
      </c>
      <c r="S288">
        <v>551117</v>
      </c>
    </row>
    <row r="289" spans="1:19" x14ac:dyDescent="0.3">
      <c r="A289" s="97">
        <v>9000</v>
      </c>
      <c r="B289" s="330" t="s">
        <v>528</v>
      </c>
      <c r="C289" t="s">
        <v>233</v>
      </c>
      <c r="D289">
        <v>36420894</v>
      </c>
      <c r="E289">
        <v>53057786</v>
      </c>
      <c r="F289">
        <v>131683355</v>
      </c>
      <c r="G289">
        <v>91532070.099999994</v>
      </c>
      <c r="H289">
        <v>37578641</v>
      </c>
      <c r="I289">
        <v>50759626.600000001</v>
      </c>
      <c r="J289">
        <v>108494637</v>
      </c>
      <c r="K289">
        <v>65740619</v>
      </c>
      <c r="L289">
        <v>42625259</v>
      </c>
      <c r="M289">
        <v>46697443</v>
      </c>
      <c r="N289">
        <v>38473535</v>
      </c>
      <c r="O289">
        <v>185713044</v>
      </c>
      <c r="P289">
        <v>58229600</v>
      </c>
      <c r="Q289">
        <v>148016869.30000001</v>
      </c>
      <c r="R289">
        <v>45291898</v>
      </c>
      <c r="S289">
        <v>108281946.59999999</v>
      </c>
    </row>
    <row r="290" spans="1:19" ht="28.8" x14ac:dyDescent="0.3">
      <c r="A290" s="97">
        <v>9001</v>
      </c>
      <c r="B290" s="330" t="s">
        <v>529</v>
      </c>
      <c r="C290" t="s">
        <v>530</v>
      </c>
      <c r="D290">
        <v>3500330</v>
      </c>
      <c r="E290">
        <v>3168903</v>
      </c>
      <c r="F290">
        <v>6391076</v>
      </c>
      <c r="G290">
        <v>2958929</v>
      </c>
      <c r="H290">
        <v>3759532</v>
      </c>
      <c r="I290">
        <v>4824780</v>
      </c>
      <c r="J290">
        <v>8366447</v>
      </c>
      <c r="K290">
        <v>3349219</v>
      </c>
      <c r="L290">
        <v>2071677</v>
      </c>
      <c r="M290">
        <v>3349917</v>
      </c>
      <c r="N290">
        <v>1815703</v>
      </c>
      <c r="O290">
        <v>15075152</v>
      </c>
      <c r="P290">
        <v>4507020</v>
      </c>
      <c r="Q290">
        <v>6910265</v>
      </c>
      <c r="R290">
        <v>2781546</v>
      </c>
      <c r="S290">
        <v>8331808</v>
      </c>
    </row>
    <row r="291" spans="1:19" ht="28.8" x14ac:dyDescent="0.3">
      <c r="A291" s="97">
        <v>9002</v>
      </c>
      <c r="B291" s="330" t="s">
        <v>531</v>
      </c>
      <c r="C291" t="s">
        <v>532</v>
      </c>
      <c r="D291">
        <v>405766</v>
      </c>
      <c r="E291">
        <v>1995940</v>
      </c>
      <c r="F291">
        <v>4320736</v>
      </c>
      <c r="G291">
        <v>770291</v>
      </c>
      <c r="H291">
        <v>755423</v>
      </c>
      <c r="I291">
        <v>1421411</v>
      </c>
      <c r="J291">
        <v>2371525</v>
      </c>
      <c r="K291">
        <v>1316005</v>
      </c>
      <c r="L291">
        <v>1147609</v>
      </c>
      <c r="M291">
        <v>2236450</v>
      </c>
      <c r="N291">
        <v>1278383</v>
      </c>
      <c r="O291">
        <v>5603754</v>
      </c>
      <c r="P291">
        <v>810738</v>
      </c>
      <c r="Q291">
        <v>4096252</v>
      </c>
      <c r="R291">
        <v>862973</v>
      </c>
      <c r="S291">
        <v>1700511</v>
      </c>
    </row>
    <row r="292" spans="1:19" ht="43.2" x14ac:dyDescent="0.3">
      <c r="A292" s="97">
        <v>9003</v>
      </c>
      <c r="B292" s="330" t="s">
        <v>533</v>
      </c>
      <c r="C292" t="s">
        <v>534</v>
      </c>
      <c r="D292">
        <v>1201989</v>
      </c>
      <c r="E292">
        <v>2628892</v>
      </c>
      <c r="F292">
        <v>6358123</v>
      </c>
      <c r="G292">
        <v>1508462</v>
      </c>
      <c r="H292">
        <v>2306944</v>
      </c>
      <c r="I292">
        <v>3645968</v>
      </c>
      <c r="J292">
        <v>4891941</v>
      </c>
      <c r="K292">
        <v>2620896</v>
      </c>
      <c r="L292">
        <v>1476885</v>
      </c>
      <c r="M292">
        <v>3105464</v>
      </c>
      <c r="N292">
        <v>1666692</v>
      </c>
      <c r="O292">
        <v>9189857</v>
      </c>
      <c r="P292">
        <v>1294850</v>
      </c>
      <c r="Q292">
        <v>7680334</v>
      </c>
      <c r="R292">
        <v>1847643</v>
      </c>
      <c r="S292">
        <v>6116520</v>
      </c>
    </row>
    <row r="293" spans="1:19" ht="86.4" x14ac:dyDescent="0.3">
      <c r="A293" s="97">
        <v>9004</v>
      </c>
      <c r="B293" s="330" t="s">
        <v>535</v>
      </c>
      <c r="C293" t="s">
        <v>536</v>
      </c>
      <c r="D293" t="s">
        <v>233</v>
      </c>
      <c r="E293" t="s">
        <v>233</v>
      </c>
      <c r="F293" t="s">
        <v>233</v>
      </c>
      <c r="G293" t="s">
        <v>233</v>
      </c>
      <c r="H293" t="s">
        <v>233</v>
      </c>
      <c r="I293" t="s">
        <v>233</v>
      </c>
      <c r="J293" t="s">
        <v>233</v>
      </c>
      <c r="K293" t="s">
        <v>233</v>
      </c>
      <c r="L293" t="s">
        <v>233</v>
      </c>
      <c r="M293" t="s">
        <v>233</v>
      </c>
      <c r="N293" t="s">
        <v>233</v>
      </c>
      <c r="O293" t="s">
        <v>233</v>
      </c>
      <c r="P293" t="s">
        <v>233</v>
      </c>
      <c r="Q293" t="s">
        <v>233</v>
      </c>
      <c r="R293" t="s">
        <v>233</v>
      </c>
      <c r="S293" t="s">
        <v>233</v>
      </c>
    </row>
    <row r="294" spans="1:19" ht="28.8" x14ac:dyDescent="0.3">
      <c r="A294" s="97">
        <v>9005</v>
      </c>
      <c r="B294" s="330" t="s">
        <v>537</v>
      </c>
      <c r="C294" t="s">
        <v>538</v>
      </c>
      <c r="D294">
        <v>740047</v>
      </c>
      <c r="E294">
        <v>621146</v>
      </c>
      <c r="F294">
        <v>-203782</v>
      </c>
      <c r="G294">
        <v>-28528</v>
      </c>
      <c r="H294">
        <v>1022259</v>
      </c>
      <c r="I294">
        <v>144363</v>
      </c>
      <c r="J294">
        <v>-107374</v>
      </c>
      <c r="K294">
        <v>-804272</v>
      </c>
      <c r="L294">
        <v>-875310</v>
      </c>
      <c r="M294">
        <v>-2325</v>
      </c>
      <c r="N294">
        <v>189870</v>
      </c>
      <c r="O294">
        <v>3241662</v>
      </c>
      <c r="P294">
        <v>-540227</v>
      </c>
      <c r="Q294">
        <v>-2415349</v>
      </c>
      <c r="R294">
        <v>174749</v>
      </c>
      <c r="S294">
        <v>357684</v>
      </c>
    </row>
    <row r="295" spans="1:19" ht="28.8" x14ac:dyDescent="0.3">
      <c r="A295" s="97">
        <v>9006</v>
      </c>
      <c r="B295" s="330" t="s">
        <v>539</v>
      </c>
      <c r="C295" t="s">
        <v>540</v>
      </c>
      <c r="D295">
        <v>561636</v>
      </c>
      <c r="E295">
        <v>7433</v>
      </c>
      <c r="F295">
        <v>7665001</v>
      </c>
      <c r="G295">
        <v>12669105</v>
      </c>
      <c r="H295">
        <v>145564</v>
      </c>
      <c r="I295">
        <v>2722565</v>
      </c>
      <c r="J295">
        <v>11075757</v>
      </c>
      <c r="K295">
        <v>8443904</v>
      </c>
      <c r="L295">
        <v>5482655</v>
      </c>
      <c r="M295">
        <v>161240</v>
      </c>
      <c r="N295">
        <v>205644</v>
      </c>
      <c r="O295">
        <v>200338</v>
      </c>
      <c r="P295">
        <v>6128228</v>
      </c>
      <c r="Q295">
        <v>18586610</v>
      </c>
      <c r="R295">
        <v>170870</v>
      </c>
      <c r="S295">
        <v>6335226</v>
      </c>
    </row>
    <row r="296" spans="1:19" ht="43.2" x14ac:dyDescent="0.3">
      <c r="A296" s="97">
        <v>9007</v>
      </c>
      <c r="B296" s="330" t="s">
        <v>588</v>
      </c>
      <c r="C296" t="s">
        <v>541</v>
      </c>
      <c r="D296">
        <v>1.3177000000000001</v>
      </c>
      <c r="E296">
        <v>83.566000000000003</v>
      </c>
      <c r="F296">
        <v>-2.6599999999999999E-2</v>
      </c>
      <c r="G296">
        <v>-2.3E-3</v>
      </c>
      <c r="H296">
        <v>7.0227000000000004</v>
      </c>
      <c r="I296">
        <v>5.2999999999999999E-2</v>
      </c>
      <c r="J296">
        <v>-9.7000000000000003E-3</v>
      </c>
      <c r="K296">
        <v>-9.5200000000000007E-2</v>
      </c>
      <c r="L296">
        <v>-0.15970000000000001</v>
      </c>
      <c r="M296">
        <v>-1.44E-2</v>
      </c>
      <c r="N296">
        <v>0.92330000000000001</v>
      </c>
      <c r="O296">
        <v>16.181000000000001</v>
      </c>
      <c r="P296">
        <v>-8.8200000000000001E-2</v>
      </c>
      <c r="Q296">
        <v>-0.13</v>
      </c>
      <c r="R296">
        <v>1.0226999999999999</v>
      </c>
      <c r="S296">
        <v>5.6500000000000002E-2</v>
      </c>
    </row>
    <row r="297" spans="1:19" ht="28.8" x14ac:dyDescent="0.3">
      <c r="A297" s="97">
        <v>9008</v>
      </c>
      <c r="B297" s="330" t="s">
        <v>542</v>
      </c>
      <c r="C297" t="s">
        <v>233</v>
      </c>
      <c r="D297">
        <v>0</v>
      </c>
      <c r="E297">
        <v>0</v>
      </c>
      <c r="F297">
        <v>0</v>
      </c>
      <c r="G297">
        <v>0</v>
      </c>
      <c r="H297">
        <v>0</v>
      </c>
      <c r="I297">
        <v>0</v>
      </c>
      <c r="J297">
        <v>0</v>
      </c>
      <c r="K297">
        <v>28.4</v>
      </c>
      <c r="L297">
        <v>0</v>
      </c>
      <c r="M297">
        <v>5.1100000000000003</v>
      </c>
      <c r="N297">
        <v>0</v>
      </c>
      <c r="O297">
        <v>0</v>
      </c>
      <c r="P297">
        <v>0</v>
      </c>
      <c r="Q297">
        <v>0</v>
      </c>
      <c r="R297">
        <v>0</v>
      </c>
      <c r="S297">
        <v>0</v>
      </c>
    </row>
    <row r="298" spans="1:19" ht="43.2" x14ac:dyDescent="0.3">
      <c r="A298" s="97">
        <v>9010</v>
      </c>
      <c r="B298" s="330" t="s">
        <v>543</v>
      </c>
      <c r="C298" t="s">
        <v>544</v>
      </c>
      <c r="D298">
        <v>0</v>
      </c>
      <c r="E298">
        <v>0</v>
      </c>
      <c r="F298">
        <v>0</v>
      </c>
      <c r="G298">
        <v>0</v>
      </c>
      <c r="H298">
        <v>0</v>
      </c>
      <c r="I298">
        <v>0</v>
      </c>
      <c r="J298">
        <v>0</v>
      </c>
      <c r="K298">
        <v>0</v>
      </c>
      <c r="L298">
        <v>0</v>
      </c>
      <c r="M298">
        <v>0</v>
      </c>
      <c r="N298">
        <v>0</v>
      </c>
      <c r="O298">
        <v>0</v>
      </c>
      <c r="P298">
        <v>0</v>
      </c>
      <c r="Q298">
        <v>0</v>
      </c>
      <c r="R298">
        <v>0</v>
      </c>
      <c r="S298">
        <v>0</v>
      </c>
    </row>
    <row r="299" spans="1:19" ht="86.4" x14ac:dyDescent="0.3">
      <c r="A299" s="97">
        <v>9011</v>
      </c>
      <c r="B299" s="330" t="s">
        <v>894</v>
      </c>
      <c r="C299" t="s">
        <v>545</v>
      </c>
      <c r="D299">
        <v>0</v>
      </c>
      <c r="E299">
        <v>0</v>
      </c>
      <c r="F299">
        <v>0</v>
      </c>
      <c r="G299">
        <v>0</v>
      </c>
      <c r="H299">
        <v>0</v>
      </c>
      <c r="I299">
        <v>0</v>
      </c>
      <c r="J299">
        <v>0</v>
      </c>
      <c r="K299">
        <v>0</v>
      </c>
      <c r="L299">
        <v>0</v>
      </c>
      <c r="M299">
        <v>0</v>
      </c>
      <c r="N299">
        <v>0</v>
      </c>
      <c r="O299">
        <v>0</v>
      </c>
      <c r="P299">
        <v>0</v>
      </c>
      <c r="Q299">
        <v>0</v>
      </c>
      <c r="R299">
        <v>0</v>
      </c>
      <c r="S299">
        <v>0</v>
      </c>
    </row>
    <row r="300" spans="1:19" ht="86.4" x14ac:dyDescent="0.3">
      <c r="A300" s="97">
        <v>9012</v>
      </c>
      <c r="B300" s="330" t="s">
        <v>895</v>
      </c>
      <c r="C300" t="s">
        <v>545</v>
      </c>
      <c r="D300">
        <v>0</v>
      </c>
      <c r="E300">
        <v>0</v>
      </c>
      <c r="F300">
        <v>0</v>
      </c>
      <c r="G300">
        <v>0</v>
      </c>
      <c r="H300">
        <v>0</v>
      </c>
      <c r="I300">
        <v>0</v>
      </c>
      <c r="J300">
        <v>0</v>
      </c>
      <c r="K300">
        <v>0</v>
      </c>
      <c r="L300">
        <v>0</v>
      </c>
      <c r="M300">
        <v>0</v>
      </c>
      <c r="N300">
        <v>0</v>
      </c>
      <c r="O300">
        <v>0</v>
      </c>
      <c r="P300">
        <v>0</v>
      </c>
      <c r="Q300">
        <v>0</v>
      </c>
      <c r="R300">
        <v>0</v>
      </c>
      <c r="S300">
        <v>0</v>
      </c>
    </row>
    <row r="301" spans="1:19" x14ac:dyDescent="0.3">
      <c r="A301" s="97">
        <v>9013</v>
      </c>
      <c r="B301" s="330" t="s">
        <v>546</v>
      </c>
      <c r="C301" t="s">
        <v>547</v>
      </c>
      <c r="D301">
        <v>0</v>
      </c>
      <c r="E301">
        <v>0</v>
      </c>
      <c r="F301">
        <v>0</v>
      </c>
      <c r="G301">
        <v>0</v>
      </c>
      <c r="H301">
        <v>0</v>
      </c>
      <c r="I301">
        <v>0</v>
      </c>
      <c r="J301">
        <v>0</v>
      </c>
      <c r="K301">
        <v>0</v>
      </c>
      <c r="L301">
        <v>0</v>
      </c>
      <c r="M301">
        <v>0</v>
      </c>
      <c r="N301">
        <v>0</v>
      </c>
      <c r="O301">
        <v>0</v>
      </c>
      <c r="P301">
        <v>0</v>
      </c>
      <c r="Q301">
        <v>0</v>
      </c>
      <c r="R301">
        <v>0</v>
      </c>
      <c r="S301">
        <v>0</v>
      </c>
    </row>
    <row r="302" spans="1:19" ht="43.2" x14ac:dyDescent="0.3">
      <c r="A302" s="97">
        <v>9014</v>
      </c>
      <c r="B302" s="330" t="s">
        <v>548</v>
      </c>
      <c r="C302" t="s">
        <v>549</v>
      </c>
      <c r="D302">
        <v>0</v>
      </c>
      <c r="E302">
        <v>0</v>
      </c>
      <c r="F302">
        <v>0</v>
      </c>
      <c r="G302">
        <v>0</v>
      </c>
      <c r="H302">
        <v>0</v>
      </c>
      <c r="I302">
        <v>0</v>
      </c>
      <c r="J302">
        <v>0</v>
      </c>
      <c r="K302">
        <v>0</v>
      </c>
      <c r="L302">
        <v>0</v>
      </c>
      <c r="M302">
        <v>0</v>
      </c>
      <c r="N302">
        <v>0</v>
      </c>
      <c r="O302">
        <v>0</v>
      </c>
      <c r="P302">
        <v>0</v>
      </c>
      <c r="Q302">
        <v>0</v>
      </c>
      <c r="R302">
        <v>0</v>
      </c>
      <c r="S302">
        <v>0</v>
      </c>
    </row>
    <row r="303" spans="1:19" ht="86.4" x14ac:dyDescent="0.3">
      <c r="A303" s="97">
        <v>9015</v>
      </c>
      <c r="B303" s="330" t="s">
        <v>896</v>
      </c>
      <c r="C303" t="s">
        <v>233</v>
      </c>
      <c r="D303">
        <v>0</v>
      </c>
      <c r="E303">
        <v>0</v>
      </c>
      <c r="F303">
        <v>0</v>
      </c>
      <c r="G303">
        <v>0</v>
      </c>
      <c r="H303">
        <v>0</v>
      </c>
      <c r="I303">
        <v>0</v>
      </c>
      <c r="J303">
        <v>0</v>
      </c>
      <c r="K303">
        <v>0</v>
      </c>
      <c r="L303">
        <v>0</v>
      </c>
      <c r="M303">
        <v>0</v>
      </c>
      <c r="N303">
        <v>0</v>
      </c>
      <c r="O303">
        <v>0</v>
      </c>
      <c r="P303">
        <v>0</v>
      </c>
      <c r="Q303">
        <v>0</v>
      </c>
      <c r="R303">
        <v>0</v>
      </c>
      <c r="S303">
        <v>0</v>
      </c>
    </row>
    <row r="304" spans="1:19" ht="86.4" x14ac:dyDescent="0.3">
      <c r="A304" s="97">
        <v>9016</v>
      </c>
      <c r="B304" s="330" t="s">
        <v>897</v>
      </c>
      <c r="C304" t="s">
        <v>233</v>
      </c>
      <c r="D304">
        <v>0</v>
      </c>
      <c r="E304">
        <v>0</v>
      </c>
      <c r="F304">
        <v>0</v>
      </c>
      <c r="G304">
        <v>0</v>
      </c>
      <c r="H304">
        <v>0</v>
      </c>
      <c r="I304">
        <v>0</v>
      </c>
      <c r="J304">
        <v>0</v>
      </c>
      <c r="K304">
        <v>0</v>
      </c>
      <c r="L304">
        <v>0</v>
      </c>
      <c r="M304">
        <v>0</v>
      </c>
      <c r="N304">
        <v>0</v>
      </c>
      <c r="O304">
        <v>0</v>
      </c>
      <c r="P304">
        <v>0</v>
      </c>
      <c r="Q304">
        <v>0</v>
      </c>
      <c r="R304">
        <v>0</v>
      </c>
      <c r="S304">
        <v>0</v>
      </c>
    </row>
    <row r="305" spans="1:19" ht="28.8" x14ac:dyDescent="0.3">
      <c r="A305" s="97">
        <v>9017</v>
      </c>
      <c r="B305" s="330" t="s">
        <v>550</v>
      </c>
      <c r="C305" t="s">
        <v>551</v>
      </c>
      <c r="D305">
        <v>0</v>
      </c>
      <c r="E305">
        <v>0</v>
      </c>
      <c r="F305">
        <v>0</v>
      </c>
      <c r="G305">
        <v>0</v>
      </c>
      <c r="H305">
        <v>0</v>
      </c>
      <c r="I305">
        <v>0</v>
      </c>
      <c r="J305">
        <v>0</v>
      </c>
      <c r="K305">
        <v>0</v>
      </c>
      <c r="L305">
        <v>0</v>
      </c>
      <c r="M305">
        <v>0</v>
      </c>
      <c r="N305">
        <v>0</v>
      </c>
      <c r="O305">
        <v>0</v>
      </c>
      <c r="P305">
        <v>0</v>
      </c>
      <c r="Q305">
        <v>0</v>
      </c>
      <c r="R305">
        <v>0</v>
      </c>
      <c r="S305">
        <v>0</v>
      </c>
    </row>
    <row r="306" spans="1:19" ht="72" x14ac:dyDescent="0.3">
      <c r="A306" s="97">
        <v>9018</v>
      </c>
      <c r="B306" s="330" t="s">
        <v>552</v>
      </c>
      <c r="C306" t="s">
        <v>553</v>
      </c>
      <c r="D306">
        <v>405766</v>
      </c>
      <c r="E306">
        <v>1995940</v>
      </c>
      <c r="F306">
        <v>4044487</v>
      </c>
      <c r="G306">
        <v>754691</v>
      </c>
      <c r="H306">
        <v>713932</v>
      </c>
      <c r="I306">
        <v>1377253</v>
      </c>
      <c r="J306">
        <v>2263841</v>
      </c>
      <c r="K306">
        <v>1316005</v>
      </c>
      <c r="L306">
        <v>1147609</v>
      </c>
      <c r="M306">
        <v>2236450</v>
      </c>
      <c r="N306">
        <v>1278383</v>
      </c>
      <c r="O306">
        <v>5557432</v>
      </c>
      <c r="P306">
        <v>780336</v>
      </c>
      <c r="Q306">
        <v>4096252</v>
      </c>
      <c r="R306">
        <v>862973</v>
      </c>
      <c r="S306">
        <v>1333467</v>
      </c>
    </row>
    <row r="307" spans="1:19" ht="28.8" x14ac:dyDescent="0.3">
      <c r="A307" s="97">
        <v>9019</v>
      </c>
      <c r="B307" s="330" t="s">
        <v>554</v>
      </c>
      <c r="C307" t="s">
        <v>555</v>
      </c>
      <c r="D307">
        <v>405766</v>
      </c>
      <c r="E307">
        <v>1995940</v>
      </c>
      <c r="F307">
        <v>4044487</v>
      </c>
      <c r="G307">
        <v>754691</v>
      </c>
      <c r="H307">
        <v>713932</v>
      </c>
      <c r="I307">
        <v>1377253</v>
      </c>
      <c r="J307">
        <v>2263841</v>
      </c>
      <c r="K307">
        <v>1316005</v>
      </c>
      <c r="L307">
        <v>1147609</v>
      </c>
      <c r="M307">
        <v>2236450</v>
      </c>
      <c r="N307">
        <v>1278383</v>
      </c>
      <c r="O307">
        <v>5557432</v>
      </c>
      <c r="P307">
        <v>780336</v>
      </c>
      <c r="Q307">
        <v>4096252</v>
      </c>
      <c r="R307">
        <v>862973</v>
      </c>
      <c r="S307">
        <v>1333467</v>
      </c>
    </row>
    <row r="310" spans="1:19" x14ac:dyDescent="0.3">
      <c r="D310" s="385">
        <v>36420894</v>
      </c>
      <c r="E310" s="385">
        <v>53057786</v>
      </c>
      <c r="F310" s="385">
        <v>131683355</v>
      </c>
      <c r="G310" s="385">
        <v>91532070.099999994</v>
      </c>
      <c r="H310" s="385">
        <v>37578641</v>
      </c>
      <c r="I310" s="385">
        <v>50759626.600000001</v>
      </c>
      <c r="J310" s="385">
        <v>108494637</v>
      </c>
      <c r="K310" s="385">
        <v>65740619</v>
      </c>
      <c r="L310" s="385">
        <v>42625259</v>
      </c>
      <c r="M310" s="385">
        <v>46697443</v>
      </c>
      <c r="N310" s="385">
        <v>38473535</v>
      </c>
      <c r="O310" s="385">
        <v>185713044</v>
      </c>
      <c r="P310" s="385">
        <v>58229600</v>
      </c>
      <c r="Q310" s="385">
        <v>148016869.30000001</v>
      </c>
      <c r="R310" s="385">
        <v>45291898</v>
      </c>
      <c r="S310" s="385">
        <v>108281946.59999999</v>
      </c>
    </row>
    <row r="311" spans="1:19" x14ac:dyDescent="0.3">
      <c r="D311" s="385">
        <f>D289-D310</f>
        <v>0</v>
      </c>
      <c r="E311" s="385">
        <f t="shared" ref="E311:S311" si="0">E289-E310</f>
        <v>0</v>
      </c>
      <c r="F311" s="385">
        <f t="shared" si="0"/>
        <v>0</v>
      </c>
      <c r="G311" s="385">
        <f t="shared" ref="G311" si="1">G289-G310</f>
        <v>0</v>
      </c>
      <c r="H311" s="385">
        <f t="shared" ref="H311" si="2">H289-H310</f>
        <v>0</v>
      </c>
      <c r="I311" s="385">
        <f t="shared" si="0"/>
        <v>0</v>
      </c>
      <c r="J311" s="385">
        <f t="shared" si="0"/>
        <v>0</v>
      </c>
      <c r="K311" s="385">
        <f t="shared" si="0"/>
        <v>0</v>
      </c>
      <c r="L311" s="385">
        <f t="shared" si="0"/>
        <v>0</v>
      </c>
      <c r="M311" s="385">
        <f t="shared" si="0"/>
        <v>0</v>
      </c>
      <c r="N311" s="385">
        <f t="shared" si="0"/>
        <v>0</v>
      </c>
      <c r="O311" s="385">
        <f t="shared" si="0"/>
        <v>0</v>
      </c>
      <c r="P311" s="385">
        <f t="shared" si="0"/>
        <v>0</v>
      </c>
      <c r="Q311" s="385">
        <f t="shared" si="0"/>
        <v>0</v>
      </c>
      <c r="R311" s="385">
        <f t="shared" si="0"/>
        <v>0</v>
      </c>
      <c r="S311" s="385">
        <f t="shared" si="0"/>
        <v>0</v>
      </c>
    </row>
    <row r="312" spans="1:19" x14ac:dyDescent="0.3">
      <c r="G312" s="385"/>
      <c r="H312" s="385"/>
    </row>
  </sheetData>
  <sheetProtection algorithmName="SHA-512" hashValue="vMWyng4o2gKlE4X1Q/5q//736/7zm5MZpgGS3kFk5yC1cS/zivmm/zKbVOCdEdK/3ot2LHZwLGCaFE6mke5gSg==" saltValue="s9aiCUzUWg3cFTdpbZKP+Q=="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election activeCell="B1" sqref="B1"/>
    </sheetView>
  </sheetViews>
  <sheetFormatPr defaultColWidth="9.109375" defaultRowHeight="14.4" x14ac:dyDescent="0.3"/>
  <cols>
    <col min="1" max="1" width="52.5546875" style="207" customWidth="1"/>
    <col min="2" max="12" width="9.109375" style="256"/>
    <col min="13" max="13" width="21.6640625" style="256" customWidth="1"/>
    <col min="14" max="14" width="16.88671875" style="256" customWidth="1"/>
    <col min="15" max="16" width="9.109375" style="256"/>
    <col min="17" max="17" width="18.109375" style="256" customWidth="1"/>
    <col min="18" max="18" width="11" style="256" customWidth="1"/>
    <col min="19" max="16384" width="9.109375" style="256"/>
  </cols>
  <sheetData>
    <row r="1" spans="1:20" x14ac:dyDescent="0.3">
      <c r="A1" s="207" t="s">
        <v>387</v>
      </c>
    </row>
    <row r="2" spans="1:20" ht="15" thickBot="1" x14ac:dyDescent="0.35">
      <c r="A2" s="254" t="s">
        <v>600</v>
      </c>
      <c r="B2" s="98">
        <v>551100</v>
      </c>
      <c r="C2" s="252">
        <v>55</v>
      </c>
      <c r="D2" s="34"/>
      <c r="E2" s="34"/>
      <c r="G2" s="256">
        <v>100</v>
      </c>
      <c r="I2" s="256" t="s">
        <v>221</v>
      </c>
    </row>
    <row r="3" spans="1:20" ht="15" customHeight="1" thickBot="1" x14ac:dyDescent="0.35">
      <c r="A3" s="255" t="s">
        <v>601</v>
      </c>
      <c r="B3" s="98">
        <v>551101</v>
      </c>
      <c r="C3" s="252">
        <v>55</v>
      </c>
      <c r="D3" s="33"/>
      <c r="E3" s="34"/>
      <c r="G3" s="256">
        <v>200</v>
      </c>
      <c r="I3" s="256" t="s">
        <v>222</v>
      </c>
      <c r="O3" s="258"/>
      <c r="P3" s="258"/>
      <c r="S3" s="258"/>
      <c r="T3" s="258"/>
    </row>
    <row r="4" spans="1:20" ht="15" customHeight="1" thickBot="1" x14ac:dyDescent="0.35">
      <c r="A4" s="255" t="s">
        <v>602</v>
      </c>
      <c r="B4" s="98">
        <v>551102</v>
      </c>
      <c r="C4" s="252">
        <v>55</v>
      </c>
      <c r="D4" s="33"/>
      <c r="E4" s="34"/>
      <c r="G4" s="256">
        <v>300</v>
      </c>
      <c r="I4" s="256" t="s">
        <v>223</v>
      </c>
      <c r="O4" s="258"/>
      <c r="P4" s="258"/>
      <c r="S4" s="258"/>
      <c r="T4" s="258"/>
    </row>
    <row r="5" spans="1:20" ht="15" thickBot="1" x14ac:dyDescent="0.35">
      <c r="A5" s="255" t="s">
        <v>603</v>
      </c>
      <c r="B5" s="98">
        <v>551103</v>
      </c>
      <c r="C5" s="252">
        <v>55</v>
      </c>
      <c r="D5" s="33"/>
      <c r="E5" s="34"/>
      <c r="G5" s="256">
        <v>400</v>
      </c>
      <c r="O5" s="258"/>
      <c r="P5" s="258"/>
      <c r="S5" s="258"/>
      <c r="T5" s="258"/>
    </row>
    <row r="6" spans="1:20" ht="15" thickBot="1" x14ac:dyDescent="0.35">
      <c r="A6" s="255" t="s">
        <v>604</v>
      </c>
      <c r="B6" s="98">
        <v>551113</v>
      </c>
      <c r="C6" s="252">
        <v>55</v>
      </c>
      <c r="D6" s="33"/>
      <c r="E6" s="34"/>
      <c r="G6" s="256">
        <v>500</v>
      </c>
      <c r="O6" s="258"/>
      <c r="P6" s="258"/>
      <c r="S6" s="258"/>
      <c r="T6" s="258"/>
    </row>
    <row r="7" spans="1:20" ht="15" thickBot="1" x14ac:dyDescent="0.35">
      <c r="A7" s="255" t="s">
        <v>605</v>
      </c>
      <c r="B7" s="98">
        <v>551104</v>
      </c>
      <c r="C7" s="252">
        <v>55</v>
      </c>
      <c r="D7" s="33"/>
      <c r="E7" s="34"/>
      <c r="O7" s="258"/>
      <c r="P7" s="258"/>
      <c r="S7" s="258"/>
      <c r="T7" s="258"/>
    </row>
    <row r="8" spans="1:20" ht="15" thickBot="1" x14ac:dyDescent="0.35">
      <c r="A8" s="255" t="s">
        <v>606</v>
      </c>
      <c r="B8" s="98">
        <v>551105</v>
      </c>
      <c r="C8" s="252">
        <v>55</v>
      </c>
      <c r="D8" s="33"/>
      <c r="E8" s="34"/>
      <c r="O8" s="258"/>
      <c r="P8" s="258"/>
      <c r="S8" s="258"/>
      <c r="T8" s="258"/>
    </row>
    <row r="9" spans="1:20" ht="15" thickBot="1" x14ac:dyDescent="0.35">
      <c r="A9" s="255" t="s">
        <v>607</v>
      </c>
      <c r="B9" s="98">
        <v>551106</v>
      </c>
      <c r="C9" s="252">
        <v>55</v>
      </c>
      <c r="D9" s="33"/>
      <c r="E9" s="34"/>
      <c r="O9" s="258"/>
      <c r="P9" s="258"/>
      <c r="S9" s="258"/>
      <c r="T9" s="258"/>
    </row>
    <row r="10" spans="1:20" ht="15" thickBot="1" x14ac:dyDescent="0.35">
      <c r="A10" s="255" t="s">
        <v>608</v>
      </c>
      <c r="B10" s="98">
        <v>551107</v>
      </c>
      <c r="C10" s="252">
        <v>55</v>
      </c>
      <c r="D10" s="33"/>
      <c r="E10" s="34"/>
      <c r="O10" s="258"/>
      <c r="P10" s="258"/>
      <c r="S10" s="258"/>
      <c r="T10" s="258"/>
    </row>
    <row r="11" spans="1:20" ht="15" thickBot="1" x14ac:dyDescent="0.35">
      <c r="A11" s="255" t="s">
        <v>609</v>
      </c>
      <c r="B11" s="98">
        <v>551108</v>
      </c>
      <c r="C11" s="252">
        <v>55</v>
      </c>
      <c r="D11" s="33"/>
      <c r="E11" s="34"/>
      <c r="O11" s="258"/>
      <c r="P11" s="258"/>
      <c r="S11" s="258"/>
      <c r="T11" s="258"/>
    </row>
    <row r="12" spans="1:20" ht="29.4" thickBot="1" x14ac:dyDescent="0.35">
      <c r="A12" s="255" t="s">
        <v>610</v>
      </c>
      <c r="B12" s="98">
        <v>551109</v>
      </c>
      <c r="C12" s="252">
        <v>55</v>
      </c>
      <c r="D12" s="33"/>
      <c r="E12" s="34"/>
      <c r="O12" s="258"/>
      <c r="P12" s="258"/>
      <c r="S12" s="258"/>
      <c r="T12" s="258"/>
    </row>
    <row r="13" spans="1:20" ht="15" thickBot="1" x14ac:dyDescent="0.35">
      <c r="A13" s="255" t="s">
        <v>611</v>
      </c>
      <c r="B13" s="98">
        <v>551112</v>
      </c>
      <c r="C13" s="252">
        <v>55</v>
      </c>
      <c r="D13" s="33"/>
      <c r="E13" s="34"/>
      <c r="O13" s="258"/>
      <c r="P13" s="258"/>
      <c r="S13" s="258"/>
      <c r="T13" s="258"/>
    </row>
    <row r="14" spans="1:20" ht="33" customHeight="1" thickBot="1" x14ac:dyDescent="0.35">
      <c r="A14" s="255" t="s">
        <v>612</v>
      </c>
      <c r="B14" s="98">
        <v>551115</v>
      </c>
      <c r="C14" s="252">
        <v>55</v>
      </c>
      <c r="D14" s="33"/>
      <c r="E14" s="34"/>
      <c r="O14" s="258"/>
      <c r="P14" s="258"/>
      <c r="S14" s="258"/>
      <c r="T14" s="258"/>
    </row>
    <row r="15" spans="1:20" ht="15" thickBot="1" x14ac:dyDescent="0.35">
      <c r="A15" s="255" t="s">
        <v>613</v>
      </c>
      <c r="B15" s="98">
        <v>551116</v>
      </c>
      <c r="C15" s="252">
        <v>55</v>
      </c>
      <c r="D15" s="33"/>
      <c r="E15" s="34"/>
      <c r="O15" s="258"/>
      <c r="P15" s="258"/>
      <c r="S15" s="258"/>
      <c r="T15" s="258"/>
    </row>
    <row r="16" spans="1:20" ht="29.4" thickBot="1" x14ac:dyDescent="0.35">
      <c r="A16" s="255" t="s">
        <v>614</v>
      </c>
      <c r="B16" s="98">
        <v>551114</v>
      </c>
      <c r="C16" s="252">
        <v>55</v>
      </c>
      <c r="D16" s="33"/>
      <c r="E16" s="34"/>
      <c r="O16" s="258"/>
      <c r="P16" s="258"/>
      <c r="S16" s="258"/>
      <c r="T16" s="258"/>
    </row>
    <row r="17" spans="1:20" ht="15" thickBot="1" x14ac:dyDescent="0.35">
      <c r="A17" s="255" t="s">
        <v>615</v>
      </c>
      <c r="B17" s="98">
        <v>551117</v>
      </c>
      <c r="C17" s="252">
        <v>55</v>
      </c>
      <c r="D17" s="33"/>
      <c r="E17" s="34"/>
      <c r="O17" s="258"/>
      <c r="P17" s="258"/>
      <c r="S17" s="258"/>
      <c r="T17" s="258"/>
    </row>
    <row r="18" spans="1:20" ht="15" thickBot="1" x14ac:dyDescent="0.35">
      <c r="A18" s="255"/>
      <c r="B18" s="98"/>
      <c r="C18" s="252"/>
      <c r="D18" s="33"/>
      <c r="E18" s="34"/>
      <c r="O18" s="258"/>
      <c r="P18" s="258"/>
      <c r="S18" s="258"/>
      <c r="T18" s="258"/>
    </row>
    <row r="19" spans="1:20" ht="15" thickBot="1" x14ac:dyDescent="0.35">
      <c r="A19" s="255"/>
      <c r="B19" s="98"/>
      <c r="C19" s="252"/>
      <c r="D19" s="33"/>
      <c r="E19" s="34"/>
      <c r="O19" s="258"/>
      <c r="P19" s="258"/>
      <c r="S19" s="258"/>
      <c r="T19" s="258"/>
    </row>
    <row r="20" spans="1:20" ht="15" thickBot="1" x14ac:dyDescent="0.35">
      <c r="A20" s="255"/>
      <c r="B20" s="98"/>
      <c r="C20" s="252"/>
      <c r="D20" s="33"/>
      <c r="E20" s="34"/>
      <c r="O20" s="258"/>
      <c r="P20" s="258"/>
      <c r="S20" s="258"/>
      <c r="T20" s="258"/>
    </row>
    <row r="21" spans="1:20" ht="15" thickBot="1" x14ac:dyDescent="0.35">
      <c r="A21" s="255"/>
      <c r="B21" s="98"/>
      <c r="C21" s="252"/>
      <c r="D21" s="33"/>
      <c r="E21" s="34"/>
      <c r="O21" s="258"/>
      <c r="P21" s="258"/>
      <c r="S21" s="258"/>
      <c r="T21" s="258"/>
    </row>
    <row r="22" spans="1:20" ht="15" thickBot="1" x14ac:dyDescent="0.35">
      <c r="A22" s="255"/>
      <c r="B22" s="98"/>
      <c r="C22" s="252"/>
      <c r="D22" s="33"/>
      <c r="E22" s="34"/>
      <c r="O22" s="258"/>
      <c r="P22" s="258"/>
      <c r="S22" s="258"/>
      <c r="T22" s="258"/>
    </row>
    <row r="23" spans="1:20" ht="15" thickBot="1" x14ac:dyDescent="0.35">
      <c r="A23" s="255"/>
      <c r="B23" s="98"/>
      <c r="C23" s="252"/>
      <c r="D23" s="33"/>
      <c r="E23" s="34"/>
      <c r="O23" s="258"/>
      <c r="P23" s="258"/>
      <c r="S23" s="258"/>
      <c r="T23" s="258"/>
    </row>
    <row r="24" spans="1:20" ht="15" thickBot="1" x14ac:dyDescent="0.35">
      <c r="A24" s="255"/>
      <c r="B24" s="98"/>
      <c r="C24" s="252"/>
      <c r="D24" s="33"/>
      <c r="E24" s="34"/>
      <c r="O24" s="258"/>
      <c r="P24" s="258"/>
      <c r="S24" s="258"/>
      <c r="T24" s="258"/>
    </row>
    <row r="25" spans="1:20" ht="15" thickBot="1" x14ac:dyDescent="0.35">
      <c r="A25" s="255"/>
      <c r="B25" s="98"/>
      <c r="C25" s="252"/>
      <c r="D25" s="33"/>
      <c r="E25" s="34"/>
      <c r="O25" s="258"/>
      <c r="P25" s="258"/>
      <c r="S25" s="258"/>
      <c r="T25" s="258"/>
    </row>
    <row r="26" spans="1:20" ht="15" thickBot="1" x14ac:dyDescent="0.35">
      <c r="A26" s="255"/>
      <c r="B26" s="98"/>
      <c r="C26" s="252"/>
      <c r="D26" s="33"/>
      <c r="E26" s="34"/>
      <c r="O26" s="258"/>
      <c r="P26" s="258"/>
      <c r="S26" s="258"/>
      <c r="T26" s="258"/>
    </row>
    <row r="27" spans="1:20" ht="15" thickBot="1" x14ac:dyDescent="0.35">
      <c r="A27" s="255"/>
      <c r="B27" s="98"/>
      <c r="C27" s="252"/>
      <c r="D27" s="33"/>
      <c r="E27" s="34"/>
      <c r="O27" s="258"/>
      <c r="P27" s="258"/>
      <c r="S27" s="258"/>
      <c r="T27" s="258"/>
    </row>
    <row r="28" spans="1:20" ht="15" thickBot="1" x14ac:dyDescent="0.35">
      <c r="A28" s="255"/>
      <c r="B28" s="98"/>
      <c r="C28" s="252"/>
      <c r="D28" s="33"/>
      <c r="E28" s="34"/>
      <c r="O28" s="258"/>
      <c r="P28" s="258"/>
      <c r="S28" s="258"/>
      <c r="T28" s="258"/>
    </row>
    <row r="29" spans="1:20" ht="21.6" customHeight="1" thickBot="1" x14ac:dyDescent="0.35">
      <c r="A29" s="255"/>
      <c r="B29" s="98"/>
      <c r="C29" s="252"/>
      <c r="D29" s="33"/>
      <c r="E29" s="34"/>
      <c r="O29" s="258"/>
      <c r="P29" s="258"/>
      <c r="S29" s="258"/>
      <c r="T29" s="258"/>
    </row>
    <row r="30" spans="1:20" ht="22.95" customHeight="1" thickBot="1" x14ac:dyDescent="0.35">
      <c r="A30" s="255"/>
      <c r="B30" s="98"/>
      <c r="C30" s="252"/>
      <c r="D30" s="33"/>
      <c r="E30" s="34"/>
      <c r="O30" s="258"/>
      <c r="P30" s="258"/>
      <c r="S30" s="258"/>
      <c r="T30" s="258"/>
    </row>
    <row r="31" spans="1:20" ht="15" thickBot="1" x14ac:dyDescent="0.35">
      <c r="A31" s="255"/>
      <c r="B31" s="98"/>
      <c r="C31" s="252"/>
      <c r="D31" s="33"/>
      <c r="E31" s="34"/>
      <c r="O31" s="258"/>
      <c r="P31" s="258"/>
      <c r="S31" s="258"/>
      <c r="T31" s="258"/>
    </row>
    <row r="32" spans="1:20" ht="15" thickBot="1" x14ac:dyDescent="0.35">
      <c r="A32" s="255"/>
      <c r="B32" s="98"/>
      <c r="C32" s="252"/>
      <c r="D32" s="33"/>
      <c r="E32" s="34"/>
      <c r="O32" s="258"/>
      <c r="P32" s="258"/>
      <c r="S32" s="258"/>
      <c r="T32" s="258"/>
    </row>
    <row r="33" spans="1:20" ht="15" thickBot="1" x14ac:dyDescent="0.35">
      <c r="A33" s="255"/>
      <c r="B33" s="98"/>
      <c r="C33" s="252"/>
      <c r="D33" s="33"/>
      <c r="E33" s="34"/>
      <c r="O33" s="258"/>
      <c r="P33" s="258"/>
      <c r="S33" s="258"/>
      <c r="T33" s="258"/>
    </row>
    <row r="34" spans="1:20" ht="15" thickBot="1" x14ac:dyDescent="0.35">
      <c r="A34" s="255"/>
      <c r="B34" s="98"/>
      <c r="C34" s="252"/>
      <c r="D34" s="33"/>
      <c r="E34" s="34"/>
      <c r="O34" s="258"/>
      <c r="P34" s="258"/>
      <c r="S34" s="258"/>
      <c r="T34" s="258"/>
    </row>
    <row r="35" spans="1:20" ht="15" thickBot="1" x14ac:dyDescent="0.35">
      <c r="A35" s="255"/>
      <c r="B35" s="98"/>
      <c r="C35" s="252"/>
      <c r="D35" s="33"/>
      <c r="E35" s="34"/>
      <c r="O35" s="258"/>
      <c r="P35" s="258"/>
      <c r="S35" s="258"/>
      <c r="T35" s="258"/>
    </row>
    <row r="36" spans="1:20" ht="15" thickBot="1" x14ac:dyDescent="0.35">
      <c r="A36" s="255"/>
      <c r="B36" s="98"/>
      <c r="C36" s="252"/>
      <c r="D36" s="33"/>
      <c r="E36" s="34"/>
      <c r="O36" s="258"/>
      <c r="P36" s="258"/>
      <c r="S36" s="258"/>
      <c r="T36" s="258"/>
    </row>
    <row r="37" spans="1:20" ht="15" thickBot="1" x14ac:dyDescent="0.35">
      <c r="A37" s="255"/>
      <c r="B37" s="98"/>
      <c r="C37" s="252"/>
      <c r="D37" s="33"/>
      <c r="E37" s="34"/>
      <c r="O37" s="258"/>
      <c r="P37" s="258"/>
      <c r="S37" s="258"/>
      <c r="T37" s="258"/>
    </row>
    <row r="38" spans="1:20" ht="15" thickBot="1" x14ac:dyDescent="0.35">
      <c r="A38" s="255"/>
      <c r="B38" s="98"/>
      <c r="C38" s="252"/>
      <c r="D38" s="33"/>
      <c r="E38" s="34"/>
      <c r="O38" s="258"/>
      <c r="P38" s="258"/>
      <c r="S38" s="258"/>
      <c r="T38" s="258"/>
    </row>
    <row r="39" spans="1:20" ht="15" thickBot="1" x14ac:dyDescent="0.35">
      <c r="A39" s="255"/>
      <c r="B39" s="98"/>
      <c r="C39" s="252"/>
      <c r="D39" s="33"/>
      <c r="E39" s="34"/>
      <c r="O39" s="258"/>
      <c r="P39" s="258"/>
      <c r="S39" s="258"/>
      <c r="T39" s="258"/>
    </row>
    <row r="40" spans="1:20" ht="15" thickBot="1" x14ac:dyDescent="0.35">
      <c r="A40" s="255"/>
      <c r="B40" s="98"/>
      <c r="C40" s="252"/>
      <c r="D40" s="33"/>
      <c r="E40" s="34"/>
      <c r="O40" s="258"/>
      <c r="P40" s="258"/>
      <c r="S40" s="258"/>
      <c r="T40" s="258"/>
    </row>
    <row r="41" spans="1:20" ht="15" thickBot="1" x14ac:dyDescent="0.35">
      <c r="A41" s="255"/>
      <c r="B41" s="98"/>
      <c r="C41" s="252"/>
      <c r="D41" s="33"/>
      <c r="E41" s="34"/>
      <c r="O41" s="258"/>
      <c r="P41" s="258"/>
      <c r="S41" s="258"/>
      <c r="T41" s="258"/>
    </row>
    <row r="42" spans="1:20" ht="15" thickBot="1" x14ac:dyDescent="0.35">
      <c r="A42" s="255"/>
      <c r="B42" s="98"/>
      <c r="C42" s="252"/>
      <c r="D42" s="33"/>
      <c r="E42" s="34"/>
      <c r="O42" s="258"/>
      <c r="P42" s="258"/>
      <c r="S42" s="258"/>
      <c r="T42" s="258"/>
    </row>
    <row r="43" spans="1:20" ht="15" thickBot="1" x14ac:dyDescent="0.35">
      <c r="A43" s="255"/>
      <c r="B43" s="98"/>
      <c r="C43" s="252"/>
      <c r="D43" s="33"/>
      <c r="E43" s="34"/>
      <c r="O43" s="258"/>
      <c r="P43" s="258"/>
      <c r="S43" s="258"/>
      <c r="T43" s="258"/>
    </row>
    <row r="44" spans="1:20" ht="15" thickBot="1" x14ac:dyDescent="0.35">
      <c r="A44" s="255"/>
      <c r="B44" s="98"/>
      <c r="C44" s="252"/>
      <c r="D44" s="33"/>
      <c r="E44" s="34"/>
      <c r="O44" s="258"/>
      <c r="P44" s="258"/>
      <c r="S44" s="258"/>
      <c r="T44" s="258"/>
    </row>
    <row r="45" spans="1:20" ht="15" thickBot="1" x14ac:dyDescent="0.35">
      <c r="A45" s="255"/>
      <c r="B45" s="98"/>
      <c r="C45" s="252"/>
      <c r="D45" s="33"/>
      <c r="E45" s="34"/>
      <c r="O45" s="258"/>
      <c r="P45" s="258"/>
      <c r="S45" s="258"/>
      <c r="T45" s="258"/>
    </row>
    <row r="46" spans="1:20" ht="15" thickBot="1" x14ac:dyDescent="0.35">
      <c r="A46" s="255"/>
      <c r="B46" s="98"/>
      <c r="C46" s="252"/>
      <c r="D46" s="33"/>
      <c r="E46" s="34"/>
      <c r="O46" s="258"/>
      <c r="P46" s="258"/>
      <c r="S46" s="258"/>
      <c r="T46" s="258"/>
    </row>
    <row r="47" spans="1:20" ht="15" thickBot="1" x14ac:dyDescent="0.35">
      <c r="A47" s="255"/>
      <c r="B47" s="98"/>
      <c r="C47" s="252"/>
      <c r="D47" s="33"/>
      <c r="E47" s="34"/>
      <c r="O47" s="258"/>
      <c r="P47" s="258"/>
      <c r="S47" s="258"/>
      <c r="T47" s="258"/>
    </row>
    <row r="48" spans="1:20" ht="15" thickBot="1" x14ac:dyDescent="0.35">
      <c r="A48" s="255"/>
      <c r="B48" s="98"/>
      <c r="C48" s="252"/>
      <c r="D48" s="33"/>
      <c r="E48" s="34"/>
      <c r="O48" s="258"/>
      <c r="P48" s="258"/>
      <c r="S48" s="258"/>
      <c r="T48" s="258"/>
    </row>
    <row r="49" spans="1:20" ht="15" thickBot="1" x14ac:dyDescent="0.35">
      <c r="A49" s="255"/>
      <c r="B49" s="98"/>
      <c r="C49" s="252"/>
      <c r="D49" s="33"/>
      <c r="E49" s="34"/>
      <c r="O49" s="258"/>
      <c r="P49" s="258"/>
      <c r="S49" s="258"/>
      <c r="T49" s="258"/>
    </row>
    <row r="50" spans="1:20" ht="15" thickBot="1" x14ac:dyDescent="0.35">
      <c r="A50" s="255"/>
      <c r="B50" s="98"/>
      <c r="C50" s="252"/>
      <c r="D50" s="33"/>
      <c r="E50" s="34"/>
      <c r="O50" s="258"/>
      <c r="P50" s="258"/>
      <c r="S50" s="258"/>
      <c r="T50" s="258"/>
    </row>
    <row r="51" spans="1:20" ht="15" thickBot="1" x14ac:dyDescent="0.35">
      <c r="A51" s="255"/>
      <c r="B51" s="98"/>
      <c r="C51" s="252"/>
      <c r="D51" s="33"/>
      <c r="E51" s="34"/>
      <c r="O51" s="258"/>
      <c r="P51" s="258"/>
      <c r="S51" s="258"/>
      <c r="T51" s="258"/>
    </row>
    <row r="52" spans="1:20" ht="15" thickBot="1" x14ac:dyDescent="0.35">
      <c r="A52" s="255"/>
      <c r="B52" s="98"/>
      <c r="C52" s="252"/>
      <c r="D52" s="33"/>
      <c r="E52" s="34"/>
      <c r="O52" s="258"/>
      <c r="P52" s="258"/>
      <c r="S52" s="258"/>
      <c r="T52" s="258"/>
    </row>
    <row r="53" spans="1:20" ht="15" thickBot="1" x14ac:dyDescent="0.35">
      <c r="A53" s="255"/>
      <c r="B53" s="98"/>
      <c r="C53" s="252"/>
      <c r="D53" s="33"/>
      <c r="E53" s="34"/>
      <c r="O53" s="258"/>
      <c r="P53" s="258"/>
      <c r="S53" s="258"/>
      <c r="T53" s="258"/>
    </row>
    <row r="54" spans="1:20" ht="15" thickBot="1" x14ac:dyDescent="0.35">
      <c r="A54" s="255"/>
      <c r="B54" s="98"/>
      <c r="C54" s="252"/>
      <c r="D54" s="33"/>
      <c r="E54" s="34"/>
      <c r="O54" s="258"/>
      <c r="P54" s="258"/>
      <c r="S54" s="258"/>
      <c r="T54" s="258"/>
    </row>
    <row r="55" spans="1:20" ht="15" thickBot="1" x14ac:dyDescent="0.35">
      <c r="A55" s="255"/>
      <c r="B55" s="98"/>
      <c r="C55" s="252"/>
      <c r="D55" s="33"/>
      <c r="E55" s="34"/>
      <c r="O55" s="258"/>
      <c r="P55" s="258"/>
      <c r="S55" s="258"/>
      <c r="T55" s="258"/>
    </row>
    <row r="56" spans="1:20" ht="15" thickBot="1" x14ac:dyDescent="0.35">
      <c r="A56" s="255"/>
      <c r="B56" s="98"/>
      <c r="C56" s="252"/>
      <c r="D56" s="33"/>
      <c r="E56" s="34"/>
      <c r="O56" s="258"/>
      <c r="P56" s="258"/>
      <c r="S56" s="258"/>
      <c r="T56" s="258"/>
    </row>
    <row r="57" spans="1:20" ht="15" thickBot="1" x14ac:dyDescent="0.35">
      <c r="A57" s="255"/>
      <c r="B57" s="98"/>
      <c r="C57" s="252"/>
      <c r="D57" s="33"/>
      <c r="E57" s="34"/>
      <c r="O57" s="258"/>
      <c r="P57" s="258"/>
      <c r="S57" s="258"/>
      <c r="T57" s="258"/>
    </row>
    <row r="58" spans="1:20" ht="15" thickBot="1" x14ac:dyDescent="0.35">
      <c r="A58" s="255"/>
      <c r="B58" s="98"/>
      <c r="C58" s="252"/>
      <c r="D58" s="33"/>
      <c r="E58" s="34"/>
      <c r="O58" s="258"/>
      <c r="P58" s="258"/>
      <c r="S58" s="258"/>
      <c r="T58" s="258"/>
    </row>
    <row r="59" spans="1:20" ht="15" thickBot="1" x14ac:dyDescent="0.35">
      <c r="A59" s="255"/>
      <c r="B59" s="98"/>
      <c r="C59" s="252"/>
      <c r="D59" s="33"/>
      <c r="E59" s="34"/>
      <c r="O59" s="258"/>
      <c r="P59" s="258"/>
      <c r="S59" s="258"/>
      <c r="T59" s="258"/>
    </row>
    <row r="60" spans="1:20" ht="15" thickBot="1" x14ac:dyDescent="0.35">
      <c r="A60" s="255"/>
      <c r="B60" s="98"/>
      <c r="C60" s="252"/>
      <c r="D60" s="33"/>
      <c r="E60" s="34"/>
      <c r="O60" s="258"/>
      <c r="P60" s="258"/>
      <c r="S60" s="258"/>
      <c r="T60" s="258"/>
    </row>
    <row r="61" spans="1:20" ht="15" thickBot="1" x14ac:dyDescent="0.35">
      <c r="A61" s="255"/>
      <c r="B61" s="98"/>
      <c r="C61" s="252"/>
      <c r="D61" s="33"/>
      <c r="E61" s="34"/>
      <c r="O61" s="258"/>
      <c r="P61" s="258"/>
      <c r="S61" s="258"/>
      <c r="T61" s="258"/>
    </row>
    <row r="62" spans="1:20" ht="15" thickBot="1" x14ac:dyDescent="0.35">
      <c r="A62" s="255"/>
      <c r="B62" s="98"/>
      <c r="C62" s="252"/>
      <c r="D62" s="33"/>
      <c r="E62" s="34"/>
      <c r="O62" s="258"/>
      <c r="P62" s="258"/>
      <c r="S62" s="258"/>
      <c r="T62" s="258"/>
    </row>
    <row r="63" spans="1:20" ht="15" thickBot="1" x14ac:dyDescent="0.35">
      <c r="A63" s="255"/>
      <c r="B63" s="98"/>
      <c r="C63" s="252"/>
      <c r="D63" s="33"/>
      <c r="E63" s="34"/>
      <c r="O63" s="258"/>
      <c r="P63" s="258"/>
      <c r="S63" s="258"/>
      <c r="T63" s="258"/>
    </row>
    <row r="64" spans="1:20" ht="15" thickBot="1" x14ac:dyDescent="0.35">
      <c r="A64" s="255"/>
      <c r="B64" s="98"/>
      <c r="C64" s="252"/>
      <c r="D64" s="33"/>
      <c r="E64" s="34"/>
      <c r="O64" s="258"/>
      <c r="P64" s="258"/>
      <c r="S64" s="258"/>
      <c r="T64" s="258"/>
    </row>
    <row r="65" spans="1:20" ht="15" thickBot="1" x14ac:dyDescent="0.35">
      <c r="A65" s="255"/>
      <c r="B65" s="98"/>
      <c r="C65" s="252"/>
      <c r="D65" s="33"/>
      <c r="E65" s="34"/>
      <c r="O65" s="258"/>
      <c r="P65" s="258"/>
      <c r="S65" s="258"/>
      <c r="T65" s="258"/>
    </row>
    <row r="66" spans="1:20" ht="15" thickBot="1" x14ac:dyDescent="0.35">
      <c r="A66" s="255"/>
      <c r="B66" s="98"/>
      <c r="C66" s="252"/>
      <c r="D66" s="33"/>
      <c r="E66" s="34"/>
      <c r="O66" s="258"/>
      <c r="P66" s="258"/>
      <c r="S66" s="258"/>
      <c r="T66" s="258"/>
    </row>
    <row r="67" spans="1:20" ht="15" thickBot="1" x14ac:dyDescent="0.35">
      <c r="A67" s="255"/>
      <c r="B67" s="98"/>
      <c r="C67" s="252"/>
      <c r="D67" s="33"/>
      <c r="E67" s="34"/>
      <c r="O67" s="258"/>
      <c r="P67" s="258"/>
      <c r="S67" s="258"/>
      <c r="T67" s="258"/>
    </row>
    <row r="68" spans="1:20" ht="15" thickBot="1" x14ac:dyDescent="0.35">
      <c r="A68" s="255"/>
      <c r="B68" s="98"/>
      <c r="C68" s="252"/>
      <c r="D68" s="33"/>
      <c r="E68" s="34"/>
      <c r="O68" s="258"/>
      <c r="P68" s="258"/>
      <c r="S68" s="258"/>
      <c r="T68" s="258"/>
    </row>
  </sheetData>
  <sheetProtection algorithmName="SHA-512" hashValue="DeKLskMSzZz4oh7jCn/2ihPB8elWIKsBbsEZ34JaaZn3H9tbadWv4JLGuijiptdotywQdfoz2dCbIMYq4Aw3yA==" saltValue="I5o85H8l9K5rXMpQQva4k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34"/>
  <sheetViews>
    <sheetView topLeftCell="B1"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58" customWidth="1"/>
    <col min="5" max="5" width="17.109375" style="16" customWidth="1"/>
    <col min="6" max="6" width="21.5546875" style="258" customWidth="1"/>
    <col min="7" max="7" width="26.6640625" style="294" customWidth="1"/>
    <col min="8" max="8" width="25.109375" style="207" customWidth="1"/>
    <col min="9" max="9" width="24" style="258" customWidth="1"/>
    <col min="10" max="10" width="13.5546875" style="16" customWidth="1"/>
    <col min="11" max="11" width="11.6640625" style="16" customWidth="1"/>
    <col min="12" max="12" width="4" hidden="1" customWidth="1"/>
    <col min="13" max="13" width="11" style="16" hidden="1" customWidth="1"/>
    <col min="14" max="14" width="3.33203125" style="126"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58"/>
  </cols>
  <sheetData>
    <row r="1" spans="1:122" x14ac:dyDescent="0.3">
      <c r="B1" s="296" t="s">
        <v>255</v>
      </c>
      <c r="C1" s="296"/>
      <c r="E1" s="259" t="s">
        <v>7</v>
      </c>
      <c r="F1" s="260">
        <v>2023</v>
      </c>
      <c r="G1" s="75" t="s">
        <v>55</v>
      </c>
      <c r="H1" s="261"/>
      <c r="I1" s="262"/>
      <c r="J1" s="263"/>
      <c r="M1" s="16" t="s">
        <v>17</v>
      </c>
      <c r="O1" s="16">
        <v>1</v>
      </c>
    </row>
    <row r="2" spans="1:122" ht="44.25" customHeight="1" thickBot="1" x14ac:dyDescent="0.35">
      <c r="B2" s="721" t="s">
        <v>187</v>
      </c>
      <c r="C2" s="722"/>
      <c r="D2" s="264" t="s">
        <v>387</v>
      </c>
      <c r="E2" s="719" t="s">
        <v>191</v>
      </c>
      <c r="F2" s="719"/>
      <c r="G2" s="720"/>
      <c r="H2" s="368" t="s">
        <v>958</v>
      </c>
      <c r="M2" s="16" t="s">
        <v>18</v>
      </c>
      <c r="N2" s="126">
        <v>50</v>
      </c>
      <c r="O2" s="16">
        <v>2</v>
      </c>
    </row>
    <row r="3" spans="1:122" ht="15" thickBot="1" x14ac:dyDescent="0.35">
      <c r="B3" s="297" t="s">
        <v>0</v>
      </c>
      <c r="C3" s="298"/>
      <c r="D3" s="266" t="e">
        <f>VLOOKUP(D2,'Unit Names(H)'!A2:B139,2,FALSE)</f>
        <v>#N/A</v>
      </c>
      <c r="E3" s="329"/>
      <c r="F3" s="267"/>
      <c r="G3" s="268"/>
      <c r="H3" s="265"/>
      <c r="N3" s="126">
        <v>51</v>
      </c>
      <c r="O3" s="16">
        <v>3</v>
      </c>
    </row>
    <row r="4" spans="1:122" ht="15" thickBot="1" x14ac:dyDescent="0.35">
      <c r="B4" s="299" t="s">
        <v>350</v>
      </c>
      <c r="C4" s="300"/>
      <c r="D4" s="269"/>
      <c r="E4" s="269"/>
      <c r="F4" s="270"/>
      <c r="G4" s="271"/>
      <c r="H4" s="265"/>
      <c r="I4" s="1"/>
      <c r="M4" s="16" t="s">
        <v>213</v>
      </c>
      <c r="N4" s="126">
        <v>52</v>
      </c>
      <c r="O4" s="16">
        <v>4</v>
      </c>
    </row>
    <row r="5" spans="1:122" ht="37.5" customHeight="1" x14ac:dyDescent="0.3">
      <c r="A5" s="249" t="s">
        <v>253</v>
      </c>
      <c r="B5" s="181" t="s">
        <v>41</v>
      </c>
      <c r="C5" s="181" t="s">
        <v>57</v>
      </c>
      <c r="D5" s="272" t="s">
        <v>1</v>
      </c>
      <c r="E5" s="272">
        <v>2022</v>
      </c>
      <c r="F5" s="273">
        <v>2023</v>
      </c>
      <c r="G5" s="274" t="s">
        <v>384</v>
      </c>
      <c r="H5" s="275" t="s">
        <v>195</v>
      </c>
      <c r="I5" s="260" t="s">
        <v>2</v>
      </c>
      <c r="M5" s="16" t="s">
        <v>282</v>
      </c>
    </row>
    <row r="6" spans="1:122" ht="22.5" customHeight="1" x14ac:dyDescent="0.3">
      <c r="A6" s="180"/>
      <c r="B6" s="309" t="s">
        <v>56</v>
      </c>
      <c r="C6" s="310"/>
      <c r="D6" s="311"/>
      <c r="E6" s="312"/>
      <c r="F6" s="313"/>
      <c r="G6" s="305"/>
      <c r="H6" s="15"/>
      <c r="M6" s="16" t="s">
        <v>268</v>
      </c>
    </row>
    <row r="7" spans="1:122" s="16" customFormat="1" ht="63.75" customHeight="1" x14ac:dyDescent="0.3">
      <c r="A7" s="370">
        <v>333</v>
      </c>
      <c r="B7" s="249" t="s">
        <v>26</v>
      </c>
      <c r="C7" s="249" t="s">
        <v>58</v>
      </c>
      <c r="D7" s="257" t="s">
        <v>351</v>
      </c>
      <c r="E7" s="248" t="e">
        <f>INDEX('PY1 Data(H)'!$A$1:$CZ$135,MATCH('Unit Data from Audit Worksheet'!$A7,'PY1 Data(H)'!$A$1:$A$135,0),MATCH('Unit Data from Audit Worksheet'!$D$2,'PY1 Data(H)'!$A$1:$CZ$1,0))</f>
        <v>#N/A</v>
      </c>
      <c r="F7" s="125">
        <v>0</v>
      </c>
      <c r="G7" s="277"/>
      <c r="H7" s="278"/>
      <c r="I7" s="680"/>
      <c r="J7" s="194"/>
      <c r="L7"/>
      <c r="M7" s="16" t="s">
        <v>283</v>
      </c>
      <c r="N7" s="126"/>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4">
        <v>500</v>
      </c>
      <c r="B8" s="249" t="s">
        <v>21</v>
      </c>
      <c r="C8" s="249" t="s">
        <v>58</v>
      </c>
      <c r="D8" s="257" t="s">
        <v>352</v>
      </c>
      <c r="E8" s="248" t="e">
        <f>INDEX('PY1 Data(H)'!$A$1:$CZ$135,MATCH('Unit Data from Audit Worksheet'!$A8,'PY1 Data(H)'!$A$1:$A$135,0),MATCH('Unit Data from Audit Worksheet'!$D$2,'PY1 Data(H)'!$A$1:$CZ$1,0))</f>
        <v>#N/A</v>
      </c>
      <c r="F8" s="125">
        <v>0</v>
      </c>
      <c r="G8" s="277">
        <f>IF(F8&lt;0,"Note: Number is normally positive.",)</f>
        <v>0</v>
      </c>
      <c r="H8" s="278"/>
      <c r="I8" s="680"/>
      <c r="J8" s="194"/>
      <c r="L8"/>
      <c r="M8" s="16" t="s">
        <v>284</v>
      </c>
      <c r="N8" s="126"/>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381">
        <v>385</v>
      </c>
      <c r="B9" s="3" t="s">
        <v>24</v>
      </c>
      <c r="C9" s="249" t="s">
        <v>58</v>
      </c>
      <c r="D9" s="63" t="s">
        <v>59</v>
      </c>
      <c r="E9" s="248" t="e">
        <f>INDEX('PY1 Data(H)'!$A$1:$CZ$135,MATCH('Unit Data from Audit Worksheet'!$A9,'PY1 Data(H)'!$A$1:$A$135,0),MATCH('Unit Data from Audit Worksheet'!$D$2,'PY1 Data(H)'!$A$1:$CZ$1,0))-INDEX('PY1 Data(H)'!$A$1:$CZ$135,MATCH('Unit Data from Audit Worksheet'!$A11,'PY1 Data(H)'!$A$1:$A$135,0),MATCH('Unit Data from Audit Worksheet'!$D$2,'PY1 Data(H)'!$A$1:$CZ$1,0))</f>
        <v>#N/A</v>
      </c>
      <c r="F9" s="125">
        <v>0</v>
      </c>
      <c r="G9" s="277">
        <f>IF((F7+F8)&gt;F9,"Error: Please review Account numbers (333+500)&gt;385",)</f>
        <v>0</v>
      </c>
      <c r="H9" s="15"/>
      <c r="I9" s="680"/>
      <c r="J9"/>
    </row>
    <row r="10" spans="1:122" s="16" customFormat="1" ht="90" customHeight="1" x14ac:dyDescent="0.3">
      <c r="A10" s="64">
        <v>575</v>
      </c>
      <c r="B10" s="249" t="s">
        <v>28</v>
      </c>
      <c r="C10" s="249" t="s">
        <v>58</v>
      </c>
      <c r="D10" s="301" t="s">
        <v>353</v>
      </c>
      <c r="E10" s="248" t="e">
        <f>INDEX('PY1 Data(H)'!$A$1:$CZ$135,MATCH('Unit Data from Audit Worksheet'!$A10,'PY1 Data(H)'!$A$1:$A$135,0),MATCH('Unit Data from Audit Worksheet'!$D$2,'PY1 Data(H)'!$A$1:$CZ$1,0))</f>
        <v>#N/A</v>
      </c>
      <c r="F10" s="125">
        <v>0</v>
      </c>
      <c r="G10" s="277">
        <f>IF(F10&lt;0,"Note: Number is normally positive.",)</f>
        <v>0</v>
      </c>
      <c r="H10" s="279"/>
      <c r="I10" s="680"/>
      <c r="J10"/>
      <c r="L10"/>
      <c r="N10" s="126"/>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4">
        <v>576</v>
      </c>
      <c r="B11" s="249" t="s">
        <v>28</v>
      </c>
      <c r="C11" s="249" t="s">
        <v>58</v>
      </c>
      <c r="D11" s="301" t="s">
        <v>354</v>
      </c>
      <c r="E11" s="248" t="e">
        <f>INDEX('PY1 Data(H)'!$A$1:$CZ$135,MATCH('Unit Data from Audit Worksheet'!$A11,'PY1 Data(H)'!$A$1:$A$135,0),MATCH('Unit Data from Audit Worksheet'!$D$2,'PY1 Data(H)'!$A$1:$CZ$1,0))</f>
        <v>#N/A</v>
      </c>
      <c r="F11" s="125">
        <v>0</v>
      </c>
      <c r="G11" s="277">
        <f>IF(F11&lt;0,"Error: Enter as positive.",)</f>
        <v>0</v>
      </c>
      <c r="H11" s="279"/>
      <c r="I11" s="680"/>
      <c r="J11"/>
      <c r="L11"/>
      <c r="N11" s="126"/>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381">
        <v>626</v>
      </c>
      <c r="B12" s="561" t="s">
        <v>288</v>
      </c>
      <c r="C12" s="561" t="s">
        <v>58</v>
      </c>
      <c r="D12" s="147" t="s">
        <v>355</v>
      </c>
      <c r="E12" s="248" t="e">
        <f>INDEX('PY1 Data(H)'!$A$1:$CZ$135,MATCH('Unit Data from Audit Worksheet'!$A12,'PY1 Data(H)'!$A$1:$A$135,0),MATCH('Unit Data from Audit Worksheet'!$D$2,'PY1 Data(H)'!$A$1:$CZ$1,0))-INDEX('PY1 Data(H)'!$A$1:$CZ$135,MATCH('Unit Data from Audit Worksheet'!$A11,'PY1 Data(H)'!$A$1:$A$135,0),MATCH('Unit Data from Audit Worksheet'!$D$2,'PY1 Data(H)'!$A$1:$CZ$1,0))</f>
        <v>#N/A</v>
      </c>
      <c r="F12" s="125">
        <v>0</v>
      </c>
      <c r="G12" s="277">
        <f>IF(F12&lt;0,"Error: Enter as positive.",)</f>
        <v>0</v>
      </c>
      <c r="H12" s="280"/>
      <c r="I12" s="680"/>
      <c r="J12"/>
    </row>
    <row r="13" spans="1:122" ht="89.25" customHeight="1" x14ac:dyDescent="0.3">
      <c r="A13" s="129">
        <v>627</v>
      </c>
      <c r="B13" s="562" t="s">
        <v>238</v>
      </c>
      <c r="C13" s="561" t="s">
        <v>58</v>
      </c>
      <c r="D13" s="147" t="s">
        <v>356</v>
      </c>
      <c r="E13" s="248" t="e">
        <f>INDEX('PY1 Data(H)'!$A$1:$CZ$135,MATCH('Unit Data from Audit Worksheet'!$A13,'PY1 Data(H)'!$A$1:$A$135,0),MATCH('Unit Data from Audit Worksheet'!$D$2,'PY1 Data(H)'!$A$1:$CZ$1,0))</f>
        <v>#N/A</v>
      </c>
      <c r="F13" s="125">
        <v>0</v>
      </c>
      <c r="G13" s="277">
        <f>IF(F13&gt;F12,"Please review account numbers 627 &gt;626",)</f>
        <v>0</v>
      </c>
      <c r="H13" s="280"/>
      <c r="I13" s="680"/>
      <c r="J13"/>
    </row>
    <row r="14" spans="1:122" ht="105" customHeight="1" x14ac:dyDescent="0.3">
      <c r="A14" s="129">
        <v>628</v>
      </c>
      <c r="B14" s="562" t="s">
        <v>238</v>
      </c>
      <c r="C14" s="561" t="s">
        <v>58</v>
      </c>
      <c r="D14" s="147" t="s">
        <v>357</v>
      </c>
      <c r="E14" s="248" t="e">
        <f>INDEX('PY1 Data(H)'!$A$1:$CZ$135,MATCH('Unit Data from Audit Worksheet'!$A14,'PY1 Data(H)'!$A$1:$A$135,0),MATCH('Unit Data from Audit Worksheet'!$D$2,'PY1 Data(H)'!$A$1:$CZ$1,0))</f>
        <v>#N/A</v>
      </c>
      <c r="F14" s="125">
        <v>0</v>
      </c>
      <c r="G14" s="277">
        <f>IF(F14&gt;F12,"Please review account numbers 628 &gt; 626",)</f>
        <v>0</v>
      </c>
      <c r="H14" s="280"/>
      <c r="I14" s="680"/>
      <c r="J14"/>
    </row>
    <row r="15" spans="1:122" ht="95.25" customHeight="1" x14ac:dyDescent="0.3">
      <c r="A15" s="129">
        <v>629</v>
      </c>
      <c r="B15" s="562" t="s">
        <v>238</v>
      </c>
      <c r="C15" s="561" t="s">
        <v>58</v>
      </c>
      <c r="D15" s="147" t="s">
        <v>358</v>
      </c>
      <c r="E15" s="248" t="e">
        <f>INDEX('PY1 Data(H)'!$A$1:$CZ$135,MATCH('Unit Data from Audit Worksheet'!$A15,'PY1 Data(H)'!$A$1:$A$135,0),MATCH('Unit Data from Audit Worksheet'!$D$2,'PY1 Data(H)'!$A$1:$CZ$1,0))</f>
        <v>#N/A</v>
      </c>
      <c r="F15" s="125">
        <v>0</v>
      </c>
      <c r="G15" s="277">
        <f>IF(F15&gt;F12,"Please review account numbers 629 &gt; 626",)</f>
        <v>0</v>
      </c>
      <c r="H15" s="280"/>
      <c r="I15" s="680"/>
      <c r="J15"/>
    </row>
    <row r="16" spans="1:122" ht="69" customHeight="1" x14ac:dyDescent="0.3">
      <c r="A16" s="129">
        <v>630</v>
      </c>
      <c r="B16" s="562" t="s">
        <v>238</v>
      </c>
      <c r="C16" s="561" t="s">
        <v>58</v>
      </c>
      <c r="D16" s="147" t="s">
        <v>279</v>
      </c>
      <c r="E16" s="248" t="e">
        <f>INDEX('PY1 Data(H)'!$A$1:$CZ$135,MATCH('Unit Data from Audit Worksheet'!$A16,'PY1 Data(H)'!$A$1:$A$135,0),MATCH('Unit Data from Audit Worksheet'!$D$2,'PY1 Data(H)'!$A$1:$CZ$1,0))</f>
        <v>#N/A</v>
      </c>
      <c r="F16" s="125">
        <v>0</v>
      </c>
      <c r="G16" s="277">
        <f>IF(F16&gt;F12,"Please review account numbers 630 &gt; 626",)</f>
        <v>0</v>
      </c>
      <c r="H16" s="280"/>
      <c r="I16" s="680"/>
      <c r="J16"/>
    </row>
    <row r="17" spans="1:122" ht="95.25" customHeight="1" x14ac:dyDescent="0.3">
      <c r="A17" s="129">
        <v>631</v>
      </c>
      <c r="B17" s="562" t="s">
        <v>238</v>
      </c>
      <c r="C17" s="561" t="s">
        <v>58</v>
      </c>
      <c r="D17" s="147" t="s">
        <v>359</v>
      </c>
      <c r="E17" s="248" t="e">
        <f>INDEX('PY1 Data(H)'!$A$1:$CZ$135,MATCH('Unit Data from Audit Worksheet'!$A17,'PY1 Data(H)'!$A$1:$A$135,0),MATCH('Unit Data from Audit Worksheet'!$D$2,'PY1 Data(H)'!$A$1:$CZ$1,0))</f>
        <v>#N/A</v>
      </c>
      <c r="F17" s="125">
        <v>0</v>
      </c>
      <c r="G17" s="277">
        <f>IF(F17&gt;F12,"Please review account numbers 631 &gt; 626",)</f>
        <v>0</v>
      </c>
      <c r="H17" s="280"/>
      <c r="I17" s="680"/>
      <c r="J17"/>
    </row>
    <row r="18" spans="1:122" ht="95.25" customHeight="1" x14ac:dyDescent="0.3">
      <c r="A18" s="445">
        <v>632</v>
      </c>
      <c r="B18" s="563" t="s">
        <v>238</v>
      </c>
      <c r="C18" s="564" t="s">
        <v>58</v>
      </c>
      <c r="D18" s="473" t="s">
        <v>719</v>
      </c>
      <c r="E18" s="248" t="e">
        <f>INDEX('PY1 Data(H)'!$A$1:$CZ$135,MATCH('Unit Data from Audit Worksheet'!$A18,'PY1 Data(H)'!$A$1:$A$135,0),MATCH('Unit Data from Audit Worksheet'!$D$2,'PY1 Data(H)'!$A$1:$CZ$1,0))</f>
        <v>#N/A</v>
      </c>
      <c r="F18" s="125">
        <v>0</v>
      </c>
      <c r="G18" s="277">
        <f>IF(F18&gt;F12,"Please review account numbers 631 &gt; 626",)</f>
        <v>0</v>
      </c>
      <c r="H18" s="474"/>
      <c r="I18" s="680"/>
      <c r="J18" s="119"/>
      <c r="L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row>
    <row r="19" spans="1:122" ht="55.5" customHeight="1" x14ac:dyDescent="0.3">
      <c r="A19" s="381">
        <v>338</v>
      </c>
      <c r="B19" s="3" t="s">
        <v>22</v>
      </c>
      <c r="C19" s="249" t="s">
        <v>58</v>
      </c>
      <c r="D19" s="63" t="s">
        <v>60</v>
      </c>
      <c r="E19" s="248" t="e">
        <f>INDEX('PY1 Data(H)'!$A$1:$CZ$135,MATCH('Unit Data from Audit Worksheet'!$A19,'PY1 Data(H)'!$A$1:$A$135,0),MATCH('Unit Data from Audit Worksheet'!$D$2,'PY1 Data(H)'!$A$1:$CZ$1,0))-INDEX('PY1 Data(H)'!$A$1:$CZ$135,MATCH('Unit Data from Audit Worksheet'!$A11,'PY1 Data(H)'!$A$1:$A$135,0),MATCH('Unit Data from Audit Worksheet'!$D$2,'PY1 Data(H)'!$A$1:$CZ$1,0))</f>
        <v>#N/A</v>
      </c>
      <c r="F19" s="125">
        <v>0</v>
      </c>
      <c r="G19" s="277" t="str">
        <f>IF(F12&gt;F19,"Error: Please review accts 626 &gt; 338","")</f>
        <v/>
      </c>
      <c r="H19" s="15"/>
      <c r="I19" s="680"/>
      <c r="J19"/>
    </row>
    <row r="20" spans="1:122" ht="89.25" customHeight="1" x14ac:dyDescent="0.3">
      <c r="A20" s="64">
        <v>335</v>
      </c>
      <c r="B20" s="3" t="s">
        <v>22</v>
      </c>
      <c r="C20" s="249" t="s">
        <v>58</v>
      </c>
      <c r="D20" s="257" t="s">
        <v>360</v>
      </c>
      <c r="E20" s="248" t="e">
        <f>INDEX('PY1 Data(H)'!$A$1:$CZ$135,MATCH('Unit Data from Audit Worksheet'!$A20,'PY1 Data(H)'!$A$1:$A$135,0),MATCH('Unit Data from Audit Worksheet'!$D$2,'PY1 Data(H)'!$A$1:$CZ$1,0))</f>
        <v>#N/A</v>
      </c>
      <c r="F20" s="125">
        <v>0</v>
      </c>
      <c r="G20" s="277">
        <f>IF(F20&lt;0,"Error: Enter as positive.",)</f>
        <v>0</v>
      </c>
      <c r="H20" s="15"/>
      <c r="I20" s="680"/>
      <c r="J20"/>
    </row>
    <row r="21" spans="1:122" ht="48.75" customHeight="1" x14ac:dyDescent="0.3">
      <c r="A21" s="64">
        <v>252</v>
      </c>
      <c r="B21" s="3" t="s">
        <v>22</v>
      </c>
      <c r="C21" s="249" t="s">
        <v>58</v>
      </c>
      <c r="D21" s="63" t="s">
        <v>61</v>
      </c>
      <c r="E21" s="248" t="e">
        <f>INDEX('PY1 Data(H)'!$A$1:$CZ$135,MATCH('Unit Data from Audit Worksheet'!$A21,'PY1 Data(H)'!$A$1:$A$135,0),MATCH('Unit Data from Audit Worksheet'!$D$2,'PY1 Data(H)'!$A$1:$CZ$1,0))</f>
        <v>#N/A</v>
      </c>
      <c r="F21" s="125">
        <v>0</v>
      </c>
      <c r="G21" s="281"/>
      <c r="H21" s="15"/>
      <c r="I21" s="680"/>
      <c r="J21"/>
    </row>
    <row r="22" spans="1:122" ht="43.2" x14ac:dyDescent="0.3">
      <c r="A22" s="64">
        <v>253</v>
      </c>
      <c r="B22" s="3" t="s">
        <v>22</v>
      </c>
      <c r="C22" s="249" t="s">
        <v>58</v>
      </c>
      <c r="D22" s="63" t="s">
        <v>62</v>
      </c>
      <c r="E22" s="248" t="e">
        <f>INDEX('PY1 Data(H)'!$A$1:$CZ$135,MATCH('Unit Data from Audit Worksheet'!$A22,'PY1 Data(H)'!$A$1:$A$135,0),MATCH('Unit Data from Audit Worksheet'!$D$2,'PY1 Data(H)'!$A$1:$CZ$1,0))</f>
        <v>#N/A</v>
      </c>
      <c r="F22" s="125">
        <v>0</v>
      </c>
      <c r="G22" s="277"/>
      <c r="H22" s="15"/>
      <c r="I22" s="680"/>
      <c r="J22"/>
    </row>
    <row r="23" spans="1:122" ht="73.5" customHeight="1" x14ac:dyDescent="0.3">
      <c r="A23" s="64">
        <v>254</v>
      </c>
      <c r="B23" s="3" t="s">
        <v>22</v>
      </c>
      <c r="C23" s="249" t="s">
        <v>58</v>
      </c>
      <c r="D23" s="63" t="s">
        <v>361</v>
      </c>
      <c r="E23" s="248" t="e">
        <f>INDEX('PY1 Data(H)'!$A$1:$CZ$135,MATCH('Unit Data from Audit Worksheet'!$A23,'PY1 Data(H)'!$A$1:$A$135,0),MATCH('Unit Data from Audit Worksheet'!$D$2,'PY1 Data(H)'!$A$1:$CZ$1,0))</f>
        <v>#N/A</v>
      </c>
      <c r="F23" s="125">
        <v>0</v>
      </c>
      <c r="G23" s="277">
        <f>IF(H23=0,,"Error: Total assets and deferred outflows less total liabilities and deferred inflows do not equal total net position. Account numbers  385-338-252-253-254 = 0.  The amount the formula is off is located in the cell to the right")</f>
        <v>0</v>
      </c>
      <c r="H23" s="279">
        <f>F9-F19-F21-F22-F23</f>
        <v>0</v>
      </c>
      <c r="I23" s="680"/>
      <c r="J23"/>
    </row>
    <row r="24" spans="1:122" ht="21.75" customHeight="1" x14ac:dyDescent="0.3">
      <c r="A24" s="64"/>
      <c r="B24" s="316" t="s">
        <v>63</v>
      </c>
      <c r="C24" s="565"/>
      <c r="D24" s="303"/>
      <c r="E24" s="320"/>
      <c r="F24" s="314"/>
      <c r="G24" s="315"/>
      <c r="H24" s="15"/>
      <c r="I24" s="680"/>
      <c r="J24"/>
    </row>
    <row r="25" spans="1:122" ht="59.25" customHeight="1" x14ac:dyDescent="0.3">
      <c r="A25" s="64">
        <v>502</v>
      </c>
      <c r="B25" s="3" t="s">
        <v>21</v>
      </c>
      <c r="C25" s="249" t="s">
        <v>65</v>
      </c>
      <c r="D25" s="257" t="s">
        <v>362</v>
      </c>
      <c r="E25" s="248" t="e">
        <f>INDEX('PY1 Data(H)'!$A$1:$CZ$135,MATCH('Unit Data from Audit Worksheet'!$A25,'PY1 Data(H)'!$A$1:$A$135,0),MATCH('Unit Data from Audit Worksheet'!$D$2,'PY1 Data(H)'!$A$1:$CZ$1,0))</f>
        <v>#N/A</v>
      </c>
      <c r="F25" s="125">
        <v>0</v>
      </c>
      <c r="G25" s="277">
        <f>IF(F25&lt;0,"Note: Number is normally positive.",)</f>
        <v>0</v>
      </c>
      <c r="H25" s="15"/>
      <c r="I25" s="680"/>
      <c r="J25"/>
    </row>
    <row r="26" spans="1:122" ht="59.25" customHeight="1" x14ac:dyDescent="0.3">
      <c r="A26" s="64">
        <v>503</v>
      </c>
      <c r="B26" s="3" t="s">
        <v>21</v>
      </c>
      <c r="C26" s="249" t="s">
        <v>65</v>
      </c>
      <c r="D26" s="63" t="s">
        <v>64</v>
      </c>
      <c r="E26" s="248" t="e">
        <f>INDEX('PY1 Data(H)'!$A$1:$CZ$135,MATCH('Unit Data from Audit Worksheet'!$A26,'PY1 Data(H)'!$A$1:$A$135,0),MATCH('Unit Data from Audit Worksheet'!$D$2,'PY1 Data(H)'!$A$1:$CZ$1,0))</f>
        <v>#N/A</v>
      </c>
      <c r="F26" s="496">
        <v>0</v>
      </c>
      <c r="G26" s="277">
        <f>IF(F26&lt;0,"Note: Number is normally positive.",)</f>
        <v>0</v>
      </c>
      <c r="H26" s="15"/>
      <c r="I26" s="680"/>
      <c r="J26"/>
    </row>
    <row r="27" spans="1:122" ht="27" customHeight="1" x14ac:dyDescent="0.3">
      <c r="A27" s="64"/>
      <c r="B27" s="316" t="s">
        <v>66</v>
      </c>
      <c r="C27" s="565"/>
      <c r="D27" s="303"/>
      <c r="E27" s="320"/>
      <c r="F27" s="304"/>
      <c r="G27" s="305"/>
      <c r="H27" s="15"/>
      <c r="I27" s="680"/>
      <c r="J27"/>
    </row>
    <row r="28" spans="1:122" ht="49.5" customHeight="1" x14ac:dyDescent="0.3">
      <c r="A28" s="64">
        <v>388</v>
      </c>
      <c r="B28" s="3" t="s">
        <v>24</v>
      </c>
      <c r="C28" s="3" t="s">
        <v>71</v>
      </c>
      <c r="D28" s="63" t="s">
        <v>67</v>
      </c>
      <c r="E28" s="248" t="e">
        <f>INDEX('PY1 Data(H)'!$A$1:$CZ$135,MATCH('Unit Data from Audit Worksheet'!$A28,'PY1 Data(H)'!$A$1:$A$135,0),MATCH('Unit Data from Audit Worksheet'!$D$2,'PY1 Data(H)'!$A$1:$CZ$1,0))</f>
        <v>#N/A</v>
      </c>
      <c r="F28" s="125">
        <v>0</v>
      </c>
      <c r="G28" s="277">
        <f t="shared" ref="G28:G34" si="0">IF(F28&lt;0,"Error: Enter as positive.",)</f>
        <v>0</v>
      </c>
      <c r="H28" s="15"/>
      <c r="I28" s="680"/>
      <c r="J28"/>
    </row>
    <row r="29" spans="1:122" ht="55.2" customHeight="1" x14ac:dyDescent="0.3">
      <c r="A29" s="64">
        <v>339</v>
      </c>
      <c r="B29" s="3" t="s">
        <v>22</v>
      </c>
      <c r="C29" s="3" t="s">
        <v>71</v>
      </c>
      <c r="D29" s="63" t="s">
        <v>68</v>
      </c>
      <c r="E29" s="248" t="e">
        <f>INDEX('PY1 Data(H)'!$A$1:$CZ$135,MATCH('Unit Data from Audit Worksheet'!$A29,'PY1 Data(H)'!$A$1:$A$135,0),MATCH('Unit Data from Audit Worksheet'!$D$2,'PY1 Data(H)'!$A$1:$CZ$1,0))</f>
        <v>#N/A</v>
      </c>
      <c r="F29" s="125">
        <v>0</v>
      </c>
      <c r="G29" s="277">
        <f t="shared" si="0"/>
        <v>0</v>
      </c>
      <c r="H29" s="15"/>
      <c r="I29" s="680"/>
      <c r="J29"/>
    </row>
    <row r="30" spans="1:122" ht="50.25" customHeight="1" x14ac:dyDescent="0.3">
      <c r="A30" s="64">
        <v>504</v>
      </c>
      <c r="B30" s="3" t="s">
        <v>22</v>
      </c>
      <c r="C30" s="3" t="s">
        <v>71</v>
      </c>
      <c r="D30" s="63" t="s">
        <v>69</v>
      </c>
      <c r="E30" s="248" t="e">
        <f>INDEX('PY1 Data(H)'!$A$1:$CZ$135,MATCH('Unit Data from Audit Worksheet'!$A30,'PY1 Data(H)'!$A$1:$A$135,0),MATCH('Unit Data from Audit Worksheet'!$D$2,'PY1 Data(H)'!$A$1:$CZ$1,0))</f>
        <v>#N/A</v>
      </c>
      <c r="F30" s="125">
        <v>0</v>
      </c>
      <c r="G30" s="277">
        <f t="shared" si="0"/>
        <v>0</v>
      </c>
      <c r="H30" s="15"/>
      <c r="I30" s="680"/>
      <c r="J30"/>
    </row>
    <row r="31" spans="1:122" ht="66.599999999999994" customHeight="1" x14ac:dyDescent="0.3">
      <c r="A31" s="64">
        <v>505</v>
      </c>
      <c r="B31" s="3" t="s">
        <v>22</v>
      </c>
      <c r="C31" s="3" t="s">
        <v>71</v>
      </c>
      <c r="D31" s="251" t="s">
        <v>70</v>
      </c>
      <c r="E31" s="248" t="e">
        <f>INDEX('PY1 Data(H)'!$A$1:$CZ$135,MATCH('Unit Data from Audit Worksheet'!$A31,'PY1 Data(H)'!$A$1:$A$135,0),MATCH('Unit Data from Audit Worksheet'!$D$2,'PY1 Data(H)'!$A$1:$CZ$1,0))</f>
        <v>#N/A</v>
      </c>
      <c r="F31" s="125">
        <v>0</v>
      </c>
      <c r="G31" s="277">
        <f t="shared" si="0"/>
        <v>0</v>
      </c>
      <c r="H31" s="15"/>
      <c r="I31" s="680"/>
      <c r="J31"/>
    </row>
    <row r="32" spans="1:122" ht="80.400000000000006" customHeight="1" x14ac:dyDescent="0.3">
      <c r="A32" s="64">
        <v>341</v>
      </c>
      <c r="B32" s="3" t="s">
        <v>22</v>
      </c>
      <c r="C32" s="3" t="s">
        <v>71</v>
      </c>
      <c r="D32" s="257" t="s">
        <v>363</v>
      </c>
      <c r="E32" s="248" t="e">
        <f>INDEX('PY1 Data(H)'!$A$1:$CZ$135,MATCH('Unit Data from Audit Worksheet'!$A32,'PY1 Data(H)'!$A$1:$A$135,0),MATCH('Unit Data from Audit Worksheet'!$D$2,'PY1 Data(H)'!$A$1:$CZ$1,0))</f>
        <v>#N/A</v>
      </c>
      <c r="F32" s="125">
        <v>0</v>
      </c>
      <c r="G32" s="277">
        <f t="shared" si="0"/>
        <v>0</v>
      </c>
      <c r="H32" s="15"/>
      <c r="I32" s="680"/>
      <c r="J32"/>
    </row>
    <row r="33" spans="1:122" ht="63.6" customHeight="1" x14ac:dyDescent="0.3">
      <c r="A33" s="64">
        <v>386</v>
      </c>
      <c r="B33" s="3" t="s">
        <v>22</v>
      </c>
      <c r="C33" s="3" t="s">
        <v>71</v>
      </c>
      <c r="D33" s="63" t="s">
        <v>364</v>
      </c>
      <c r="E33" s="248" t="e">
        <f>INDEX('PY1 Data(H)'!$A$1:$CZ$135,MATCH('Unit Data from Audit Worksheet'!$A33,'PY1 Data(H)'!$A$1:$A$135,0),MATCH('Unit Data from Audit Worksheet'!$D$2,'PY1 Data(H)'!$A$1:$CZ$1,0))</f>
        <v>#N/A</v>
      </c>
      <c r="F33" s="125">
        <v>0</v>
      </c>
      <c r="G33" s="277">
        <f t="shared" si="0"/>
        <v>0</v>
      </c>
      <c r="H33" s="15"/>
      <c r="I33" s="680"/>
      <c r="J33"/>
    </row>
    <row r="34" spans="1:122" ht="63.6" customHeight="1" x14ac:dyDescent="0.3">
      <c r="A34" s="64">
        <v>387</v>
      </c>
      <c r="B34" s="3" t="s">
        <v>24</v>
      </c>
      <c r="C34" s="3" t="s">
        <v>71</v>
      </c>
      <c r="D34" s="63" t="s">
        <v>365</v>
      </c>
      <c r="E34" s="248" t="e">
        <f>INDEX('PY1 Data(H)'!$A$1:$CZ$135,MATCH('Unit Data from Audit Worksheet'!$A34,'PY1 Data(H)'!$A$1:$A$135,0),MATCH('Unit Data from Audit Worksheet'!$D$2,'PY1 Data(H)'!$A$1:$CZ$1,0))</f>
        <v>#N/A</v>
      </c>
      <c r="F34" s="125">
        <v>0</v>
      </c>
      <c r="G34" s="277">
        <f t="shared" si="0"/>
        <v>0</v>
      </c>
      <c r="H34" s="15"/>
      <c r="I34" s="680"/>
      <c r="J34"/>
    </row>
    <row r="35" spans="1:122" ht="92.25" customHeight="1" x14ac:dyDescent="0.3">
      <c r="A35" s="64">
        <v>389</v>
      </c>
      <c r="B35" s="3" t="s">
        <v>24</v>
      </c>
      <c r="C35" s="3" t="s">
        <v>71</v>
      </c>
      <c r="D35" s="257" t="s">
        <v>366</v>
      </c>
      <c r="E35" s="248" t="e">
        <f>INDEX('PY1 Data(H)'!$A$1:$CZ$135,MATCH('Unit Data from Audit Worksheet'!$A35,'PY1 Data(H)'!$A$1:$A$135,0),MATCH('Unit Data from Audit Worksheet'!$D$2,'PY1 Data(H)'!$A$1:$CZ$1,0))</f>
        <v>#N/A</v>
      </c>
      <c r="F35" s="125">
        <v>0</v>
      </c>
      <c r="G35" s="277"/>
      <c r="H35" s="15"/>
      <c r="I35" s="680"/>
      <c r="J35"/>
    </row>
    <row r="36" spans="1:122" ht="138" customHeight="1" x14ac:dyDescent="0.3">
      <c r="A36" s="64">
        <v>255</v>
      </c>
      <c r="B36" s="3" t="s">
        <v>22</v>
      </c>
      <c r="C36" s="3" t="s">
        <v>71</v>
      </c>
      <c r="D36" s="257" t="s">
        <v>367</v>
      </c>
      <c r="E36" s="248" t="e">
        <f>INDEX('PY1 Data(H)'!$A$1:$CZ$135,MATCH('Unit Data from Audit Worksheet'!$A36,'PY1 Data(H)'!$A$1:$A$135,0),MATCH('Unit Data from Audit Worksheet'!$D$2,'PY1 Data(H)'!$A$1:$CZ$1,0))</f>
        <v>#N/A</v>
      </c>
      <c r="F36" s="125">
        <v>0</v>
      </c>
      <c r="G36" s="471">
        <f>IF(H36=0,,"Error: Total revenues less total expenses do not equal total change in net position. Account numbers 339+504+505+341+386-387+389-388-255 = 0  The amount the formula is off is located in the cell to the right")</f>
        <v>0</v>
      </c>
      <c r="H36" s="279">
        <f>F29+F30+F31+F32+F33-F34+F35-F28-F36</f>
        <v>0</v>
      </c>
      <c r="I36" s="680"/>
      <c r="J36"/>
    </row>
    <row r="37" spans="1:122" ht="138" customHeight="1" x14ac:dyDescent="0.3">
      <c r="A37" s="64">
        <v>376</v>
      </c>
      <c r="B37" s="249" t="s">
        <v>22</v>
      </c>
      <c r="C37" s="249" t="s">
        <v>71</v>
      </c>
      <c r="D37" s="257" t="s">
        <v>368</v>
      </c>
      <c r="E37" s="248" t="e">
        <f>INDEX('PY1 Data(H)'!$A$1:$CZ$135,MATCH('Unit Data from Audit Worksheet'!$A37,'PY1 Data(H)'!$A$1:$A$135,0),MATCH('Unit Data from Audit Worksheet'!$D$2,'PY1 Data(H)'!$A$1:$CZ$1,0))</f>
        <v>#N/A</v>
      </c>
      <c r="F37" s="123">
        <v>0</v>
      </c>
      <c r="G37" s="471" t="e">
        <f>IF(H37=0,,"Error: Beginning Balance does not agree with our records.  Account numbers  252+253+254-255-376-(Prior Year 252+253+254)=0  The amount the formula is off is located in the cell to the right")</f>
        <v>#N/A</v>
      </c>
      <c r="H37" s="646" t="e">
        <f>F21+F22+F23-F36-F37-(E21+E22+E23)</f>
        <v>#N/A</v>
      </c>
      <c r="I37" s="683" t="e">
        <f>IF(H37=0," ","If the out of balance is because prior years data is not populated in cells E21,E22,E23, disregard the error message.  Do not include prior year's ending balances in cell F37")</f>
        <v>#N/A</v>
      </c>
      <c r="J37"/>
    </row>
    <row r="38" spans="1:122" ht="25.5" customHeight="1" x14ac:dyDescent="0.3">
      <c r="A38" s="64"/>
      <c r="B38" s="316" t="s">
        <v>214</v>
      </c>
      <c r="C38" s="565"/>
      <c r="D38" s="303"/>
      <c r="E38" s="320"/>
      <c r="F38" s="304"/>
      <c r="G38" s="305"/>
      <c r="H38" s="15"/>
      <c r="I38" s="682"/>
      <c r="J38"/>
    </row>
    <row r="39" spans="1:122" s="16" customFormat="1" ht="86.25" customHeight="1" x14ac:dyDescent="0.3">
      <c r="A39" s="64">
        <v>592</v>
      </c>
      <c r="B39" s="249" t="s">
        <v>23</v>
      </c>
      <c r="C39" s="249" t="s">
        <v>216</v>
      </c>
      <c r="D39" s="257" t="s">
        <v>369</v>
      </c>
      <c r="E39" s="248" t="e">
        <f>INDEX('PY1 Data(H)'!$A$1:$CZ$135,MATCH('Unit Data from Audit Worksheet'!$A39,'PY1 Data(H)'!$A$1:$A$135,0),MATCH('Unit Data from Audit Worksheet'!$D$2,'PY1 Data(H)'!$A$1:$CZ$1,0))</f>
        <v>#N/A</v>
      </c>
      <c r="F39" s="125">
        <v>0</v>
      </c>
      <c r="G39" s="277"/>
      <c r="H39" s="278"/>
      <c r="I39" s="680"/>
      <c r="J39"/>
      <c r="L39"/>
      <c r="N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s="16" customFormat="1" ht="71.25" customHeight="1" thickBot="1" x14ac:dyDescent="0.35">
      <c r="A40" s="64">
        <v>591</v>
      </c>
      <c r="B40" s="249" t="s">
        <v>23</v>
      </c>
      <c r="C40" s="249" t="s">
        <v>216</v>
      </c>
      <c r="D40" s="63" t="s">
        <v>217</v>
      </c>
      <c r="E40" s="248" t="e">
        <f>INDEX('PY1 Data(H)'!$A$1:$CZ$135,MATCH('Unit Data from Audit Worksheet'!$A40,'PY1 Data(H)'!$A$1:$A$135,0),MATCH('Unit Data from Audit Worksheet'!$D$2,'PY1 Data(H)'!$A$1:$CZ$1,0))</f>
        <v>#N/A</v>
      </c>
      <c r="F40" s="125">
        <v>0</v>
      </c>
      <c r="G40" s="277">
        <f>IF(F40&lt;0,"Error: Enter as positive.",)</f>
        <v>0</v>
      </c>
      <c r="H40" s="278"/>
      <c r="I40" s="680"/>
      <c r="J40"/>
      <c r="L40"/>
      <c r="N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row>
    <row r="41" spans="1:122" s="16" customFormat="1" ht="25.5" customHeight="1" thickBot="1" x14ac:dyDescent="0.35">
      <c r="A41" s="628"/>
      <c r="B41" s="629" t="s">
        <v>784</v>
      </c>
      <c r="C41" s="630"/>
      <c r="D41" s="630"/>
      <c r="E41" s="630"/>
      <c r="F41" s="630"/>
      <c r="G41" s="641"/>
      <c r="H41" s="278"/>
      <c r="I41" s="680"/>
      <c r="J41" s="119"/>
      <c r="L41" s="119"/>
      <c r="N41" s="126"/>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19"/>
      <c r="BU41" s="119"/>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119"/>
      <c r="DC41" s="119"/>
      <c r="DD41" s="119"/>
      <c r="DE41" s="119"/>
      <c r="DF41" s="119"/>
      <c r="DG41" s="119"/>
      <c r="DH41" s="119"/>
      <c r="DI41" s="119"/>
      <c r="DJ41" s="119"/>
      <c r="DK41" s="119"/>
      <c r="DL41" s="119"/>
      <c r="DM41" s="119"/>
      <c r="DN41" s="119"/>
      <c r="DO41" s="119"/>
      <c r="DP41" s="119"/>
      <c r="DQ41" s="119"/>
      <c r="DR41" s="119"/>
    </row>
    <row r="42" spans="1:122" s="16" customFormat="1" ht="15" customHeight="1" x14ac:dyDescent="0.3">
      <c r="A42" s="628"/>
      <c r="B42" s="631" t="s">
        <v>785</v>
      </c>
      <c r="C42" s="632"/>
      <c r="D42" s="632"/>
      <c r="E42" s="632"/>
      <c r="F42" s="632"/>
      <c r="G42" s="642"/>
      <c r="H42" s="278"/>
      <c r="I42" s="680"/>
      <c r="J42" s="119"/>
      <c r="L42" s="119"/>
      <c r="N42" s="126"/>
      <c r="Y42" s="119"/>
      <c r="Z42" s="119"/>
      <c r="AA42" s="119"/>
      <c r="AB42" s="119"/>
      <c r="AC42" s="119"/>
      <c r="AD42" s="119"/>
      <c r="AE42" s="119"/>
      <c r="AF42" s="119"/>
      <c r="AG42" s="119"/>
      <c r="AH42" s="119"/>
      <c r="AI42" s="119"/>
      <c r="AJ42" s="119"/>
      <c r="AK42" s="119"/>
      <c r="AL42" s="119"/>
      <c r="AM42" s="119"/>
      <c r="AN42" s="119"/>
      <c r="AO42" s="119"/>
      <c r="AP42" s="119"/>
      <c r="AQ42" s="119"/>
      <c r="AR42" s="119"/>
      <c r="AS42" s="119"/>
      <c r="AT42" s="119"/>
      <c r="AU42" s="119"/>
      <c r="AV42" s="119"/>
      <c r="AW42" s="119"/>
      <c r="AX42" s="119"/>
      <c r="AY42" s="119"/>
      <c r="AZ42" s="119"/>
      <c r="BA42" s="119"/>
      <c r="BB42" s="119"/>
      <c r="BC42" s="119"/>
      <c r="BD42" s="119"/>
      <c r="BE42" s="119"/>
      <c r="BF42" s="119"/>
      <c r="BG42" s="119"/>
      <c r="BH42" s="119"/>
      <c r="BI42" s="119"/>
      <c r="BJ42" s="119"/>
      <c r="BK42" s="119"/>
      <c r="BL42" s="119"/>
      <c r="BM42" s="119"/>
      <c r="BN42" s="119"/>
      <c r="BO42" s="119"/>
      <c r="BP42" s="119"/>
      <c r="BQ42" s="119"/>
      <c r="BR42" s="119"/>
      <c r="BS42" s="119"/>
      <c r="BT42" s="119"/>
      <c r="BU42" s="119"/>
      <c r="BV42" s="119"/>
      <c r="BW42" s="119"/>
      <c r="BX42" s="119"/>
      <c r="BY42" s="119"/>
      <c r="BZ42" s="119"/>
      <c r="CA42" s="119"/>
      <c r="CB42" s="119"/>
      <c r="CC42" s="119"/>
      <c r="CD42" s="119"/>
      <c r="CE42" s="119"/>
      <c r="CF42" s="119"/>
      <c r="CG42" s="119"/>
      <c r="CH42" s="119"/>
      <c r="CI42" s="119"/>
      <c r="CJ42" s="119"/>
      <c r="CK42" s="119"/>
      <c r="CL42" s="119"/>
      <c r="CM42" s="119"/>
      <c r="CN42" s="119"/>
      <c r="CO42" s="119"/>
      <c r="CP42" s="119"/>
      <c r="CQ42" s="119"/>
      <c r="CR42" s="119"/>
      <c r="CS42" s="119"/>
      <c r="CT42" s="119"/>
      <c r="CU42" s="119"/>
      <c r="CV42" s="119"/>
      <c r="CW42" s="119"/>
      <c r="CX42" s="119"/>
      <c r="CY42" s="119"/>
      <c r="CZ42" s="119"/>
      <c r="DA42" s="119"/>
      <c r="DB42" s="119"/>
      <c r="DC42" s="119"/>
      <c r="DD42" s="119"/>
      <c r="DE42" s="119"/>
      <c r="DF42" s="119"/>
      <c r="DG42" s="119"/>
      <c r="DH42" s="119"/>
      <c r="DI42" s="119"/>
      <c r="DJ42" s="119"/>
      <c r="DK42" s="119"/>
      <c r="DL42" s="119"/>
      <c r="DM42" s="119"/>
      <c r="DN42" s="119"/>
      <c r="DO42" s="119"/>
      <c r="DP42" s="119"/>
      <c r="DQ42" s="119"/>
      <c r="DR42" s="119"/>
    </row>
    <row r="43" spans="1:122" s="16" customFormat="1" ht="15" customHeight="1" x14ac:dyDescent="0.3">
      <c r="A43" s="628"/>
      <c r="B43" s="633" t="s">
        <v>786</v>
      </c>
      <c r="C43" s="634"/>
      <c r="D43" s="634"/>
      <c r="E43" s="634"/>
      <c r="F43" s="634"/>
      <c r="G43" s="643"/>
      <c r="H43" s="278"/>
      <c r="I43" s="680"/>
      <c r="J43" s="119"/>
      <c r="L43" s="119"/>
      <c r="N43" s="126"/>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c r="AZ43" s="119"/>
      <c r="BA43" s="119"/>
      <c r="BB43" s="119"/>
      <c r="BC43" s="119"/>
      <c r="BD43" s="119"/>
      <c r="BE43" s="119"/>
      <c r="BF43" s="119"/>
      <c r="BG43" s="119"/>
      <c r="BH43" s="119"/>
      <c r="BI43" s="119"/>
      <c r="BJ43" s="119"/>
      <c r="BK43" s="119"/>
      <c r="BL43" s="119"/>
      <c r="BM43" s="119"/>
      <c r="BN43" s="119"/>
      <c r="BO43" s="119"/>
      <c r="BP43" s="119"/>
      <c r="BQ43" s="119"/>
      <c r="BR43" s="119"/>
      <c r="BS43" s="119"/>
      <c r="BT43" s="119"/>
      <c r="BU43" s="119"/>
      <c r="BV43" s="119"/>
      <c r="BW43" s="119"/>
      <c r="BX43" s="119"/>
      <c r="BY43" s="119"/>
      <c r="BZ43" s="119"/>
      <c r="CA43" s="119"/>
      <c r="CB43" s="119"/>
      <c r="CC43" s="119"/>
      <c r="CD43" s="119"/>
      <c r="CE43" s="119"/>
      <c r="CF43" s="119"/>
      <c r="CG43" s="119"/>
      <c r="CH43" s="119"/>
      <c r="CI43" s="119"/>
      <c r="CJ43" s="119"/>
      <c r="CK43" s="119"/>
      <c r="CL43" s="119"/>
      <c r="CM43" s="119"/>
      <c r="CN43" s="119"/>
      <c r="CO43" s="119"/>
      <c r="CP43" s="119"/>
      <c r="CQ43" s="119"/>
      <c r="CR43" s="119"/>
      <c r="CS43" s="119"/>
      <c r="CT43" s="119"/>
      <c r="CU43" s="119"/>
      <c r="CV43" s="119"/>
      <c r="CW43" s="119"/>
      <c r="CX43" s="119"/>
      <c r="CY43" s="119"/>
      <c r="CZ43" s="119"/>
      <c r="DA43" s="119"/>
      <c r="DB43" s="119"/>
      <c r="DC43" s="119"/>
      <c r="DD43" s="119"/>
      <c r="DE43" s="119"/>
      <c r="DF43" s="119"/>
      <c r="DG43" s="119"/>
      <c r="DH43" s="119"/>
      <c r="DI43" s="119"/>
      <c r="DJ43" s="119"/>
      <c r="DK43" s="119"/>
      <c r="DL43" s="119"/>
      <c r="DM43" s="119"/>
      <c r="DN43" s="119"/>
      <c r="DO43" s="119"/>
      <c r="DP43" s="119"/>
      <c r="DQ43" s="119"/>
      <c r="DR43" s="119"/>
    </row>
    <row r="44" spans="1:122" s="16" customFormat="1" ht="15" customHeight="1" x14ac:dyDescent="0.3">
      <c r="A44" s="628"/>
      <c r="B44" s="635" t="s">
        <v>787</v>
      </c>
      <c r="C44" s="634"/>
      <c r="D44" s="634"/>
      <c r="E44" s="634"/>
      <c r="F44" s="634"/>
      <c r="G44" s="643"/>
      <c r="H44" s="278"/>
      <c r="I44" s="680"/>
      <c r="J44" s="119"/>
      <c r="L44" s="119"/>
      <c r="N44" s="126"/>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119"/>
      <c r="BD44" s="119"/>
      <c r="BE44" s="119"/>
      <c r="BF44" s="119"/>
      <c r="BG44" s="119"/>
      <c r="BH44" s="119"/>
      <c r="BI44" s="119"/>
      <c r="BJ44" s="119"/>
      <c r="BK44" s="119"/>
      <c r="BL44" s="119"/>
      <c r="BM44" s="119"/>
      <c r="BN44" s="119"/>
      <c r="BO44" s="119"/>
      <c r="BP44" s="119"/>
      <c r="BQ44" s="119"/>
      <c r="BR44" s="119"/>
      <c r="BS44" s="119"/>
      <c r="BT44" s="119"/>
      <c r="BU44" s="119"/>
      <c r="BV44" s="119"/>
      <c r="BW44" s="119"/>
      <c r="BX44" s="119"/>
      <c r="BY44" s="119"/>
      <c r="BZ44" s="119"/>
      <c r="CA44" s="119"/>
      <c r="CB44" s="119"/>
      <c r="CC44" s="119"/>
      <c r="CD44" s="119"/>
      <c r="CE44" s="119"/>
      <c r="CF44" s="119"/>
      <c r="CG44" s="119"/>
      <c r="CH44" s="119"/>
      <c r="CI44" s="119"/>
      <c r="CJ44" s="119"/>
      <c r="CK44" s="119"/>
      <c r="CL44" s="119"/>
      <c r="CM44" s="119"/>
      <c r="CN44" s="119"/>
      <c r="CO44" s="119"/>
      <c r="CP44" s="119"/>
      <c r="CQ44" s="119"/>
      <c r="CR44" s="119"/>
      <c r="CS44" s="119"/>
      <c r="CT44" s="119"/>
      <c r="CU44" s="119"/>
      <c r="CV44" s="119"/>
      <c r="CW44" s="119"/>
      <c r="CX44" s="119"/>
      <c r="CY44" s="119"/>
      <c r="CZ44" s="119"/>
      <c r="DA44" s="119"/>
      <c r="DB44" s="119"/>
      <c r="DC44" s="119"/>
      <c r="DD44" s="119"/>
      <c r="DE44" s="119"/>
      <c r="DF44" s="119"/>
      <c r="DG44" s="119"/>
      <c r="DH44" s="119"/>
      <c r="DI44" s="119"/>
      <c r="DJ44" s="119"/>
      <c r="DK44" s="119"/>
      <c r="DL44" s="119"/>
      <c r="DM44" s="119"/>
      <c r="DN44" s="119"/>
      <c r="DO44" s="119"/>
      <c r="DP44" s="119"/>
      <c r="DQ44" s="119"/>
      <c r="DR44" s="119"/>
    </row>
    <row r="45" spans="1:122" s="16" customFormat="1" ht="15" customHeight="1" thickBot="1" x14ac:dyDescent="0.35">
      <c r="A45" s="628"/>
      <c r="B45" s="636" t="s">
        <v>808</v>
      </c>
      <c r="C45" s="637"/>
      <c r="D45" s="637"/>
      <c r="E45" s="637"/>
      <c r="F45" s="637"/>
      <c r="G45" s="644"/>
      <c r="H45" s="278"/>
      <c r="I45" s="680"/>
      <c r="J45" s="119"/>
      <c r="L45" s="119"/>
      <c r="N45" s="126"/>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19"/>
      <c r="BG45" s="119"/>
      <c r="BH45" s="119"/>
      <c r="BI45" s="119"/>
      <c r="BJ45" s="119"/>
      <c r="BK45" s="119"/>
      <c r="BL45" s="119"/>
      <c r="BM45" s="119"/>
      <c r="BN45" s="119"/>
      <c r="BO45" s="119"/>
      <c r="BP45" s="119"/>
      <c r="BQ45" s="119"/>
      <c r="BR45" s="119"/>
      <c r="BS45" s="119"/>
      <c r="BT45" s="119"/>
      <c r="BU45" s="119"/>
      <c r="BV45" s="119"/>
      <c r="BW45" s="119"/>
      <c r="BX45" s="119"/>
      <c r="BY45" s="119"/>
      <c r="BZ45" s="119"/>
      <c r="CA45" s="119"/>
      <c r="CB45" s="119"/>
      <c r="CC45" s="119"/>
      <c r="CD45" s="119"/>
      <c r="CE45" s="119"/>
      <c r="CF45" s="119"/>
      <c r="CG45" s="119"/>
      <c r="CH45" s="119"/>
      <c r="CI45" s="119"/>
      <c r="CJ45" s="119"/>
      <c r="CK45" s="119"/>
      <c r="CL45" s="119"/>
      <c r="CM45" s="119"/>
      <c r="CN45" s="119"/>
      <c r="CO45" s="119"/>
      <c r="CP45" s="119"/>
      <c r="CQ45" s="119"/>
      <c r="CR45" s="119"/>
      <c r="CS45" s="119"/>
      <c r="CT45" s="119"/>
      <c r="CU45" s="119"/>
      <c r="CV45" s="119"/>
      <c r="CW45" s="119"/>
      <c r="CX45" s="119"/>
      <c r="CY45" s="119"/>
      <c r="CZ45" s="119"/>
      <c r="DA45" s="119"/>
      <c r="DB45" s="119"/>
      <c r="DC45" s="119"/>
      <c r="DD45" s="119"/>
      <c r="DE45" s="119"/>
      <c r="DF45" s="119"/>
      <c r="DG45" s="119"/>
      <c r="DH45" s="119"/>
      <c r="DI45" s="119"/>
      <c r="DJ45" s="119"/>
      <c r="DK45" s="119"/>
      <c r="DL45" s="119"/>
      <c r="DM45" s="119"/>
      <c r="DN45" s="119"/>
      <c r="DO45" s="119"/>
      <c r="DP45" s="119"/>
      <c r="DQ45" s="119"/>
      <c r="DR45" s="119"/>
    </row>
    <row r="46" spans="1:122" s="16" customFormat="1" ht="71.25" customHeight="1" x14ac:dyDescent="0.3">
      <c r="A46" s="640">
        <v>1072</v>
      </c>
      <c r="B46" s="567"/>
      <c r="C46" s="567" t="s">
        <v>788</v>
      </c>
      <c r="D46" s="638" t="s">
        <v>792</v>
      </c>
      <c r="E46" s="432" t="s">
        <v>578</v>
      </c>
      <c r="F46" s="125">
        <v>0</v>
      </c>
      <c r="G46" s="645"/>
      <c r="H46" s="278"/>
      <c r="I46" s="680"/>
      <c r="J46" s="119"/>
      <c r="L46" s="119"/>
      <c r="N46" s="126"/>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c r="BO46" s="119"/>
      <c r="BP46" s="119"/>
      <c r="BQ46" s="119"/>
      <c r="BR46" s="119"/>
      <c r="BS46" s="119"/>
      <c r="BT46" s="119"/>
      <c r="BU46" s="119"/>
      <c r="BV46" s="119"/>
      <c r="BW46" s="119"/>
      <c r="BX46" s="119"/>
      <c r="BY46" s="119"/>
      <c r="BZ46" s="119"/>
      <c r="CA46" s="119"/>
      <c r="CB46" s="119"/>
      <c r="CC46" s="119"/>
      <c r="CD46" s="119"/>
      <c r="CE46" s="119"/>
      <c r="CF46" s="119"/>
      <c r="CG46" s="119"/>
      <c r="CH46" s="119"/>
      <c r="CI46" s="119"/>
      <c r="CJ46" s="119"/>
      <c r="CK46" s="119"/>
      <c r="CL46" s="119"/>
      <c r="CM46" s="119"/>
      <c r="CN46" s="119"/>
      <c r="CO46" s="119"/>
      <c r="CP46" s="119"/>
      <c r="CQ46" s="119"/>
      <c r="CR46" s="119"/>
      <c r="CS46" s="119"/>
      <c r="CT46" s="119"/>
      <c r="CU46" s="119"/>
      <c r="CV46" s="119"/>
      <c r="CW46" s="119"/>
      <c r="CX46" s="119"/>
      <c r="CY46" s="119"/>
      <c r="CZ46" s="119"/>
      <c r="DA46" s="119"/>
      <c r="DB46" s="119"/>
      <c r="DC46" s="119"/>
      <c r="DD46" s="119"/>
      <c r="DE46" s="119"/>
      <c r="DF46" s="119"/>
      <c r="DG46" s="119"/>
      <c r="DH46" s="119"/>
      <c r="DI46" s="119"/>
      <c r="DJ46" s="119"/>
      <c r="DK46" s="119"/>
      <c r="DL46" s="119"/>
      <c r="DM46" s="119"/>
      <c r="DN46" s="119"/>
      <c r="DO46" s="119"/>
      <c r="DP46" s="119"/>
      <c r="DQ46" s="119"/>
      <c r="DR46" s="119"/>
    </row>
    <row r="47" spans="1:122" s="16" customFormat="1" ht="71.25" customHeight="1" x14ac:dyDescent="0.3">
      <c r="A47" s="640">
        <v>1073</v>
      </c>
      <c r="B47" s="567"/>
      <c r="C47" s="639" t="s">
        <v>788</v>
      </c>
      <c r="D47" s="638" t="s">
        <v>793</v>
      </c>
      <c r="E47" s="432" t="s">
        <v>578</v>
      </c>
      <c r="F47" s="125">
        <v>0</v>
      </c>
      <c r="G47" s="645"/>
      <c r="H47" s="278"/>
      <c r="I47" s="680"/>
      <c r="J47" s="119"/>
      <c r="L47" s="119"/>
      <c r="N47" s="126"/>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c r="DA47" s="119"/>
      <c r="DB47" s="119"/>
      <c r="DC47" s="119"/>
      <c r="DD47" s="119"/>
      <c r="DE47" s="119"/>
      <c r="DF47" s="119"/>
      <c r="DG47" s="119"/>
      <c r="DH47" s="119"/>
      <c r="DI47" s="119"/>
      <c r="DJ47" s="119"/>
      <c r="DK47" s="119"/>
      <c r="DL47" s="119"/>
      <c r="DM47" s="119"/>
      <c r="DN47" s="119"/>
      <c r="DO47" s="119"/>
      <c r="DP47" s="119"/>
      <c r="DQ47" s="119"/>
      <c r="DR47" s="119"/>
    </row>
    <row r="48" spans="1:122" s="16" customFormat="1" ht="71.25" customHeight="1" x14ac:dyDescent="0.3">
      <c r="A48" s="640">
        <v>1074</v>
      </c>
      <c r="B48" s="567"/>
      <c r="C48" s="567" t="s">
        <v>791</v>
      </c>
      <c r="D48" s="638" t="s">
        <v>794</v>
      </c>
      <c r="E48" s="432" t="s">
        <v>578</v>
      </c>
      <c r="F48" s="125">
        <v>0</v>
      </c>
      <c r="G48" s="645"/>
      <c r="H48" s="278"/>
      <c r="I48" s="680"/>
      <c r="J48" s="119"/>
      <c r="L48" s="119"/>
      <c r="N48" s="126"/>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19"/>
      <c r="CH48" s="119"/>
      <c r="CI48" s="119"/>
      <c r="CJ48" s="119"/>
      <c r="CK48" s="119"/>
      <c r="CL48" s="119"/>
      <c r="CM48" s="119"/>
      <c r="CN48" s="119"/>
      <c r="CO48" s="119"/>
      <c r="CP48" s="119"/>
      <c r="CQ48" s="119"/>
      <c r="CR48" s="119"/>
      <c r="CS48" s="119"/>
      <c r="CT48" s="119"/>
      <c r="CU48" s="119"/>
      <c r="CV48" s="119"/>
      <c r="CW48" s="119"/>
      <c r="CX48" s="119"/>
      <c r="CY48" s="119"/>
      <c r="CZ48" s="119"/>
      <c r="DA48" s="119"/>
      <c r="DB48" s="119"/>
      <c r="DC48" s="119"/>
      <c r="DD48" s="119"/>
      <c r="DE48" s="119"/>
      <c r="DF48" s="119"/>
      <c r="DG48" s="119"/>
      <c r="DH48" s="119"/>
      <c r="DI48" s="119"/>
      <c r="DJ48" s="119"/>
      <c r="DK48" s="119"/>
      <c r="DL48" s="119"/>
      <c r="DM48" s="119"/>
      <c r="DN48" s="119"/>
      <c r="DO48" s="119"/>
      <c r="DP48" s="119"/>
      <c r="DQ48" s="119"/>
      <c r="DR48" s="119"/>
    </row>
    <row r="49" spans="1:122" ht="27" customHeight="1" x14ac:dyDescent="0.3">
      <c r="A49" s="64"/>
      <c r="B49" s="316" t="s">
        <v>72</v>
      </c>
      <c r="C49" s="565"/>
      <c r="D49" s="306"/>
      <c r="E49" s="320"/>
      <c r="F49" s="307"/>
      <c r="G49" s="308"/>
      <c r="H49" s="15"/>
      <c r="I49" s="682"/>
      <c r="J49"/>
    </row>
    <row r="50" spans="1:122" s="16" customFormat="1" ht="55.5" customHeight="1" x14ac:dyDescent="0.3">
      <c r="A50" s="64">
        <v>506</v>
      </c>
      <c r="B50" s="566" t="s">
        <v>21</v>
      </c>
      <c r="C50" s="566" t="s">
        <v>76</v>
      </c>
      <c r="D50" s="63" t="s">
        <v>370</v>
      </c>
      <c r="E50" s="248" t="e">
        <f>INDEX('PY1 Data(H)'!$A$1:$CZ$135,MATCH('Unit Data from Audit Worksheet'!$A50,'PY1 Data(H)'!$A$1:$A$135,0),MATCH('Unit Data from Audit Worksheet'!$D$2,'PY1 Data(H)'!$A$1:$CZ$1,0))</f>
        <v>#N/A</v>
      </c>
      <c r="F50" s="125">
        <v>0</v>
      </c>
      <c r="G50" s="277">
        <f>IF(F50&lt;0,"Note: Number is normally positive.",)</f>
        <v>0</v>
      </c>
      <c r="H50" s="278"/>
      <c r="I50" s="682"/>
      <c r="J50"/>
      <c r="L50"/>
      <c r="N50" s="126"/>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row>
    <row r="51" spans="1:122" s="16" customFormat="1" ht="45.75" customHeight="1" x14ac:dyDescent="0.3">
      <c r="A51" s="64">
        <v>536</v>
      </c>
      <c r="B51" s="566" t="s">
        <v>21</v>
      </c>
      <c r="C51" s="566" t="s">
        <v>76</v>
      </c>
      <c r="D51" s="63" t="s">
        <v>73</v>
      </c>
      <c r="E51" s="248" t="e">
        <f>INDEX('PY1 Data(H)'!$A$1:$CZ$135,MATCH('Unit Data from Audit Worksheet'!$A51,'PY1 Data(H)'!$A$1:$A$135,0),MATCH('Unit Data from Audit Worksheet'!$D$2,'PY1 Data(H)'!$A$1:$CZ$1,0))</f>
        <v>#N/A</v>
      </c>
      <c r="F51" s="125">
        <v>0</v>
      </c>
      <c r="G51" s="277">
        <f>IF(F51&lt;0,"Note: Number is normally positive.",)</f>
        <v>0</v>
      </c>
      <c r="H51" s="278"/>
      <c r="I51" s="680"/>
      <c r="J51"/>
      <c r="L51"/>
      <c r="N51" s="126"/>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row>
    <row r="52" spans="1:122" s="16" customFormat="1" ht="51.75" customHeight="1" x14ac:dyDescent="0.3">
      <c r="A52" s="64">
        <v>586</v>
      </c>
      <c r="B52" s="566" t="s">
        <v>23</v>
      </c>
      <c r="C52" s="566" t="s">
        <v>76</v>
      </c>
      <c r="D52" s="250" t="s">
        <v>206</v>
      </c>
      <c r="E52" s="248" t="e">
        <f>INDEX('PY1 Data(H)'!$A$1:$CZ$135,MATCH('Unit Data from Audit Worksheet'!$A52,'PY1 Data(H)'!$A$1:$A$135,0),MATCH('Unit Data from Audit Worksheet'!$D$2,'PY1 Data(H)'!$A$1:$CZ$1,0))</f>
        <v>#N/A</v>
      </c>
      <c r="F52" s="125">
        <v>0</v>
      </c>
      <c r="G52" s="277">
        <f>IF(F52&lt;0,"Note: Number is normally positive.",)</f>
        <v>0</v>
      </c>
      <c r="H52" s="278"/>
      <c r="I52" s="680"/>
      <c r="J52"/>
      <c r="L52"/>
      <c r="N52" s="126"/>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row>
    <row r="53" spans="1:122" ht="37.5" customHeight="1" x14ac:dyDescent="0.3">
      <c r="A53" s="64">
        <v>379</v>
      </c>
      <c r="B53" s="566" t="s">
        <v>24</v>
      </c>
      <c r="C53" s="566" t="s">
        <v>76</v>
      </c>
      <c r="D53" s="63" t="s">
        <v>59</v>
      </c>
      <c r="E53" s="248" t="e">
        <f>INDEX('PY1 Data(H)'!$A$1:$CZ$135,MATCH('Unit Data from Audit Worksheet'!$A53,'PY1 Data(H)'!$A$1:$A$135,0),MATCH('Unit Data from Audit Worksheet'!$D$2,'PY1 Data(H)'!$A$1:$CZ$1,0))</f>
        <v>#N/A</v>
      </c>
      <c r="F53" s="125">
        <v>0</v>
      </c>
      <c r="G53" s="277">
        <f>IF((F50+F51)&gt;F53,"Error: Please review account numbers (506+536)&gt;379",)</f>
        <v>0</v>
      </c>
      <c r="H53" s="15"/>
      <c r="I53" s="682"/>
      <c r="J53"/>
    </row>
    <row r="54" spans="1:122" ht="99.75" customHeight="1" x14ac:dyDescent="0.3">
      <c r="A54" s="64">
        <v>4</v>
      </c>
      <c r="B54" s="566" t="s">
        <v>21</v>
      </c>
      <c r="C54" s="566" t="s">
        <v>76</v>
      </c>
      <c r="D54" s="128" t="s">
        <v>371</v>
      </c>
      <c r="E54" s="248" t="e">
        <f>INDEX('PY1 Data(H)'!$A$1:$CZ$135,MATCH('Unit Data from Audit Worksheet'!$A54,'PY1 Data(H)'!$A$1:$A$135,0),MATCH('Unit Data from Audit Worksheet'!$D$2,'PY1 Data(H)'!$A$1:$CZ$1,0))</f>
        <v>#N/A</v>
      </c>
      <c r="F54" s="125">
        <v>0</v>
      </c>
      <c r="G54" s="277">
        <f t="shared" ref="G54:G58" si="1">IF(F54&lt;0,"Error: Enter as positive.",)</f>
        <v>0</v>
      </c>
      <c r="H54" s="15"/>
      <c r="I54" s="682"/>
      <c r="J54"/>
    </row>
    <row r="55" spans="1:122" ht="132" customHeight="1" x14ac:dyDescent="0.3">
      <c r="A55" s="64">
        <v>5</v>
      </c>
      <c r="B55" s="566" t="s">
        <v>21</v>
      </c>
      <c r="C55" s="566" t="s">
        <v>76</v>
      </c>
      <c r="D55" s="145" t="s">
        <v>372</v>
      </c>
      <c r="E55" s="248" t="e">
        <f>INDEX('PY1 Data(H)'!$A$1:$CZ$135,MATCH('Unit Data from Audit Worksheet'!$A55,'PY1 Data(H)'!$A$1:$A$135,0),MATCH('Unit Data from Audit Worksheet'!$D$2,'PY1 Data(H)'!$A$1:$CZ$1,0))</f>
        <v>#N/A</v>
      </c>
      <c r="F55" s="125">
        <v>0</v>
      </c>
      <c r="G55" s="277">
        <f t="shared" si="1"/>
        <v>0</v>
      </c>
      <c r="H55" s="15"/>
      <c r="I55" s="682"/>
      <c r="J55"/>
    </row>
    <row r="56" spans="1:122" ht="93.75" customHeight="1" x14ac:dyDescent="0.3">
      <c r="A56" s="64">
        <v>380</v>
      </c>
      <c r="B56" s="566" t="s">
        <v>24</v>
      </c>
      <c r="C56" s="566" t="s">
        <v>76</v>
      </c>
      <c r="D56" s="145" t="s">
        <v>373</v>
      </c>
      <c r="E56" s="248" t="e">
        <f>INDEX('PY1 Data(H)'!$A$1:$CZ$135,MATCH('Unit Data from Audit Worksheet'!$A56,'PY1 Data(H)'!$A$1:$A$135,0),MATCH('Unit Data from Audit Worksheet'!$D$2,'PY1 Data(H)'!$A$1:$CZ$1,0))</f>
        <v>#N/A</v>
      </c>
      <c r="F56" s="125">
        <v>0</v>
      </c>
      <c r="G56" s="277">
        <f t="shared" si="1"/>
        <v>0</v>
      </c>
      <c r="H56" s="15"/>
      <c r="I56" s="682"/>
      <c r="J56"/>
    </row>
    <row r="57" spans="1:122" ht="48.75" customHeight="1" x14ac:dyDescent="0.3">
      <c r="A57" s="64">
        <v>391</v>
      </c>
      <c r="B57" s="566" t="s">
        <v>27</v>
      </c>
      <c r="C57" s="566" t="s">
        <v>76</v>
      </c>
      <c r="D57" s="63" t="s">
        <v>74</v>
      </c>
      <c r="E57" s="248" t="e">
        <f>INDEX('PY1 Data(H)'!$A$1:$CZ$135,MATCH('Unit Data from Audit Worksheet'!$A57,'PY1 Data(H)'!$A$1:$A$135,0),MATCH('Unit Data from Audit Worksheet'!$D$2,'PY1 Data(H)'!$A$1:$CZ$1,0))</f>
        <v>#N/A</v>
      </c>
      <c r="F57" s="125">
        <v>0</v>
      </c>
      <c r="G57" s="277">
        <f t="shared" si="1"/>
        <v>0</v>
      </c>
      <c r="H57" s="15"/>
      <c r="I57" s="682"/>
      <c r="J57"/>
    </row>
    <row r="58" spans="1:122" ht="51.75" customHeight="1" x14ac:dyDescent="0.3">
      <c r="A58" s="64">
        <v>7</v>
      </c>
      <c r="B58" s="566" t="s">
        <v>27</v>
      </c>
      <c r="C58" s="566" t="s">
        <v>76</v>
      </c>
      <c r="D58" s="63" t="s">
        <v>75</v>
      </c>
      <c r="E58" s="248" t="e">
        <f>INDEX('PY1 Data(H)'!$A$1:$CZ$135,MATCH('Unit Data from Audit Worksheet'!$A58,'PY1 Data(H)'!$A$1:$A$135,0),MATCH('Unit Data from Audit Worksheet'!$D$2,'PY1 Data(H)'!$A$1:$CZ$1,0))</f>
        <v>#N/A</v>
      </c>
      <c r="F58" s="125">
        <v>0</v>
      </c>
      <c r="G58" s="277">
        <f t="shared" si="1"/>
        <v>0</v>
      </c>
      <c r="H58" s="15"/>
      <c r="I58" s="682"/>
      <c r="J58"/>
    </row>
    <row r="59" spans="1:122" ht="78.75" customHeight="1" x14ac:dyDescent="0.3">
      <c r="A59" s="129">
        <v>645</v>
      </c>
      <c r="B59" s="562" t="s">
        <v>238</v>
      </c>
      <c r="C59" s="562" t="s">
        <v>76</v>
      </c>
      <c r="D59" s="439" t="s">
        <v>254</v>
      </c>
      <c r="E59" s="248" t="e">
        <f>INDEX('PY1 Data(H)'!$A$1:$CZ$135,MATCH('Unit Data from Audit Worksheet'!$A59,'PY1 Data(H)'!$A$1:$A$135,0),MATCH('Unit Data from Audit Worksheet'!$D$2,'PY1 Data(H)'!$A$1:$CZ$1,0))</f>
        <v>#N/A</v>
      </c>
      <c r="F59" s="125">
        <v>0</v>
      </c>
      <c r="G59" s="277">
        <f>IF(F59&lt;0,"Note: Number is normally positive.",)</f>
        <v>0</v>
      </c>
      <c r="H59" s="278"/>
      <c r="I59" s="680"/>
      <c r="J59"/>
    </row>
    <row r="60" spans="1:122" ht="78.75" customHeight="1" x14ac:dyDescent="0.3">
      <c r="A60" s="129">
        <v>646</v>
      </c>
      <c r="B60" s="562" t="s">
        <v>238</v>
      </c>
      <c r="C60" s="562" t="s">
        <v>76</v>
      </c>
      <c r="D60" s="128" t="s">
        <v>239</v>
      </c>
      <c r="E60" s="248" t="e">
        <f>INDEX('PY1 Data(H)'!$A$1:$CZ$135,MATCH('Unit Data from Audit Worksheet'!$A60,'PY1 Data(H)'!$A$1:$A$135,0),MATCH('Unit Data from Audit Worksheet'!$D$2,'PY1 Data(H)'!$A$1:$CZ$1,0))</f>
        <v>#N/A</v>
      </c>
      <c r="F60" s="125">
        <v>0</v>
      </c>
      <c r="G60" s="277">
        <f>IF(F60&lt;0,"Note: Number is normally positive.",)</f>
        <v>0</v>
      </c>
      <c r="H60" s="278"/>
      <c r="I60" s="680"/>
      <c r="J60"/>
    </row>
    <row r="61" spans="1:122" ht="91.2" customHeight="1" x14ac:dyDescent="0.3">
      <c r="A61" s="64">
        <v>9</v>
      </c>
      <c r="B61" s="566" t="s">
        <v>24</v>
      </c>
      <c r="C61" s="566" t="s">
        <v>76</v>
      </c>
      <c r="D61" s="257" t="s">
        <v>374</v>
      </c>
      <c r="E61" s="248" t="e">
        <f>INDEX('PY1 Data(H)'!$A$1:$CZ$135,MATCH('Unit Data from Audit Worksheet'!$A61,'PY1 Data(H)'!$A$1:$A$135,0),MATCH('Unit Data from Audit Worksheet'!$D$2,'PY1 Data(H)'!$A$1:$CZ$1,0))</f>
        <v>#N/A</v>
      </c>
      <c r="F61" s="125">
        <v>0</v>
      </c>
      <c r="G61" s="277">
        <f>IF(F53-F54-F55-F56-F61=0,,"Error: Total assets less total liabilities do not equal total fund balance. Account numbers 379-4-5-380-9= 0  The amount of the formula is in the cell to the right")</f>
        <v>0</v>
      </c>
      <c r="H61" s="279">
        <f>F53-F54-F55-F56-F61</f>
        <v>0</v>
      </c>
      <c r="I61" s="682"/>
      <c r="J61"/>
    </row>
    <row r="62" spans="1:122" s="16" customFormat="1" ht="63.75" customHeight="1" x14ac:dyDescent="0.3">
      <c r="A62" s="64">
        <v>1052</v>
      </c>
      <c r="B62" s="648" t="s">
        <v>311</v>
      </c>
      <c r="C62" s="648" t="s">
        <v>79</v>
      </c>
      <c r="D62" s="649" t="s">
        <v>727</v>
      </c>
      <c r="E62" s="248" t="e">
        <f>INDEX('PY1 Data(H)'!$A$1:$CZ$135,MATCH('Unit Data from Audit Worksheet'!$A62,'PY1 Data(H)'!$A$1:$A$135,0),MATCH('Unit Data from Audit Worksheet'!$D$2,'PY1 Data(H)'!$A$1:$CZ$1,0))</f>
        <v>#N/A</v>
      </c>
      <c r="F62" s="125">
        <v>0</v>
      </c>
      <c r="G62" s="277"/>
      <c r="H62" s="278"/>
      <c r="I62" s="680"/>
      <c r="J62" s="119"/>
      <c r="L62" s="119"/>
      <c r="N62" s="126"/>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19"/>
      <c r="BZ62" s="119"/>
      <c r="CA62" s="119"/>
      <c r="CB62" s="119"/>
      <c r="CC62" s="119"/>
      <c r="CD62" s="119"/>
      <c r="CE62" s="119"/>
      <c r="CF62" s="119"/>
      <c r="CG62" s="119"/>
      <c r="CH62" s="119"/>
      <c r="CI62" s="119"/>
      <c r="CJ62" s="119"/>
      <c r="CK62" s="119"/>
      <c r="CL62" s="119"/>
      <c r="CM62" s="119"/>
      <c r="CN62" s="119"/>
      <c r="CO62" s="119"/>
      <c r="CP62" s="119"/>
      <c r="CQ62" s="119"/>
      <c r="CR62" s="119"/>
      <c r="CS62" s="119"/>
      <c r="CT62" s="119"/>
      <c r="CU62" s="119"/>
      <c r="CV62" s="119"/>
      <c r="CW62" s="119"/>
      <c r="CX62" s="119"/>
      <c r="CY62" s="119"/>
      <c r="CZ62" s="119"/>
      <c r="DA62" s="119"/>
      <c r="DB62" s="119"/>
      <c r="DC62" s="119"/>
      <c r="DD62" s="119"/>
      <c r="DE62" s="119"/>
      <c r="DF62" s="119"/>
      <c r="DG62" s="119"/>
      <c r="DH62" s="119"/>
      <c r="DI62" s="119"/>
      <c r="DJ62" s="119"/>
      <c r="DK62" s="119"/>
      <c r="DL62" s="119"/>
      <c r="DM62" s="119"/>
      <c r="DN62" s="119"/>
      <c r="DO62" s="119"/>
      <c r="DP62" s="119"/>
      <c r="DQ62" s="119"/>
      <c r="DR62" s="119"/>
    </row>
    <row r="63" spans="1:122" ht="30" customHeight="1" x14ac:dyDescent="0.3">
      <c r="A63" s="64"/>
      <c r="B63" s="316" t="s">
        <v>78</v>
      </c>
      <c r="C63" s="565"/>
      <c r="D63" s="303"/>
      <c r="E63" s="320"/>
      <c r="F63" s="304"/>
      <c r="G63" s="305"/>
      <c r="H63" s="15"/>
      <c r="I63" s="682"/>
      <c r="J63"/>
    </row>
    <row r="64" spans="1:122" ht="57.75" customHeight="1" x14ac:dyDescent="0.3">
      <c r="A64" s="64">
        <v>16</v>
      </c>
      <c r="B64" s="3" t="s">
        <v>25</v>
      </c>
      <c r="C64" s="3" t="s">
        <v>79</v>
      </c>
      <c r="D64" s="63" t="s">
        <v>77</v>
      </c>
      <c r="E64" s="248" t="e">
        <f>INDEX('PY1 Data(H)'!$A$1:$CZ$135,MATCH('Unit Data from Audit Worksheet'!$A64,'PY1 Data(H)'!$A$1:$A$135,0),MATCH('Unit Data from Audit Worksheet'!$D$2,'PY1 Data(H)'!$A$1:$CZ$1,0))</f>
        <v>#N/A</v>
      </c>
      <c r="F64" s="125">
        <v>0</v>
      </c>
      <c r="G64" s="277"/>
      <c r="H64" s="15"/>
      <c r="I64" s="682"/>
      <c r="J64"/>
    </row>
    <row r="65" spans="1:122" ht="69.75" customHeight="1" x14ac:dyDescent="0.3">
      <c r="A65" s="64">
        <v>532</v>
      </c>
      <c r="B65" s="3" t="s">
        <v>21</v>
      </c>
      <c r="C65" s="3" t="s">
        <v>79</v>
      </c>
      <c r="D65" s="253" t="s">
        <v>375</v>
      </c>
      <c r="E65" s="248" t="e">
        <f>INDEX('PY1 Data(H)'!$A$1:$CZ$135,MATCH('Unit Data from Audit Worksheet'!$A65,'PY1 Data(H)'!$A$1:$A$135,0),MATCH('Unit Data from Audit Worksheet'!$D$2,'PY1 Data(H)'!$A$1:$CZ$1,0))</f>
        <v>#N/A</v>
      </c>
      <c r="F65" s="125">
        <v>0</v>
      </c>
      <c r="G65" s="277">
        <f>IF(F65&lt;0,"Error: Enter as positive.",)</f>
        <v>0</v>
      </c>
      <c r="H65" s="15"/>
      <c r="I65" s="682"/>
      <c r="J65"/>
    </row>
    <row r="66" spans="1:122" ht="54" customHeight="1" x14ac:dyDescent="0.3">
      <c r="A66" s="64">
        <v>17</v>
      </c>
      <c r="B66" s="3" t="s">
        <v>24</v>
      </c>
      <c r="C66" s="3" t="s">
        <v>79</v>
      </c>
      <c r="D66" s="63" t="s">
        <v>376</v>
      </c>
      <c r="E66" s="248" t="e">
        <f>INDEX('PY1 Data(H)'!$A$1:$CZ$135,MATCH('Unit Data from Audit Worksheet'!$A66,'PY1 Data(H)'!$A$1:$A$135,0),MATCH('Unit Data from Audit Worksheet'!$D$2,'PY1 Data(H)'!$A$1:$CZ$1,0))</f>
        <v>#N/A</v>
      </c>
      <c r="F66" s="125">
        <v>0</v>
      </c>
      <c r="G66" s="277"/>
      <c r="H66" s="15"/>
      <c r="I66" s="682"/>
      <c r="J66"/>
    </row>
    <row r="67" spans="1:122" ht="58.5" customHeight="1" x14ac:dyDescent="0.3">
      <c r="A67" s="64">
        <v>20</v>
      </c>
      <c r="B67" s="3" t="s">
        <v>21</v>
      </c>
      <c r="C67" s="3" t="s">
        <v>79</v>
      </c>
      <c r="D67" s="63" t="s">
        <v>377</v>
      </c>
      <c r="E67" s="248" t="e">
        <f>INDEX('PY1 Data(H)'!$A$1:$CZ$135,MATCH('Unit Data from Audit Worksheet'!$A67,'PY1 Data(H)'!$A$1:$A$135,0),MATCH('Unit Data from Audit Worksheet'!$D$2,'PY1 Data(H)'!$A$1:$CZ$1,0))</f>
        <v>#N/A</v>
      </c>
      <c r="F67" s="125">
        <v>0</v>
      </c>
      <c r="G67" s="277">
        <f>IF(F67&lt;0,"Error: Enter as positive.",)</f>
        <v>0</v>
      </c>
      <c r="H67" s="15"/>
      <c r="I67" s="682"/>
      <c r="J67"/>
    </row>
    <row r="68" spans="1:122" ht="54" customHeight="1" x14ac:dyDescent="0.3">
      <c r="A68" s="64">
        <v>533</v>
      </c>
      <c r="B68" s="3" t="s">
        <v>21</v>
      </c>
      <c r="C68" s="3" t="s">
        <v>79</v>
      </c>
      <c r="D68" s="253" t="s">
        <v>378</v>
      </c>
      <c r="E68" s="248" t="e">
        <f>INDEX('PY1 Data(H)'!$A$1:$CZ$135,MATCH('Unit Data from Audit Worksheet'!$A68,'PY1 Data(H)'!$A$1:$A$135,0),MATCH('Unit Data from Audit Worksheet'!$D$2,'PY1 Data(H)'!$A$1:$CZ$1,0))</f>
        <v>#N/A</v>
      </c>
      <c r="F68" s="125">
        <v>0</v>
      </c>
      <c r="G68" s="282"/>
      <c r="H68" s="15"/>
      <c r="I68" s="682"/>
      <c r="J68"/>
    </row>
    <row r="69" spans="1:122" s="16" customFormat="1" ht="62.25" customHeight="1" x14ac:dyDescent="0.3">
      <c r="A69" s="64">
        <v>508</v>
      </c>
      <c r="B69" s="3" t="s">
        <v>21</v>
      </c>
      <c r="C69" s="3" t="s">
        <v>79</v>
      </c>
      <c r="D69" s="63" t="s">
        <v>190</v>
      </c>
      <c r="E69" s="248" t="e">
        <f>INDEX('PY1 Data(H)'!$A$1:$CZ$135,MATCH('Unit Data from Audit Worksheet'!$A69,'PY1 Data(H)'!$A$1:$A$135,0),MATCH('Unit Data from Audit Worksheet'!$D$2,'PY1 Data(H)'!$A$1:$CZ$1,0))</f>
        <v>#N/A</v>
      </c>
      <c r="F69" s="125">
        <v>0</v>
      </c>
      <c r="G69" s="277"/>
      <c r="H69" s="278"/>
      <c r="I69" s="680"/>
      <c r="J69"/>
      <c r="L69"/>
      <c r="N69" s="126"/>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row>
    <row r="70" spans="1:122" s="16" customFormat="1" ht="81.75" customHeight="1" x14ac:dyDescent="0.3">
      <c r="A70" s="64">
        <v>509</v>
      </c>
      <c r="B70" s="3" t="s">
        <v>21</v>
      </c>
      <c r="C70" s="3" t="s">
        <v>79</v>
      </c>
      <c r="D70" s="63" t="s">
        <v>188</v>
      </c>
      <c r="E70" s="248" t="e">
        <f>INDEX('PY1 Data(H)'!$A$1:$CZ$135,MATCH('Unit Data from Audit Worksheet'!$A70,'PY1 Data(H)'!$A$1:$A$135,0),MATCH('Unit Data from Audit Worksheet'!$D$2,'PY1 Data(H)'!$A$1:$CZ$1,0))</f>
        <v>#N/A</v>
      </c>
      <c r="F70" s="125">
        <v>0</v>
      </c>
      <c r="G70" s="277">
        <f>IF(F70&lt;0,"Error: Enter as positive.",)</f>
        <v>0</v>
      </c>
      <c r="H70" s="278"/>
      <c r="I70" s="680"/>
      <c r="J70"/>
      <c r="L70"/>
      <c r="N70" s="126"/>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row>
    <row r="71" spans="1:122" ht="69" customHeight="1" x14ac:dyDescent="0.3">
      <c r="A71" s="64">
        <v>22</v>
      </c>
      <c r="B71" s="3" t="s">
        <v>24</v>
      </c>
      <c r="C71" s="3" t="s">
        <v>79</v>
      </c>
      <c r="D71" s="63" t="s">
        <v>189</v>
      </c>
      <c r="E71" s="248" t="e">
        <f>INDEX('PY1 Data(H)'!$A$1:$CZ$135,MATCH('Unit Data from Audit Worksheet'!$A71,'PY1 Data(H)'!$A$1:$A$135,0),MATCH('Unit Data from Audit Worksheet'!$D$2,'PY1 Data(H)'!$A$1:$CZ$1,0))</f>
        <v>#N/A</v>
      </c>
      <c r="F71" s="125">
        <v>0</v>
      </c>
      <c r="G71" s="282"/>
      <c r="H71" s="15"/>
      <c r="I71" s="682"/>
      <c r="J71"/>
    </row>
    <row r="72" spans="1:122" ht="138" customHeight="1" x14ac:dyDescent="0.3">
      <c r="A72" s="64">
        <v>23</v>
      </c>
      <c r="B72" s="3" t="s">
        <v>24</v>
      </c>
      <c r="C72" s="3" t="s">
        <v>79</v>
      </c>
      <c r="D72" s="257" t="s">
        <v>379</v>
      </c>
      <c r="E72" s="248" t="e">
        <f>INDEX('PY1 Data(H)'!$A$1:$CZ$135,MATCH('Unit Data from Audit Worksheet'!$A72,'PY1 Data(H)'!$A$1:$A$135,0),MATCH('Unit Data from Audit Worksheet'!$D$2,'PY1 Data(H)'!$A$1:$CZ$1,0))</f>
        <v>#N/A</v>
      </c>
      <c r="F72" s="125">
        <v>0</v>
      </c>
      <c r="G72" s="277">
        <f>IF(H72=0,,"Error: Total revenues less total expenditures do not equal total change in fund balance.  Account numbers 16-532+17-20+533+22+508-509-23=0  The amount of the formula is located in the cell to the right")</f>
        <v>0</v>
      </c>
      <c r="H72" s="279">
        <f>+F64-F65+F66-F67+F68+F71+F69-F70-F72</f>
        <v>0</v>
      </c>
      <c r="I72" s="682"/>
      <c r="J72"/>
    </row>
    <row r="73" spans="1:122" ht="138" customHeight="1" x14ac:dyDescent="0.3">
      <c r="A73" s="64">
        <v>507</v>
      </c>
      <c r="B73" s="249" t="s">
        <v>24</v>
      </c>
      <c r="C73" s="249" t="s">
        <v>79</v>
      </c>
      <c r="D73" s="257" t="s">
        <v>380</v>
      </c>
      <c r="E73" s="248" t="e">
        <f>INDEX('PY1 Data(H)'!$A$1:$CZ$135,MATCH('Unit Data from Audit Worksheet'!$A73,'PY1 Data(H)'!$A$1:$A$135,0),MATCH('Unit Data from Audit Worksheet'!$D$2,'PY1 Data(H)'!$A$1:$CZ$1,0))</f>
        <v>#N/A</v>
      </c>
      <c r="F73" s="125">
        <v>0</v>
      </c>
      <c r="G73" s="471" t="e">
        <f>IF(F61-F72-F73=E61,,"Error: Beginning Balance does not agree with our records.  (Acct# 9-23-507)= Prior Years Acct # 9 The amount of the formula is in the cell to the right")</f>
        <v>#N/A</v>
      </c>
      <c r="H73" s="647" t="e">
        <f>+F61-F72-F73-E61</f>
        <v>#N/A</v>
      </c>
      <c r="I73" s="683" t="e">
        <f>IF(H73=0," ","If the out of balance is because prior years data is not populated in cell E61, disregard the error message. Do not include prior year's ending balance in cell F73.")</f>
        <v>#N/A</v>
      </c>
      <c r="J73"/>
    </row>
    <row r="74" spans="1:122" ht="82.5" customHeight="1" x14ac:dyDescent="0.3">
      <c r="A74" s="129">
        <v>647</v>
      </c>
      <c r="B74" s="562" t="s">
        <v>238</v>
      </c>
      <c r="C74" s="561" t="s">
        <v>240</v>
      </c>
      <c r="D74" s="128" t="s">
        <v>241</v>
      </c>
      <c r="E74" s="248" t="e">
        <f>INDEX('PY1 Data(H)'!$A$1:$CZ$135,MATCH('Unit Data from Audit Worksheet'!$A74,'PY1 Data(H)'!$A$1:$A$135,0),MATCH('Unit Data from Audit Worksheet'!$D$2,'PY1 Data(H)'!$A$1:$CZ$1,0))</f>
        <v>#N/A</v>
      </c>
      <c r="F74" s="125">
        <v>0</v>
      </c>
      <c r="G74" s="277">
        <f>IF(F74&lt;0,"Error: Enter as positive.",)</f>
        <v>0</v>
      </c>
      <c r="H74" s="283"/>
      <c r="I74" s="682"/>
      <c r="J74"/>
    </row>
    <row r="75" spans="1:122" ht="40.200000000000003" customHeight="1" x14ac:dyDescent="0.3">
      <c r="A75" s="445"/>
      <c r="B75" s="580" t="s">
        <v>589</v>
      </c>
      <c r="C75" s="523"/>
      <c r="D75" s="498"/>
      <c r="E75" s="523"/>
      <c r="F75" s="523"/>
      <c r="G75" s="447"/>
      <c r="H75" s="446"/>
      <c r="I75" s="682"/>
      <c r="J75" s="119"/>
      <c r="L75" s="119"/>
      <c r="Y75" s="119"/>
      <c r="Z75" s="119"/>
      <c r="AA75" s="119"/>
      <c r="AB75" s="119"/>
      <c r="AC75" s="119"/>
      <c r="AD75" s="119"/>
      <c r="AE75" s="119"/>
      <c r="AF75" s="119"/>
      <c r="AG75" s="119"/>
      <c r="AH75" s="119"/>
      <c r="AI75" s="119"/>
      <c r="AJ75" s="119"/>
      <c r="AK75" s="119"/>
      <c r="AL75" s="119"/>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c r="BJ75" s="119"/>
      <c r="BK75" s="119"/>
      <c r="BL75" s="119"/>
      <c r="BM75" s="119"/>
      <c r="BN75" s="119"/>
      <c r="BO75" s="119"/>
      <c r="BP75" s="119"/>
      <c r="BQ75" s="119"/>
      <c r="BR75" s="119"/>
      <c r="BS75" s="119"/>
      <c r="BT75" s="119"/>
      <c r="BU75" s="119"/>
      <c r="BV75" s="119"/>
      <c r="BW75" s="119"/>
      <c r="BX75" s="119"/>
      <c r="BY75" s="119"/>
      <c r="BZ75" s="119"/>
      <c r="CA75" s="119"/>
      <c r="CB75" s="119"/>
      <c r="CC75" s="119"/>
      <c r="CD75" s="119"/>
      <c r="CE75" s="119"/>
      <c r="CF75" s="119"/>
      <c r="CG75" s="119"/>
      <c r="CH75" s="119"/>
      <c r="CI75" s="119"/>
      <c r="CJ75" s="119"/>
      <c r="CK75" s="119"/>
      <c r="CL75" s="119"/>
      <c r="CM75" s="119"/>
      <c r="CN75" s="119"/>
      <c r="CO75" s="119"/>
      <c r="CP75" s="119"/>
      <c r="CQ75" s="119"/>
      <c r="CR75" s="119"/>
      <c r="CS75" s="119"/>
      <c r="CT75" s="119"/>
      <c r="CU75" s="119"/>
      <c r="CV75" s="119"/>
      <c r="CW75" s="119"/>
      <c r="CX75" s="119"/>
      <c r="CY75" s="119"/>
      <c r="CZ75" s="119"/>
      <c r="DA75" s="119"/>
      <c r="DB75" s="119"/>
      <c r="DC75" s="119"/>
      <c r="DD75" s="119"/>
      <c r="DE75" s="119"/>
      <c r="DF75" s="119"/>
      <c r="DG75" s="119"/>
      <c r="DH75" s="119"/>
      <c r="DI75" s="119"/>
      <c r="DJ75" s="119"/>
      <c r="DK75" s="119"/>
      <c r="DL75" s="119"/>
      <c r="DM75" s="119"/>
      <c r="DN75" s="119"/>
      <c r="DO75" s="119"/>
      <c r="DP75" s="119"/>
      <c r="DQ75" s="119"/>
      <c r="DR75" s="119"/>
    </row>
    <row r="76" spans="1:122" ht="82.5" customHeight="1" x14ac:dyDescent="0.3">
      <c r="A76" s="448">
        <v>534</v>
      </c>
      <c r="B76" s="568" t="s">
        <v>238</v>
      </c>
      <c r="C76" s="569" t="s">
        <v>590</v>
      </c>
      <c r="D76" s="449" t="s">
        <v>591</v>
      </c>
      <c r="E76" s="248" t="e">
        <f>INDEX('PY1 Data(H)'!$A$1:$CZ$135,MATCH('Unit Data from Audit Worksheet'!$A76,'PY1 Data(H)'!$A$1:$A$135,0),MATCH('Unit Data from Audit Worksheet'!$D$2,'PY1 Data(H)'!$A$1:$CZ$1,0))</f>
        <v>#N/A</v>
      </c>
      <c r="F76" s="125">
        <v>0</v>
      </c>
      <c r="G76" s="277"/>
      <c r="H76" s="446"/>
      <c r="I76" s="682"/>
      <c r="J76" s="119"/>
      <c r="L76" s="119"/>
      <c r="Y76" s="119"/>
      <c r="Z76" s="119"/>
      <c r="AA76" s="119"/>
      <c r="AB76" s="119"/>
      <c r="AC76" s="119"/>
      <c r="AD76" s="119"/>
      <c r="AE76" s="119"/>
      <c r="AF76" s="119"/>
      <c r="AG76" s="119"/>
      <c r="AH76" s="119"/>
      <c r="AI76" s="119"/>
      <c r="AJ76" s="119"/>
      <c r="AK76" s="119"/>
      <c r="AL76" s="119"/>
      <c r="AM76" s="119"/>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c r="BJ76" s="119"/>
      <c r="BK76" s="119"/>
      <c r="BL76" s="119"/>
      <c r="BM76" s="119"/>
      <c r="BN76" s="119"/>
      <c r="BO76" s="119"/>
      <c r="BP76" s="119"/>
      <c r="BQ76" s="119"/>
      <c r="BR76" s="119"/>
      <c r="BS76" s="119"/>
      <c r="BT76" s="119"/>
      <c r="BU76" s="119"/>
      <c r="BV76" s="119"/>
      <c r="BW76" s="119"/>
      <c r="BX76" s="119"/>
      <c r="BY76" s="119"/>
      <c r="BZ76" s="119"/>
      <c r="CA76" s="119"/>
      <c r="CB76" s="119"/>
      <c r="CC76" s="119"/>
      <c r="CD76" s="119"/>
      <c r="CE76" s="119"/>
      <c r="CF76" s="119"/>
      <c r="CG76" s="119"/>
      <c r="CH76" s="119"/>
      <c r="CI76" s="119"/>
      <c r="CJ76" s="119"/>
      <c r="CK76" s="119"/>
      <c r="CL76" s="119"/>
      <c r="CM76" s="119"/>
      <c r="CN76" s="119"/>
      <c r="CO76" s="119"/>
      <c r="CP76" s="119"/>
      <c r="CQ76" s="119"/>
      <c r="CR76" s="119"/>
      <c r="CS76" s="119"/>
      <c r="CT76" s="119"/>
      <c r="CU76" s="119"/>
      <c r="CV76" s="119"/>
      <c r="CW76" s="119"/>
      <c r="CX76" s="119"/>
      <c r="CY76" s="119"/>
      <c r="CZ76" s="119"/>
      <c r="DA76" s="119"/>
      <c r="DB76" s="119"/>
      <c r="DC76" s="119"/>
      <c r="DD76" s="119"/>
      <c r="DE76" s="119"/>
      <c r="DF76" s="119"/>
      <c r="DG76" s="119"/>
      <c r="DH76" s="119"/>
      <c r="DI76" s="119"/>
      <c r="DJ76" s="119"/>
      <c r="DK76" s="119"/>
      <c r="DL76" s="119"/>
      <c r="DM76" s="119"/>
      <c r="DN76" s="119"/>
      <c r="DO76" s="119"/>
      <c r="DP76" s="119"/>
      <c r="DQ76" s="119"/>
      <c r="DR76" s="119"/>
    </row>
    <row r="77" spans="1:122" ht="82.5" customHeight="1" x14ac:dyDescent="0.3">
      <c r="A77" s="450">
        <v>13</v>
      </c>
      <c r="B77" s="568" t="s">
        <v>212</v>
      </c>
      <c r="C77" s="570" t="s">
        <v>592</v>
      </c>
      <c r="D77" s="451" t="s">
        <v>593</v>
      </c>
      <c r="E77" s="248" t="e">
        <f>INDEX('PY1 Data(H)'!$A$1:$CZ$135,MATCH('Unit Data from Audit Worksheet'!$A77,'PY1 Data(H)'!$A$1:$A$135,0),MATCH('Unit Data from Audit Worksheet'!$D$2,'PY1 Data(H)'!$A$1:$CZ$1,0))</f>
        <v>#N/A</v>
      </c>
      <c r="F77" s="125">
        <v>0</v>
      </c>
      <c r="G77" s="277"/>
      <c r="H77" s="446"/>
      <c r="I77" s="682"/>
      <c r="J77" s="119"/>
      <c r="L77" s="119"/>
      <c r="Y77" s="119"/>
      <c r="Z77" s="119"/>
      <c r="AA77" s="119"/>
      <c r="AB77" s="119"/>
      <c r="AC77" s="119"/>
      <c r="AD77" s="119"/>
      <c r="AE77" s="119"/>
      <c r="AF77" s="119"/>
      <c r="AG77" s="119"/>
      <c r="AH77" s="119"/>
      <c r="AI77" s="119"/>
      <c r="AJ77" s="119"/>
      <c r="AK77" s="119"/>
      <c r="AL77" s="119"/>
      <c r="AM77" s="119"/>
      <c r="AN77" s="119"/>
      <c r="AO77" s="119"/>
      <c r="AP77" s="119"/>
      <c r="AQ77" s="119"/>
      <c r="AR77" s="119"/>
      <c r="AS77" s="119"/>
      <c r="AT77" s="119"/>
      <c r="AU77" s="119"/>
      <c r="AV77" s="119"/>
      <c r="AW77" s="119"/>
      <c r="AX77" s="119"/>
      <c r="AY77" s="119"/>
      <c r="AZ77" s="119"/>
      <c r="BA77" s="119"/>
      <c r="BB77" s="119"/>
      <c r="BC77" s="119"/>
      <c r="BD77" s="119"/>
      <c r="BE77" s="119"/>
      <c r="BF77" s="119"/>
      <c r="BG77" s="119"/>
      <c r="BH77" s="119"/>
      <c r="BI77" s="119"/>
      <c r="BJ77" s="119"/>
      <c r="BK77" s="119"/>
      <c r="BL77" s="119"/>
      <c r="BM77" s="119"/>
      <c r="BN77" s="119"/>
      <c r="BO77" s="119"/>
      <c r="BP77" s="119"/>
      <c r="BQ77" s="119"/>
      <c r="BR77" s="119"/>
      <c r="BS77" s="119"/>
      <c r="BT77" s="119"/>
      <c r="BU77" s="119"/>
      <c r="BV77" s="119"/>
      <c r="BW77" s="119"/>
      <c r="BX77" s="119"/>
      <c r="BY77" s="119"/>
      <c r="BZ77" s="119"/>
      <c r="CA77" s="119"/>
      <c r="CB77" s="119"/>
      <c r="CC77" s="119"/>
      <c r="CD77" s="119"/>
      <c r="CE77" s="119"/>
      <c r="CF77" s="119"/>
      <c r="CG77" s="119"/>
      <c r="CH77" s="119"/>
      <c r="CI77" s="119"/>
      <c r="CJ77" s="119"/>
      <c r="CK77" s="119"/>
      <c r="CL77" s="119"/>
      <c r="CM77" s="119"/>
      <c r="CN77" s="119"/>
      <c r="CO77" s="119"/>
      <c r="CP77" s="119"/>
      <c r="CQ77" s="119"/>
      <c r="CR77" s="119"/>
      <c r="CS77" s="119"/>
      <c r="CT77" s="119"/>
      <c r="CU77" s="119"/>
      <c r="CV77" s="119"/>
      <c r="CW77" s="119"/>
      <c r="CX77" s="119"/>
      <c r="CY77" s="119"/>
      <c r="CZ77" s="119"/>
      <c r="DA77" s="119"/>
      <c r="DB77" s="119"/>
      <c r="DC77" s="119"/>
      <c r="DD77" s="119"/>
      <c r="DE77" s="119"/>
      <c r="DF77" s="119"/>
      <c r="DG77" s="119"/>
      <c r="DH77" s="119"/>
      <c r="DI77" s="119"/>
      <c r="DJ77" s="119"/>
      <c r="DK77" s="119"/>
      <c r="DL77" s="119"/>
      <c r="DM77" s="119"/>
      <c r="DN77" s="119"/>
      <c r="DO77" s="119"/>
      <c r="DP77" s="119"/>
      <c r="DQ77" s="119"/>
      <c r="DR77" s="119"/>
    </row>
    <row r="78" spans="1:122" ht="178.95" customHeight="1" x14ac:dyDescent="0.3">
      <c r="A78" s="450">
        <v>14</v>
      </c>
      <c r="B78" s="568" t="s">
        <v>212</v>
      </c>
      <c r="C78" s="570" t="s">
        <v>592</v>
      </c>
      <c r="D78" s="451" t="s">
        <v>594</v>
      </c>
      <c r="E78" s="248" t="e">
        <f>INDEX('PY1 Data(H)'!$A$1:$CZ$135,MATCH('Unit Data from Audit Worksheet'!$A78,'PY1 Data(H)'!$A$1:$A$135,0),MATCH('Unit Data from Audit Worksheet'!$D$2,'PY1 Data(H)'!$A$1:$CZ$1,0))</f>
        <v>#N/A</v>
      </c>
      <c r="F78" s="125">
        <v>0</v>
      </c>
      <c r="G78" s="277"/>
      <c r="H78" s="446"/>
      <c r="I78" s="682"/>
      <c r="J78" s="119"/>
      <c r="L78" s="119"/>
      <c r="Y78" s="119"/>
      <c r="Z78" s="119"/>
      <c r="AA78" s="119"/>
      <c r="AB78" s="119"/>
      <c r="AC78" s="119"/>
      <c r="AD78" s="119"/>
      <c r="AE78" s="119"/>
      <c r="AF78" s="119"/>
      <c r="AG78" s="119"/>
      <c r="AH78" s="119"/>
      <c r="AI78" s="119"/>
      <c r="AJ78" s="119"/>
      <c r="AK78" s="119"/>
      <c r="AL78" s="119"/>
      <c r="AM78" s="119"/>
      <c r="AN78" s="119"/>
      <c r="AO78" s="119"/>
      <c r="AP78" s="119"/>
      <c r="AQ78" s="119"/>
      <c r="AR78" s="119"/>
      <c r="AS78" s="119"/>
      <c r="AT78" s="119"/>
      <c r="AU78" s="119"/>
      <c r="AV78" s="119"/>
      <c r="AW78" s="119"/>
      <c r="AX78" s="119"/>
      <c r="AY78" s="119"/>
      <c r="AZ78" s="119"/>
      <c r="BA78" s="119"/>
      <c r="BB78" s="119"/>
      <c r="BC78" s="119"/>
      <c r="BD78" s="119"/>
      <c r="BE78" s="119"/>
      <c r="BF78" s="119"/>
      <c r="BG78" s="119"/>
      <c r="BH78" s="119"/>
      <c r="BI78" s="119"/>
      <c r="BJ78" s="119"/>
      <c r="BK78" s="119"/>
      <c r="BL78" s="119"/>
      <c r="BM78" s="119"/>
      <c r="BN78" s="119"/>
      <c r="BO78" s="119"/>
      <c r="BP78" s="119"/>
      <c r="BQ78" s="119"/>
      <c r="BR78" s="119"/>
      <c r="BS78" s="119"/>
      <c r="BT78" s="119"/>
      <c r="BU78" s="119"/>
      <c r="BV78" s="119"/>
      <c r="BW78" s="119"/>
      <c r="BX78" s="119"/>
      <c r="BY78" s="119"/>
      <c r="BZ78" s="119"/>
      <c r="CA78" s="119"/>
      <c r="CB78" s="119"/>
      <c r="CC78" s="119"/>
      <c r="CD78" s="119"/>
      <c r="CE78" s="119"/>
      <c r="CF78" s="119"/>
      <c r="CG78" s="119"/>
      <c r="CH78" s="119"/>
      <c r="CI78" s="119"/>
      <c r="CJ78" s="119"/>
      <c r="CK78" s="119"/>
      <c r="CL78" s="119"/>
      <c r="CM78" s="119"/>
      <c r="CN78" s="119"/>
      <c r="CO78" s="119"/>
      <c r="CP78" s="119"/>
      <c r="CQ78" s="119"/>
      <c r="CR78" s="119"/>
      <c r="CS78" s="119"/>
      <c r="CT78" s="119"/>
      <c r="CU78" s="119"/>
      <c r="CV78" s="119"/>
      <c r="CW78" s="119"/>
      <c r="CX78" s="119"/>
      <c r="CY78" s="119"/>
      <c r="CZ78" s="119"/>
      <c r="DA78" s="119"/>
      <c r="DB78" s="119"/>
      <c r="DC78" s="119"/>
      <c r="DD78" s="119"/>
      <c r="DE78" s="119"/>
      <c r="DF78" s="119"/>
      <c r="DG78" s="119"/>
      <c r="DH78" s="119"/>
      <c r="DI78" s="119"/>
      <c r="DJ78" s="119"/>
      <c r="DK78" s="119"/>
      <c r="DL78" s="119"/>
      <c r="DM78" s="119"/>
      <c r="DN78" s="119"/>
      <c r="DO78" s="119"/>
      <c r="DP78" s="119"/>
      <c r="DQ78" s="119"/>
      <c r="DR78" s="119"/>
    </row>
    <row r="79" spans="1:122" ht="82.5" customHeight="1" x14ac:dyDescent="0.3">
      <c r="A79" s="450">
        <v>32</v>
      </c>
      <c r="B79" s="568" t="s">
        <v>238</v>
      </c>
      <c r="C79" s="570" t="s">
        <v>595</v>
      </c>
      <c r="D79" s="451" t="s">
        <v>596</v>
      </c>
      <c r="E79" s="248" t="e">
        <f>INDEX('PY1 Data(H)'!$A$1:$CZ$135,MATCH('Unit Data from Audit Worksheet'!$A79,'PY1 Data(H)'!$A$1:$A$135,0),MATCH('Unit Data from Audit Worksheet'!$D$2,'PY1 Data(H)'!$A$1:$CZ$1,0))</f>
        <v>#N/A</v>
      </c>
      <c r="F79" s="125">
        <v>0</v>
      </c>
      <c r="G79" s="277"/>
      <c r="H79" s="446"/>
      <c r="I79" s="682"/>
      <c r="J79" s="119"/>
      <c r="L79" s="119"/>
      <c r="Y79" s="119"/>
      <c r="Z79" s="119"/>
      <c r="AA79" s="119"/>
      <c r="AB79" s="119"/>
      <c r="AC79" s="119"/>
      <c r="AD79" s="119"/>
      <c r="AE79" s="119"/>
      <c r="AF79" s="119"/>
      <c r="AG79" s="119"/>
      <c r="AH79" s="119"/>
      <c r="AI79" s="119"/>
      <c r="AJ79" s="119"/>
      <c r="AK79" s="119"/>
      <c r="AL79" s="119"/>
      <c r="AM79" s="119"/>
      <c r="AN79" s="119"/>
      <c r="AO79" s="119"/>
      <c r="AP79" s="119"/>
      <c r="AQ79" s="119"/>
      <c r="AR79" s="119"/>
      <c r="AS79" s="119"/>
      <c r="AT79" s="119"/>
      <c r="AU79" s="119"/>
      <c r="AV79" s="119"/>
      <c r="AW79" s="119"/>
      <c r="AX79" s="119"/>
      <c r="AY79" s="119"/>
      <c r="AZ79" s="119"/>
      <c r="BA79" s="119"/>
      <c r="BB79" s="119"/>
      <c r="BC79" s="119"/>
      <c r="BD79" s="119"/>
      <c r="BE79" s="119"/>
      <c r="BF79" s="119"/>
      <c r="BG79" s="119"/>
      <c r="BH79" s="119"/>
      <c r="BI79" s="119"/>
      <c r="BJ79" s="119"/>
      <c r="BK79" s="119"/>
      <c r="BL79" s="119"/>
      <c r="BM79" s="119"/>
      <c r="BN79" s="119"/>
      <c r="BO79" s="119"/>
      <c r="BP79" s="119"/>
      <c r="BQ79" s="119"/>
      <c r="BR79" s="119"/>
      <c r="BS79" s="119"/>
      <c r="BT79" s="119"/>
      <c r="BU79" s="119"/>
      <c r="BV79" s="119"/>
      <c r="BW79" s="119"/>
      <c r="BX79" s="119"/>
      <c r="BY79" s="119"/>
      <c r="BZ79" s="119"/>
      <c r="CA79" s="119"/>
      <c r="CB79" s="119"/>
      <c r="CC79" s="119"/>
      <c r="CD79" s="119"/>
      <c r="CE79" s="119"/>
      <c r="CF79" s="119"/>
      <c r="CG79" s="119"/>
      <c r="CH79" s="119"/>
      <c r="CI79" s="119"/>
      <c r="CJ79" s="119"/>
      <c r="CK79" s="119"/>
      <c r="CL79" s="119"/>
      <c r="CM79" s="119"/>
      <c r="CN79" s="119"/>
      <c r="CO79" s="119"/>
      <c r="CP79" s="119"/>
      <c r="CQ79" s="119"/>
      <c r="CR79" s="119"/>
      <c r="CS79" s="119"/>
      <c r="CT79" s="119"/>
      <c r="CU79" s="119"/>
      <c r="CV79" s="119"/>
      <c r="CW79" s="119"/>
      <c r="CX79" s="119"/>
      <c r="CY79" s="119"/>
      <c r="CZ79" s="119"/>
      <c r="DA79" s="119"/>
      <c r="DB79" s="119"/>
      <c r="DC79" s="119"/>
      <c r="DD79" s="119"/>
      <c r="DE79" s="119"/>
      <c r="DF79" s="119"/>
      <c r="DG79" s="119"/>
      <c r="DH79" s="119"/>
      <c r="DI79" s="119"/>
      <c r="DJ79" s="119"/>
      <c r="DK79" s="119"/>
      <c r="DL79" s="119"/>
      <c r="DM79" s="119"/>
      <c r="DN79" s="119"/>
      <c r="DO79" s="119"/>
      <c r="DP79" s="119"/>
      <c r="DQ79" s="119"/>
      <c r="DR79" s="119"/>
    </row>
    <row r="80" spans="1:122" ht="82.5" customHeight="1" x14ac:dyDescent="0.3">
      <c r="A80" s="450">
        <v>31</v>
      </c>
      <c r="B80" s="568" t="s">
        <v>238</v>
      </c>
      <c r="C80" s="570" t="s">
        <v>595</v>
      </c>
      <c r="D80" s="451" t="s">
        <v>597</v>
      </c>
      <c r="E80" s="248" t="e">
        <f>INDEX('PY1 Data(H)'!$A$1:$CZ$135,MATCH('Unit Data from Audit Worksheet'!$A80,'PY1 Data(H)'!$A$1:$A$135,0),MATCH('Unit Data from Audit Worksheet'!$D$2,'PY1 Data(H)'!$A$1:$CZ$1,0))</f>
        <v>#N/A</v>
      </c>
      <c r="F80" s="125">
        <v>0</v>
      </c>
      <c r="G80" s="277"/>
      <c r="H80" s="446"/>
      <c r="I80" s="682"/>
      <c r="J80" s="119"/>
      <c r="L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119"/>
      <c r="AV80" s="119"/>
      <c r="AW80" s="119"/>
      <c r="AX80" s="119"/>
      <c r="AY80" s="119"/>
      <c r="AZ80" s="119"/>
      <c r="BA80" s="119"/>
      <c r="BB80" s="119"/>
      <c r="BC80" s="119"/>
      <c r="BD80" s="119"/>
      <c r="BE80" s="119"/>
      <c r="BF80" s="119"/>
      <c r="BG80" s="119"/>
      <c r="BH80" s="119"/>
      <c r="BI80" s="119"/>
      <c r="BJ80" s="119"/>
      <c r="BK80" s="119"/>
      <c r="BL80" s="119"/>
      <c r="BM80" s="119"/>
      <c r="BN80" s="119"/>
      <c r="BO80" s="119"/>
      <c r="BP80" s="119"/>
      <c r="BQ80" s="119"/>
      <c r="BR80" s="119"/>
      <c r="BS80" s="119"/>
      <c r="BT80" s="119"/>
      <c r="BU80" s="119"/>
      <c r="BV80" s="119"/>
      <c r="BW80" s="119"/>
      <c r="BX80" s="119"/>
      <c r="BY80" s="119"/>
      <c r="BZ80" s="119"/>
      <c r="CA80" s="119"/>
      <c r="CB80" s="119"/>
      <c r="CC80" s="119"/>
      <c r="CD80" s="119"/>
      <c r="CE80" s="119"/>
      <c r="CF80" s="119"/>
      <c r="CG80" s="119"/>
      <c r="CH80" s="119"/>
      <c r="CI80" s="119"/>
      <c r="CJ80" s="119"/>
      <c r="CK80" s="119"/>
      <c r="CL80" s="119"/>
      <c r="CM80" s="119"/>
      <c r="CN80" s="119"/>
      <c r="CO80" s="119"/>
      <c r="CP80" s="119"/>
      <c r="CQ80" s="119"/>
      <c r="CR80" s="119"/>
      <c r="CS80" s="119"/>
      <c r="CT80" s="119"/>
      <c r="CU80" s="119"/>
      <c r="CV80" s="119"/>
      <c r="CW80" s="119"/>
      <c r="CX80" s="119"/>
      <c r="CY80" s="119"/>
      <c r="CZ80" s="119"/>
      <c r="DA80" s="119"/>
      <c r="DB80" s="119"/>
      <c r="DC80" s="119"/>
      <c r="DD80" s="119"/>
      <c r="DE80" s="119"/>
      <c r="DF80" s="119"/>
      <c r="DG80" s="119"/>
      <c r="DH80" s="119"/>
      <c r="DI80" s="119"/>
      <c r="DJ80" s="119"/>
      <c r="DK80" s="119"/>
      <c r="DL80" s="119"/>
      <c r="DM80" s="119"/>
      <c r="DN80" s="119"/>
      <c r="DO80" s="119"/>
      <c r="DP80" s="119"/>
      <c r="DQ80" s="119"/>
      <c r="DR80" s="119"/>
    </row>
    <row r="81" spans="1:1880" ht="82.5" customHeight="1" x14ac:dyDescent="0.3">
      <c r="A81" s="450">
        <v>193</v>
      </c>
      <c r="B81" s="568" t="s">
        <v>238</v>
      </c>
      <c r="C81" s="570" t="s">
        <v>598</v>
      </c>
      <c r="D81" s="451" t="s">
        <v>186</v>
      </c>
      <c r="E81" s="248" t="e">
        <f>INDEX('PY1 Data(H)'!$A$1:$CZ$135,MATCH('Unit Data from Audit Worksheet'!$A81,'PY1 Data(H)'!$A$1:$A$135,0),MATCH('Unit Data from Audit Worksheet'!$D$2,'PY1 Data(H)'!$A$1:$CZ$1,0))</f>
        <v>#N/A</v>
      </c>
      <c r="F81" s="125">
        <v>0</v>
      </c>
      <c r="G81" s="277"/>
      <c r="H81" s="446"/>
      <c r="I81" s="682"/>
      <c r="J81" s="119"/>
      <c r="L81" s="119"/>
      <c r="Y81" s="119"/>
      <c r="Z81" s="119"/>
      <c r="AA81" s="119"/>
      <c r="AB81" s="119"/>
      <c r="AC81" s="119"/>
      <c r="AD81" s="119"/>
      <c r="AE81" s="119"/>
      <c r="AF81" s="119"/>
      <c r="AG81" s="119"/>
      <c r="AH81" s="119"/>
      <c r="AI81" s="119"/>
      <c r="AJ81" s="119"/>
      <c r="AK81" s="119"/>
      <c r="AL81" s="119"/>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19"/>
      <c r="BU81" s="119"/>
      <c r="BV81" s="119"/>
      <c r="BW81" s="119"/>
      <c r="BX81" s="119"/>
      <c r="BY81" s="119"/>
      <c r="BZ81" s="119"/>
      <c r="CA81" s="119"/>
      <c r="CB81" s="119"/>
      <c r="CC81" s="119"/>
      <c r="CD81" s="119"/>
      <c r="CE81" s="119"/>
      <c r="CF81" s="119"/>
      <c r="CG81" s="119"/>
      <c r="CH81" s="119"/>
      <c r="CI81" s="119"/>
      <c r="CJ81" s="119"/>
      <c r="CK81" s="119"/>
      <c r="CL81" s="119"/>
      <c r="CM81" s="119"/>
      <c r="CN81" s="119"/>
      <c r="CO81" s="119"/>
      <c r="CP81" s="119"/>
      <c r="CQ81" s="119"/>
      <c r="CR81" s="119"/>
      <c r="CS81" s="119"/>
      <c r="CT81" s="119"/>
      <c r="CU81" s="119"/>
      <c r="CV81" s="119"/>
      <c r="CW81" s="119"/>
      <c r="CX81" s="119"/>
      <c r="CY81" s="119"/>
      <c r="CZ81" s="119"/>
      <c r="DA81" s="119"/>
      <c r="DB81" s="119"/>
      <c r="DC81" s="119"/>
      <c r="DD81" s="119"/>
      <c r="DE81" s="119"/>
      <c r="DF81" s="119"/>
      <c r="DG81" s="119"/>
      <c r="DH81" s="119"/>
      <c r="DI81" s="119"/>
      <c r="DJ81" s="119"/>
      <c r="DK81" s="119"/>
      <c r="DL81" s="119"/>
      <c r="DM81" s="119"/>
      <c r="DN81" s="119"/>
      <c r="DO81" s="119"/>
      <c r="DP81" s="119"/>
      <c r="DQ81" s="119"/>
      <c r="DR81" s="119"/>
    </row>
    <row r="82" spans="1:1880" ht="82.5" customHeight="1" x14ac:dyDescent="0.3">
      <c r="A82" s="450">
        <v>33</v>
      </c>
      <c r="B82" s="568" t="s">
        <v>238</v>
      </c>
      <c r="C82" s="570" t="s">
        <v>598</v>
      </c>
      <c r="D82" s="451" t="s">
        <v>185</v>
      </c>
      <c r="E82" s="248" t="e">
        <f>INDEX('PY1 Data(H)'!$A$1:$CZ$135,MATCH('Unit Data from Audit Worksheet'!$A82,'PY1 Data(H)'!$A$1:$A$135,0),MATCH('Unit Data from Audit Worksheet'!$D$2,'PY1 Data(H)'!$A$1:$CZ$1,0))</f>
        <v>#N/A</v>
      </c>
      <c r="F82" s="125">
        <v>0</v>
      </c>
      <c r="G82" s="277"/>
      <c r="H82" s="446"/>
      <c r="I82" s="682"/>
      <c r="J82" s="119"/>
      <c r="L82" s="119"/>
      <c r="Y82" s="119"/>
      <c r="Z82" s="119"/>
      <c r="AA82" s="119"/>
      <c r="AB82" s="119"/>
      <c r="AC82" s="119"/>
      <c r="AD82" s="119"/>
      <c r="AE82" s="119"/>
      <c r="AF82" s="119"/>
      <c r="AG82" s="119"/>
      <c r="AH82" s="119"/>
      <c r="AI82" s="119"/>
      <c r="AJ82" s="119"/>
      <c r="AK82" s="119"/>
      <c r="AL82" s="119"/>
      <c r="AM82" s="119"/>
      <c r="AN82" s="119"/>
      <c r="AO82" s="119"/>
      <c r="AP82" s="119"/>
      <c r="AQ82" s="119"/>
      <c r="AR82" s="119"/>
      <c r="AS82" s="119"/>
      <c r="AT82" s="119"/>
      <c r="AU82" s="119"/>
      <c r="AV82" s="119"/>
      <c r="AW82" s="119"/>
      <c r="AX82" s="119"/>
      <c r="AY82" s="119"/>
      <c r="AZ82" s="119"/>
      <c r="BA82" s="119"/>
      <c r="BB82" s="119"/>
      <c r="BC82" s="119"/>
      <c r="BD82" s="119"/>
      <c r="BE82" s="119"/>
      <c r="BF82" s="119"/>
      <c r="BG82" s="119"/>
      <c r="BH82" s="119"/>
      <c r="BI82" s="119"/>
      <c r="BJ82" s="119"/>
      <c r="BK82" s="119"/>
      <c r="BL82" s="119"/>
      <c r="BM82" s="119"/>
      <c r="BN82" s="119"/>
      <c r="BO82" s="119"/>
      <c r="BP82" s="119"/>
      <c r="BQ82" s="119"/>
      <c r="BR82" s="119"/>
      <c r="BS82" s="119"/>
      <c r="BT82" s="119"/>
      <c r="BU82" s="119"/>
      <c r="BV82" s="119"/>
      <c r="BW82" s="119"/>
      <c r="BX82" s="119"/>
      <c r="BY82" s="119"/>
      <c r="BZ82" s="119"/>
      <c r="CA82" s="119"/>
      <c r="CB82" s="119"/>
      <c r="CC82" s="119"/>
      <c r="CD82" s="119"/>
      <c r="CE82" s="119"/>
      <c r="CF82" s="119"/>
      <c r="CG82" s="119"/>
      <c r="CH82" s="119"/>
      <c r="CI82" s="119"/>
      <c r="CJ82" s="119"/>
      <c r="CK82" s="119"/>
      <c r="CL82" s="119"/>
      <c r="CM82" s="119"/>
      <c r="CN82" s="119"/>
      <c r="CO82" s="119"/>
      <c r="CP82" s="119"/>
      <c r="CQ82" s="119"/>
      <c r="CR82" s="119"/>
      <c r="CS82" s="119"/>
      <c r="CT82" s="119"/>
      <c r="CU82" s="119"/>
      <c r="CV82" s="119"/>
      <c r="CW82" s="119"/>
      <c r="CX82" s="119"/>
      <c r="CY82" s="119"/>
      <c r="CZ82" s="119"/>
      <c r="DA82" s="119"/>
      <c r="DB82" s="119"/>
      <c r="DC82" s="119"/>
      <c r="DD82" s="119"/>
      <c r="DE82" s="119"/>
      <c r="DF82" s="119"/>
      <c r="DG82" s="119"/>
      <c r="DH82" s="119"/>
      <c r="DI82" s="119"/>
      <c r="DJ82" s="119"/>
      <c r="DK82" s="119"/>
      <c r="DL82" s="119"/>
      <c r="DM82" s="119"/>
      <c r="DN82" s="119"/>
      <c r="DO82" s="119"/>
      <c r="DP82" s="119"/>
      <c r="DQ82" s="119"/>
      <c r="DR82" s="119"/>
    </row>
    <row r="83" spans="1:1880" x14ac:dyDescent="0.3">
      <c r="A83" s="64"/>
      <c r="B83" s="521" t="s">
        <v>29</v>
      </c>
      <c r="C83" s="565"/>
      <c r="D83" s="316"/>
      <c r="E83" s="521"/>
      <c r="F83" s="318"/>
      <c r="G83" s="315"/>
      <c r="H83" s="15"/>
      <c r="I83" s="682"/>
      <c r="J83"/>
    </row>
    <row r="84" spans="1:1880" ht="105.6" customHeight="1" x14ac:dyDescent="0.3">
      <c r="A84" s="64">
        <v>512</v>
      </c>
      <c r="B84" s="180"/>
      <c r="C84" s="571" t="s">
        <v>80</v>
      </c>
      <c r="D84" s="257" t="s">
        <v>381</v>
      </c>
      <c r="E84" s="248" t="e">
        <f>INDEX('PY1 Data(H)'!$A$1:$CZ$135,MATCH('Unit Data from Audit Worksheet'!$A84,'PY1 Data(H)'!$A$1:$A$135,0),MATCH('Unit Data from Audit Worksheet'!$D$2,'PY1 Data(H)'!$A$1:$CZ$1,0))</f>
        <v>#N/A</v>
      </c>
      <c r="F84" s="125">
        <v>0</v>
      </c>
      <c r="G84" s="277">
        <f>IF(F84&lt;0,"Error: Enter as positive.",)</f>
        <v>0</v>
      </c>
      <c r="H84" s="15"/>
      <c r="I84" s="682"/>
      <c r="J84"/>
    </row>
    <row r="85" spans="1:1880" s="285" customFormat="1" ht="33" customHeight="1" x14ac:dyDescent="0.3">
      <c r="A85" s="64"/>
      <c r="B85" s="581" t="s">
        <v>235</v>
      </c>
      <c r="C85" s="572"/>
      <c r="D85" s="499"/>
      <c r="E85" s="524"/>
      <c r="F85" s="284"/>
      <c r="G85" s="276"/>
      <c r="H85" s="15"/>
      <c r="I85" s="682"/>
      <c r="J85"/>
      <c r="K85" s="16"/>
      <c r="L85"/>
      <c r="M85" s="16"/>
      <c r="N85" s="126"/>
      <c r="O85" s="16"/>
      <c r="P85" s="16"/>
      <c r="Q85" s="16"/>
      <c r="R85" s="16"/>
      <c r="S85" s="16"/>
      <c r="T85" s="16"/>
      <c r="U85" s="16"/>
      <c r="V85" s="16"/>
      <c r="W85" s="16"/>
      <c r="X85" s="16"/>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c r="JG85" s="16"/>
      <c r="JH85" s="16"/>
      <c r="JI85" s="16"/>
      <c r="JJ85" s="16"/>
      <c r="JK85" s="16"/>
      <c r="JL85" s="16"/>
      <c r="JM85" s="16"/>
      <c r="JN85" s="16"/>
      <c r="JO85" s="16"/>
      <c r="JP85" s="16"/>
      <c r="JQ85" s="16"/>
      <c r="JR85" s="16"/>
      <c r="JS85" s="16"/>
      <c r="JT85" s="16"/>
      <c r="JU85" s="16"/>
      <c r="JV85" s="16"/>
      <c r="JW85" s="16"/>
      <c r="JX85" s="16"/>
      <c r="JY85" s="16"/>
      <c r="JZ85" s="16"/>
      <c r="KA85" s="16"/>
      <c r="KB85" s="16"/>
      <c r="KC85" s="16"/>
      <c r="KD85" s="16"/>
      <c r="KE85" s="16"/>
      <c r="KF85" s="16"/>
      <c r="KG85" s="16"/>
      <c r="KH85" s="16"/>
      <c r="KI85" s="16"/>
      <c r="KJ85" s="16"/>
      <c r="KK85" s="16"/>
      <c r="KL85" s="16"/>
      <c r="KM85" s="16"/>
      <c r="KN85" s="16"/>
      <c r="KO85" s="16"/>
      <c r="KP85" s="16"/>
      <c r="KQ85" s="16"/>
      <c r="KR85" s="16"/>
      <c r="KS85" s="16"/>
      <c r="KT85" s="16"/>
      <c r="KU85" s="16"/>
      <c r="KV85" s="16"/>
      <c r="KW85" s="16"/>
      <c r="KX85" s="16"/>
      <c r="KY85" s="16"/>
      <c r="KZ85" s="16"/>
      <c r="LA85" s="16"/>
      <c r="LB85" s="16"/>
      <c r="LC85" s="16"/>
      <c r="LD85" s="16"/>
      <c r="LE85" s="16"/>
      <c r="LF85" s="16"/>
      <c r="LG85" s="16"/>
      <c r="LH85" s="16"/>
      <c r="LI85" s="16"/>
      <c r="LJ85" s="16"/>
      <c r="LK85" s="16"/>
      <c r="LL85" s="16"/>
      <c r="LM85" s="16"/>
      <c r="LN85" s="16"/>
      <c r="LO85" s="16"/>
      <c r="LP85" s="16"/>
      <c r="LQ85" s="16"/>
      <c r="LR85" s="16"/>
      <c r="LS85" s="16"/>
      <c r="LT85" s="16"/>
      <c r="LU85" s="16"/>
      <c r="LV85" s="16"/>
      <c r="LW85" s="16"/>
      <c r="LX85" s="16"/>
      <c r="LY85" s="16"/>
      <c r="LZ85" s="16"/>
      <c r="MA85" s="16"/>
      <c r="MB85" s="16"/>
      <c r="MC85" s="16"/>
      <c r="MD85" s="16"/>
      <c r="ME85" s="16"/>
      <c r="MF85" s="16"/>
      <c r="MG85" s="16"/>
      <c r="MH85" s="16"/>
      <c r="MI85" s="16"/>
      <c r="MJ85" s="16"/>
      <c r="MK85" s="16"/>
      <c r="ML85" s="16"/>
      <c r="MM85" s="16"/>
      <c r="MN85" s="16"/>
      <c r="MO85" s="16"/>
      <c r="MP85" s="16"/>
      <c r="MQ85" s="16"/>
      <c r="MR85" s="16"/>
      <c r="MS85" s="16"/>
      <c r="MT85" s="16"/>
      <c r="MU85" s="16"/>
      <c r="MV85" s="16"/>
      <c r="MW85" s="16"/>
      <c r="MX85" s="16"/>
      <c r="MY85" s="16"/>
      <c r="MZ85" s="16"/>
      <c r="NA85" s="16"/>
      <c r="NB85" s="16"/>
      <c r="NC85" s="16"/>
      <c r="ND85" s="16"/>
      <c r="NE85" s="16"/>
      <c r="NF85" s="16"/>
      <c r="NG85" s="16"/>
      <c r="NH85" s="16"/>
      <c r="NI85" s="16"/>
      <c r="NJ85" s="16"/>
      <c r="NK85" s="16"/>
      <c r="NL85" s="16"/>
      <c r="NM85" s="16"/>
      <c r="NN85" s="16"/>
      <c r="NO85" s="16"/>
      <c r="NP85" s="16"/>
      <c r="NQ85" s="16"/>
      <c r="NR85" s="16"/>
      <c r="NS85" s="16"/>
      <c r="NT85" s="16"/>
      <c r="NU85" s="16"/>
      <c r="NV85" s="16"/>
      <c r="NW85" s="16"/>
      <c r="NX85" s="16"/>
      <c r="NY85" s="16"/>
      <c r="NZ85" s="16"/>
      <c r="OA85" s="16"/>
      <c r="OB85" s="16"/>
      <c r="OC85" s="16"/>
      <c r="OD85" s="16"/>
      <c r="OE85" s="16"/>
      <c r="OF85" s="16"/>
      <c r="OG85" s="16"/>
      <c r="OH85" s="16"/>
      <c r="OI85" s="16"/>
      <c r="OJ85" s="16"/>
      <c r="OK85" s="16"/>
      <c r="OL85" s="16"/>
      <c r="OM85" s="16"/>
      <c r="ON85" s="16"/>
      <c r="OO85" s="16"/>
      <c r="OP85" s="16"/>
      <c r="OQ85" s="16"/>
      <c r="OR85" s="16"/>
      <c r="OS85" s="16"/>
      <c r="OT85" s="16"/>
      <c r="OU85" s="16"/>
      <c r="OV85" s="16"/>
      <c r="OW85" s="16"/>
      <c r="OX85" s="16"/>
      <c r="OY85" s="16"/>
      <c r="OZ85" s="16"/>
      <c r="PA85" s="16"/>
      <c r="PB85" s="16"/>
      <c r="PC85" s="16"/>
      <c r="PD85" s="16"/>
      <c r="PE85" s="16"/>
      <c r="PF85" s="16"/>
      <c r="PG85" s="16"/>
      <c r="PH85" s="16"/>
      <c r="PI85" s="16"/>
      <c r="PJ85" s="16"/>
      <c r="PK85" s="16"/>
      <c r="PL85" s="16"/>
      <c r="PM85" s="16"/>
      <c r="PN85" s="16"/>
      <c r="PO85" s="16"/>
      <c r="PP85" s="16"/>
      <c r="PQ85" s="16"/>
      <c r="PR85" s="16"/>
      <c r="PS85" s="16"/>
      <c r="PT85" s="16"/>
      <c r="PU85" s="16"/>
      <c r="PV85" s="16"/>
      <c r="PW85" s="16"/>
      <c r="PX85" s="16"/>
      <c r="PY85" s="16"/>
      <c r="PZ85" s="16"/>
      <c r="QA85" s="16"/>
      <c r="QB85" s="16"/>
      <c r="QC85" s="16"/>
      <c r="QD85" s="16"/>
      <c r="QE85" s="16"/>
      <c r="QF85" s="16"/>
      <c r="QG85" s="16"/>
      <c r="QH85" s="16"/>
      <c r="QI85" s="16"/>
      <c r="QJ85" s="16"/>
      <c r="QK85" s="16"/>
      <c r="QL85" s="16"/>
      <c r="QM85" s="16"/>
      <c r="QN85" s="16"/>
      <c r="QO85" s="16"/>
      <c r="QP85" s="16"/>
      <c r="QQ85" s="16"/>
      <c r="QR85" s="16"/>
      <c r="QS85" s="16"/>
      <c r="QT85" s="16"/>
      <c r="QU85" s="16"/>
      <c r="QV85" s="16"/>
      <c r="QW85" s="16"/>
      <c r="QX85" s="16"/>
      <c r="QY85" s="16"/>
      <c r="QZ85" s="16"/>
      <c r="RA85" s="16"/>
      <c r="RB85" s="16"/>
      <c r="RC85" s="16"/>
      <c r="RD85" s="16"/>
      <c r="RE85" s="16"/>
      <c r="RF85" s="16"/>
      <c r="RG85" s="16"/>
      <c r="RH85" s="16"/>
      <c r="RI85" s="16"/>
      <c r="RJ85" s="16"/>
      <c r="RK85" s="16"/>
      <c r="RL85" s="16"/>
      <c r="RM85" s="16"/>
      <c r="RN85" s="16"/>
      <c r="RO85" s="16"/>
      <c r="RP85" s="16"/>
      <c r="RQ85" s="16"/>
      <c r="RR85" s="16"/>
      <c r="RS85" s="16"/>
      <c r="RT85" s="16"/>
      <c r="RU85" s="16"/>
      <c r="RV85" s="16"/>
      <c r="RW85" s="16"/>
      <c r="RX85" s="16"/>
      <c r="RY85" s="16"/>
      <c r="RZ85" s="16"/>
      <c r="SA85" s="16"/>
      <c r="SB85" s="16"/>
      <c r="SC85" s="16"/>
      <c r="SD85" s="16"/>
      <c r="SE85" s="16"/>
      <c r="SF85" s="16"/>
      <c r="SG85" s="16"/>
      <c r="SH85" s="16"/>
      <c r="SI85" s="16"/>
      <c r="SJ85" s="16"/>
      <c r="SK85" s="16"/>
      <c r="SL85" s="16"/>
      <c r="SM85" s="16"/>
      <c r="SN85" s="16"/>
      <c r="SO85" s="16"/>
      <c r="SP85" s="16"/>
      <c r="SQ85" s="16"/>
      <c r="SR85" s="16"/>
      <c r="SS85" s="16"/>
      <c r="ST85" s="16"/>
      <c r="SU85" s="16"/>
      <c r="SV85" s="16"/>
      <c r="SW85" s="16"/>
      <c r="SX85" s="16"/>
      <c r="SY85" s="16"/>
      <c r="SZ85" s="16"/>
      <c r="TA85" s="16"/>
      <c r="TB85" s="16"/>
      <c r="TC85" s="16"/>
      <c r="TD85" s="16"/>
      <c r="TE85" s="16"/>
      <c r="TF85" s="16"/>
      <c r="TG85" s="16"/>
      <c r="TH85" s="16"/>
      <c r="TI85" s="16"/>
      <c r="TJ85" s="16"/>
      <c r="TK85" s="16"/>
      <c r="TL85" s="16"/>
      <c r="TM85" s="16"/>
      <c r="TN85" s="16"/>
      <c r="TO85" s="16"/>
      <c r="TP85" s="16"/>
      <c r="TQ85" s="16"/>
      <c r="TR85" s="16"/>
      <c r="TS85" s="16"/>
      <c r="TT85" s="16"/>
      <c r="TU85" s="16"/>
      <c r="TV85" s="16"/>
      <c r="TW85" s="16"/>
      <c r="TX85" s="16"/>
      <c r="TY85" s="16"/>
      <c r="TZ85" s="16"/>
      <c r="UA85" s="16"/>
      <c r="UB85" s="16"/>
      <c r="UC85" s="16"/>
      <c r="UD85" s="16"/>
      <c r="UE85" s="16"/>
      <c r="UF85" s="16"/>
      <c r="UG85" s="16"/>
      <c r="UH85" s="16"/>
      <c r="UI85" s="16"/>
      <c r="UJ85" s="16"/>
      <c r="UK85" s="16"/>
      <c r="UL85" s="16"/>
      <c r="UM85" s="16"/>
      <c r="UN85" s="16"/>
      <c r="UO85" s="16"/>
      <c r="UP85" s="16"/>
      <c r="UQ85" s="16"/>
      <c r="UR85" s="16"/>
      <c r="US85" s="16"/>
      <c r="UT85" s="16"/>
      <c r="UU85" s="16"/>
      <c r="UV85" s="16"/>
      <c r="UW85" s="16"/>
      <c r="UX85" s="16"/>
      <c r="UY85" s="16"/>
      <c r="UZ85" s="16"/>
      <c r="VA85" s="16"/>
      <c r="VB85" s="16"/>
      <c r="VC85" s="16"/>
      <c r="VD85" s="16"/>
      <c r="VE85" s="16"/>
      <c r="VF85" s="16"/>
      <c r="VG85" s="16"/>
      <c r="VH85" s="16"/>
      <c r="VI85" s="16"/>
      <c r="VJ85" s="16"/>
      <c r="VK85" s="16"/>
      <c r="VL85" s="16"/>
      <c r="VM85" s="16"/>
      <c r="VN85" s="16"/>
      <c r="VO85" s="16"/>
      <c r="VP85" s="16"/>
      <c r="VQ85" s="16"/>
      <c r="VR85" s="16"/>
      <c r="VS85" s="16"/>
      <c r="VT85" s="16"/>
      <c r="VU85" s="16"/>
      <c r="VV85" s="16"/>
      <c r="VW85" s="16"/>
      <c r="VX85" s="16"/>
      <c r="VY85" s="16"/>
      <c r="VZ85" s="16"/>
      <c r="WA85" s="16"/>
      <c r="WB85" s="16"/>
      <c r="WC85" s="16"/>
      <c r="WD85" s="16"/>
      <c r="WE85" s="16"/>
      <c r="WF85" s="16"/>
      <c r="WG85" s="16"/>
      <c r="WH85" s="16"/>
      <c r="WI85" s="16"/>
      <c r="WJ85" s="16"/>
      <c r="WK85" s="16"/>
      <c r="WL85" s="16"/>
      <c r="WM85" s="16"/>
      <c r="WN85" s="16"/>
      <c r="WO85" s="16"/>
      <c r="WP85" s="16"/>
      <c r="WQ85" s="16"/>
      <c r="WR85" s="16"/>
      <c r="WS85" s="16"/>
      <c r="WT85" s="16"/>
      <c r="WU85" s="16"/>
      <c r="WV85" s="16"/>
      <c r="WW85" s="16"/>
      <c r="WX85" s="16"/>
      <c r="WY85" s="16"/>
      <c r="WZ85" s="16"/>
      <c r="XA85" s="16"/>
      <c r="XB85" s="16"/>
      <c r="XC85" s="16"/>
      <c r="XD85" s="16"/>
      <c r="XE85" s="16"/>
      <c r="XF85" s="16"/>
      <c r="XG85" s="16"/>
      <c r="XH85" s="16"/>
      <c r="XI85" s="16"/>
      <c r="XJ85" s="16"/>
      <c r="XK85" s="16"/>
      <c r="XL85" s="16"/>
      <c r="XM85" s="16"/>
      <c r="XN85" s="16"/>
      <c r="XO85" s="16"/>
      <c r="XP85" s="16"/>
      <c r="XQ85" s="16"/>
      <c r="XR85" s="16"/>
      <c r="XS85" s="16"/>
      <c r="XT85" s="16"/>
      <c r="XU85" s="16"/>
      <c r="XV85" s="16"/>
      <c r="XW85" s="16"/>
      <c r="XX85" s="16"/>
      <c r="XY85" s="16"/>
      <c r="XZ85" s="16"/>
      <c r="YA85" s="16"/>
      <c r="YB85" s="16"/>
      <c r="YC85" s="16"/>
      <c r="YD85" s="16"/>
      <c r="YE85" s="16"/>
      <c r="YF85" s="16"/>
      <c r="YG85" s="16"/>
      <c r="YH85" s="16"/>
      <c r="YI85" s="16"/>
      <c r="YJ85" s="16"/>
      <c r="YK85" s="16"/>
      <c r="YL85" s="16"/>
      <c r="YM85" s="16"/>
      <c r="YN85" s="16"/>
      <c r="YO85" s="16"/>
      <c r="YP85" s="16"/>
      <c r="YQ85" s="16"/>
      <c r="YR85" s="16"/>
      <c r="YS85" s="16"/>
      <c r="YT85" s="16"/>
      <c r="YU85" s="16"/>
      <c r="YV85" s="16"/>
      <c r="YW85" s="16"/>
      <c r="YX85" s="16"/>
      <c r="YY85" s="16"/>
      <c r="YZ85" s="16"/>
      <c r="ZA85" s="16"/>
      <c r="ZB85" s="16"/>
      <c r="ZC85" s="16"/>
      <c r="ZD85" s="16"/>
      <c r="ZE85" s="16"/>
      <c r="ZF85" s="16"/>
      <c r="ZG85" s="16"/>
      <c r="ZH85" s="16"/>
      <c r="ZI85" s="16"/>
      <c r="ZJ85" s="16"/>
      <c r="ZK85" s="16"/>
      <c r="ZL85" s="16"/>
      <c r="ZM85" s="16"/>
      <c r="ZN85" s="16"/>
      <c r="ZO85" s="16"/>
      <c r="ZP85" s="16"/>
      <c r="ZQ85" s="16"/>
      <c r="ZR85" s="16"/>
      <c r="ZS85" s="16"/>
      <c r="ZT85" s="16"/>
      <c r="ZU85" s="16"/>
      <c r="ZV85" s="16"/>
      <c r="ZW85" s="16"/>
      <c r="ZX85" s="16"/>
      <c r="ZY85" s="16"/>
      <c r="ZZ85" s="16"/>
      <c r="AAA85" s="16"/>
      <c r="AAB85" s="16"/>
      <c r="AAC85" s="16"/>
      <c r="AAD85" s="16"/>
      <c r="AAE85" s="16"/>
      <c r="AAF85" s="16"/>
      <c r="AAG85" s="16"/>
      <c r="AAH85" s="16"/>
      <c r="AAI85" s="16"/>
      <c r="AAJ85" s="16"/>
      <c r="AAK85" s="16"/>
      <c r="AAL85" s="16"/>
      <c r="AAM85" s="16"/>
      <c r="AAN85" s="16"/>
      <c r="AAO85" s="16"/>
      <c r="AAP85" s="16"/>
      <c r="AAQ85" s="16"/>
      <c r="AAR85" s="16"/>
      <c r="AAS85" s="16"/>
      <c r="AAT85" s="16"/>
      <c r="AAU85" s="16"/>
      <c r="AAV85" s="16"/>
      <c r="AAW85" s="16"/>
      <c r="AAX85" s="16"/>
      <c r="AAY85" s="16"/>
      <c r="AAZ85" s="16"/>
      <c r="ABA85" s="16"/>
      <c r="ABB85" s="16"/>
      <c r="ABC85" s="16"/>
      <c r="ABD85" s="16"/>
      <c r="ABE85" s="16"/>
      <c r="ABF85" s="16"/>
      <c r="ABG85" s="16"/>
      <c r="ABH85" s="16"/>
      <c r="ABI85" s="16"/>
      <c r="ABJ85" s="16"/>
      <c r="ABK85" s="16"/>
      <c r="ABL85" s="16"/>
      <c r="ABM85" s="16"/>
      <c r="ABN85" s="16"/>
      <c r="ABO85" s="16"/>
      <c r="ABP85" s="16"/>
      <c r="ABQ85" s="16"/>
      <c r="ABR85" s="16"/>
      <c r="ABS85" s="16"/>
      <c r="ABT85" s="16"/>
      <c r="ABU85" s="16"/>
      <c r="ABV85" s="16"/>
      <c r="ABW85" s="16"/>
      <c r="ABX85" s="16"/>
      <c r="ABY85" s="16"/>
      <c r="ABZ85" s="16"/>
      <c r="ACA85" s="16"/>
      <c r="ACB85" s="16"/>
      <c r="ACC85" s="16"/>
      <c r="ACD85" s="16"/>
      <c r="ACE85" s="16"/>
      <c r="ACF85" s="16"/>
      <c r="ACG85" s="16"/>
      <c r="ACH85" s="16"/>
      <c r="ACI85" s="16"/>
      <c r="ACJ85" s="16"/>
      <c r="ACK85" s="16"/>
      <c r="ACL85" s="16"/>
      <c r="ACM85" s="16"/>
      <c r="ACN85" s="16"/>
      <c r="ACO85" s="16"/>
      <c r="ACP85" s="16"/>
      <c r="ACQ85" s="16"/>
      <c r="ACR85" s="16"/>
      <c r="ACS85" s="16"/>
      <c r="ACT85" s="16"/>
      <c r="ACU85" s="16"/>
      <c r="ACV85" s="16"/>
      <c r="ACW85" s="16"/>
      <c r="ACX85" s="16"/>
      <c r="ACY85" s="16"/>
      <c r="ACZ85" s="16"/>
      <c r="ADA85" s="16"/>
      <c r="ADB85" s="16"/>
      <c r="ADC85" s="16"/>
      <c r="ADD85" s="16"/>
      <c r="ADE85" s="16"/>
      <c r="ADF85" s="16"/>
      <c r="ADG85" s="16"/>
      <c r="ADH85" s="16"/>
      <c r="ADI85" s="16"/>
      <c r="ADJ85" s="16"/>
      <c r="ADK85" s="16"/>
      <c r="ADL85" s="16"/>
      <c r="ADM85" s="16"/>
      <c r="ADN85" s="16"/>
      <c r="ADO85" s="16"/>
      <c r="ADP85" s="16"/>
      <c r="ADQ85" s="16"/>
      <c r="ADR85" s="16"/>
      <c r="ADS85" s="16"/>
      <c r="ADT85" s="16"/>
      <c r="ADU85" s="16"/>
      <c r="ADV85" s="16"/>
      <c r="ADW85" s="16"/>
      <c r="ADX85" s="16"/>
      <c r="ADY85" s="16"/>
      <c r="ADZ85" s="16"/>
      <c r="AEA85" s="16"/>
      <c r="AEB85" s="16"/>
      <c r="AEC85" s="16"/>
      <c r="AED85" s="16"/>
      <c r="AEE85" s="16"/>
      <c r="AEF85" s="16"/>
      <c r="AEG85" s="16"/>
      <c r="AEH85" s="16"/>
      <c r="AEI85" s="16"/>
      <c r="AEJ85" s="16"/>
      <c r="AEK85" s="16"/>
      <c r="AEL85" s="16"/>
      <c r="AEM85" s="16"/>
      <c r="AEN85" s="16"/>
      <c r="AEO85" s="16"/>
      <c r="AEP85" s="16"/>
      <c r="AEQ85" s="16"/>
      <c r="AER85" s="16"/>
      <c r="AES85" s="16"/>
      <c r="AET85" s="16"/>
      <c r="AEU85" s="16"/>
      <c r="AEV85" s="16"/>
      <c r="AEW85" s="16"/>
      <c r="AEX85" s="16"/>
      <c r="AEY85" s="16"/>
      <c r="AEZ85" s="16"/>
      <c r="AFA85" s="16"/>
      <c r="AFB85" s="16"/>
      <c r="AFC85" s="16"/>
      <c r="AFD85" s="16"/>
      <c r="AFE85" s="16"/>
      <c r="AFF85" s="16"/>
      <c r="AFG85" s="16"/>
      <c r="AFH85" s="16"/>
      <c r="AFI85" s="16"/>
      <c r="AFJ85" s="16"/>
      <c r="AFK85" s="16"/>
      <c r="AFL85" s="16"/>
      <c r="AFM85" s="16"/>
      <c r="AFN85" s="16"/>
      <c r="AFO85" s="16"/>
      <c r="AFP85" s="16"/>
      <c r="AFQ85" s="16"/>
      <c r="AFR85" s="16"/>
      <c r="AFS85" s="16"/>
      <c r="AFT85" s="16"/>
      <c r="AFU85" s="16"/>
      <c r="AFV85" s="16"/>
      <c r="AFW85" s="16"/>
      <c r="AFX85" s="16"/>
      <c r="AFY85" s="16"/>
      <c r="AFZ85" s="16"/>
      <c r="AGA85" s="16"/>
      <c r="AGB85" s="16"/>
      <c r="AGC85" s="16"/>
      <c r="AGD85" s="16"/>
      <c r="AGE85" s="16"/>
      <c r="AGF85" s="16"/>
      <c r="AGG85" s="16"/>
      <c r="AGH85" s="16"/>
      <c r="AGI85" s="16"/>
      <c r="AGJ85" s="16"/>
      <c r="AGK85" s="16"/>
      <c r="AGL85" s="16"/>
      <c r="AGM85" s="16"/>
      <c r="AGN85" s="16"/>
      <c r="AGO85" s="16"/>
      <c r="AGP85" s="16"/>
      <c r="AGQ85" s="16"/>
      <c r="AGR85" s="16"/>
      <c r="AGS85" s="16"/>
      <c r="AGT85" s="16"/>
      <c r="AGU85" s="16"/>
      <c r="AGV85" s="16"/>
      <c r="AGW85" s="16"/>
      <c r="AGX85" s="16"/>
      <c r="AGY85" s="16"/>
      <c r="AGZ85" s="16"/>
      <c r="AHA85" s="16"/>
      <c r="AHB85" s="16"/>
      <c r="AHC85" s="16"/>
      <c r="AHD85" s="16"/>
      <c r="AHE85" s="16"/>
      <c r="AHF85" s="16"/>
      <c r="AHG85" s="16"/>
      <c r="AHH85" s="16"/>
      <c r="AHI85" s="16"/>
      <c r="AHJ85" s="16"/>
      <c r="AHK85" s="16"/>
      <c r="AHL85" s="16"/>
      <c r="AHM85" s="16"/>
      <c r="AHN85" s="16"/>
      <c r="AHO85" s="16"/>
      <c r="AHP85" s="16"/>
      <c r="AHQ85" s="16"/>
      <c r="AHR85" s="16"/>
      <c r="AHS85" s="16"/>
      <c r="AHT85" s="16"/>
      <c r="AHU85" s="16"/>
      <c r="AHV85" s="16"/>
      <c r="AHW85" s="16"/>
      <c r="AHX85" s="16"/>
      <c r="AHY85" s="16"/>
      <c r="AHZ85" s="16"/>
      <c r="AIA85" s="16"/>
      <c r="AIB85" s="16"/>
      <c r="AIC85" s="16"/>
      <c r="AID85" s="16"/>
      <c r="AIE85" s="16"/>
      <c r="AIF85" s="16"/>
      <c r="AIG85" s="16"/>
      <c r="AIH85" s="16"/>
      <c r="AII85" s="16"/>
      <c r="AIJ85" s="16"/>
      <c r="AIK85" s="16"/>
      <c r="AIL85" s="16"/>
      <c r="AIM85" s="16"/>
      <c r="AIN85" s="16"/>
      <c r="AIO85" s="16"/>
      <c r="AIP85" s="16"/>
      <c r="AIQ85" s="16"/>
      <c r="AIR85" s="16"/>
      <c r="AIS85" s="16"/>
      <c r="AIT85" s="16"/>
      <c r="AIU85" s="16"/>
      <c r="AIV85" s="16"/>
      <c r="AIW85" s="16"/>
      <c r="AIX85" s="16"/>
      <c r="AIY85" s="16"/>
      <c r="AIZ85" s="16"/>
      <c r="AJA85" s="16"/>
      <c r="AJB85" s="16"/>
      <c r="AJC85" s="16"/>
      <c r="AJD85" s="16"/>
      <c r="AJE85" s="16"/>
      <c r="AJF85" s="16"/>
      <c r="AJG85" s="16"/>
      <c r="AJH85" s="16"/>
      <c r="AJI85" s="16"/>
      <c r="AJJ85" s="16"/>
      <c r="AJK85" s="16"/>
      <c r="AJL85" s="16"/>
      <c r="AJM85" s="16"/>
      <c r="AJN85" s="16"/>
      <c r="AJO85" s="16"/>
      <c r="AJP85" s="16"/>
      <c r="AJQ85" s="16"/>
      <c r="AJR85" s="16"/>
      <c r="AJS85" s="16"/>
      <c r="AJT85" s="16"/>
      <c r="AJU85" s="16"/>
      <c r="AJV85" s="16"/>
      <c r="AJW85" s="16"/>
      <c r="AJX85" s="16"/>
      <c r="AJY85" s="16"/>
      <c r="AJZ85" s="16"/>
      <c r="AKA85" s="16"/>
      <c r="AKB85" s="16"/>
      <c r="AKC85" s="16"/>
      <c r="AKD85" s="16"/>
      <c r="AKE85" s="16"/>
      <c r="AKF85" s="16"/>
      <c r="AKG85" s="16"/>
      <c r="AKH85" s="16"/>
      <c r="AKI85" s="16"/>
      <c r="AKJ85" s="16"/>
      <c r="AKK85" s="16"/>
      <c r="AKL85" s="16"/>
      <c r="AKM85" s="16"/>
      <c r="AKN85" s="16"/>
      <c r="AKO85" s="16"/>
      <c r="AKP85" s="16"/>
      <c r="AKQ85" s="16"/>
      <c r="AKR85" s="16"/>
      <c r="AKS85" s="16"/>
      <c r="AKT85" s="16"/>
      <c r="AKU85" s="16"/>
      <c r="AKV85" s="16"/>
      <c r="AKW85" s="16"/>
      <c r="AKX85" s="16"/>
      <c r="AKY85" s="16"/>
      <c r="AKZ85" s="16"/>
      <c r="ALA85" s="16"/>
      <c r="ALB85" s="16"/>
      <c r="ALC85" s="16"/>
      <c r="ALD85" s="16"/>
      <c r="ALE85" s="16"/>
      <c r="ALF85" s="16"/>
      <c r="ALG85" s="16"/>
      <c r="ALH85" s="16"/>
      <c r="ALI85" s="16"/>
      <c r="ALJ85" s="16"/>
      <c r="ALK85" s="16"/>
      <c r="ALL85" s="16"/>
      <c r="ALM85" s="16"/>
      <c r="ALN85" s="16"/>
      <c r="ALO85" s="16"/>
      <c r="ALP85" s="16"/>
      <c r="ALQ85" s="16"/>
      <c r="ALR85" s="16"/>
      <c r="ALS85" s="16"/>
      <c r="ALT85" s="16"/>
      <c r="ALU85" s="16"/>
      <c r="ALV85" s="16"/>
      <c r="ALW85" s="16"/>
      <c r="ALX85" s="16"/>
      <c r="ALY85" s="16"/>
      <c r="ALZ85" s="16"/>
      <c r="AMA85" s="16"/>
      <c r="AMB85" s="16"/>
      <c r="AMC85" s="16"/>
      <c r="AMD85" s="16"/>
      <c r="AME85" s="16"/>
      <c r="AMF85" s="16"/>
      <c r="AMG85" s="16"/>
      <c r="AMH85" s="16"/>
      <c r="AMI85" s="16"/>
      <c r="AMJ85" s="16"/>
      <c r="AMK85" s="16"/>
      <c r="AML85" s="16"/>
      <c r="AMM85" s="16"/>
      <c r="AMN85" s="16"/>
      <c r="AMO85" s="16"/>
      <c r="AMP85" s="16"/>
      <c r="AMQ85" s="16"/>
      <c r="AMR85" s="16"/>
      <c r="AMS85" s="16"/>
      <c r="AMT85" s="16"/>
      <c r="AMU85" s="16"/>
      <c r="AMV85" s="16"/>
      <c r="AMW85" s="16"/>
      <c r="AMX85" s="16"/>
      <c r="AMY85" s="16"/>
      <c r="AMZ85" s="16"/>
      <c r="ANA85" s="16"/>
      <c r="ANB85" s="16"/>
      <c r="ANC85" s="16"/>
      <c r="AND85" s="16"/>
      <c r="ANE85" s="16"/>
      <c r="ANF85" s="16"/>
      <c r="ANG85" s="16"/>
      <c r="ANH85" s="16"/>
      <c r="ANI85" s="16"/>
      <c r="ANJ85" s="16"/>
      <c r="ANK85" s="16"/>
      <c r="ANL85" s="16"/>
      <c r="ANM85" s="16"/>
      <c r="ANN85" s="16"/>
      <c r="ANO85" s="16"/>
      <c r="ANP85" s="16"/>
      <c r="ANQ85" s="16"/>
      <c r="ANR85" s="16"/>
      <c r="ANS85" s="16"/>
      <c r="ANT85" s="16"/>
      <c r="ANU85" s="16"/>
      <c r="ANV85" s="16"/>
      <c r="ANW85" s="16"/>
      <c r="ANX85" s="16"/>
      <c r="ANY85" s="16"/>
      <c r="ANZ85" s="16"/>
      <c r="AOA85" s="16"/>
      <c r="AOB85" s="16"/>
      <c r="AOC85" s="16"/>
      <c r="AOD85" s="16"/>
      <c r="AOE85" s="16"/>
      <c r="AOF85" s="16"/>
      <c r="AOG85" s="16"/>
      <c r="AOH85" s="16"/>
      <c r="AOI85" s="16"/>
      <c r="AOJ85" s="16"/>
      <c r="AOK85" s="16"/>
      <c r="AOL85" s="16"/>
      <c r="AOM85" s="16"/>
      <c r="AON85" s="16"/>
      <c r="AOO85" s="16"/>
      <c r="AOP85" s="16"/>
      <c r="AOQ85" s="16"/>
      <c r="AOR85" s="16"/>
      <c r="AOS85" s="16"/>
      <c r="AOT85" s="16"/>
      <c r="AOU85" s="16"/>
      <c r="AOV85" s="16"/>
      <c r="AOW85" s="16"/>
      <c r="AOX85" s="16"/>
      <c r="AOY85" s="16"/>
      <c r="AOZ85" s="16"/>
      <c r="APA85" s="16"/>
      <c r="APB85" s="16"/>
      <c r="APC85" s="16"/>
      <c r="APD85" s="16"/>
      <c r="APE85" s="16"/>
      <c r="APF85" s="16"/>
      <c r="APG85" s="16"/>
      <c r="APH85" s="16"/>
      <c r="API85" s="16"/>
      <c r="APJ85" s="16"/>
      <c r="APK85" s="16"/>
      <c r="APL85" s="16"/>
      <c r="APM85" s="16"/>
      <c r="APN85" s="16"/>
      <c r="APO85" s="16"/>
      <c r="APP85" s="16"/>
      <c r="APQ85" s="16"/>
      <c r="APR85" s="16"/>
      <c r="APS85" s="16"/>
      <c r="APT85" s="16"/>
      <c r="APU85" s="16"/>
      <c r="APV85" s="16"/>
      <c r="APW85" s="16"/>
      <c r="APX85" s="16"/>
      <c r="APY85" s="16"/>
      <c r="APZ85" s="16"/>
      <c r="AQA85" s="16"/>
      <c r="AQB85" s="16"/>
      <c r="AQC85" s="16"/>
      <c r="AQD85" s="16"/>
      <c r="AQE85" s="16"/>
      <c r="AQF85" s="16"/>
      <c r="AQG85" s="16"/>
      <c r="AQH85" s="16"/>
      <c r="AQI85" s="16"/>
      <c r="AQJ85" s="16"/>
      <c r="AQK85" s="16"/>
      <c r="AQL85" s="16"/>
      <c r="AQM85" s="16"/>
      <c r="AQN85" s="16"/>
      <c r="AQO85" s="16"/>
      <c r="AQP85" s="16"/>
      <c r="AQQ85" s="16"/>
      <c r="AQR85" s="16"/>
      <c r="AQS85" s="16"/>
      <c r="AQT85" s="16"/>
      <c r="AQU85" s="16"/>
      <c r="AQV85" s="16"/>
      <c r="AQW85" s="16"/>
      <c r="AQX85" s="16"/>
      <c r="AQY85" s="16"/>
      <c r="AQZ85" s="16"/>
      <c r="ARA85" s="16"/>
      <c r="ARB85" s="16"/>
      <c r="ARC85" s="16"/>
      <c r="ARD85" s="16"/>
      <c r="ARE85" s="16"/>
      <c r="ARF85" s="16"/>
      <c r="ARG85" s="16"/>
      <c r="ARH85" s="16"/>
      <c r="ARI85" s="16"/>
      <c r="ARJ85" s="16"/>
      <c r="ARK85" s="16"/>
      <c r="ARL85" s="16"/>
      <c r="ARM85" s="16"/>
      <c r="ARN85" s="16"/>
      <c r="ARO85" s="16"/>
      <c r="ARP85" s="16"/>
      <c r="ARQ85" s="16"/>
      <c r="ARR85" s="16"/>
      <c r="ARS85" s="16"/>
      <c r="ART85" s="16"/>
      <c r="ARU85" s="16"/>
      <c r="ARV85" s="16"/>
      <c r="ARW85" s="16"/>
      <c r="ARX85" s="16"/>
      <c r="ARY85" s="16"/>
      <c r="ARZ85" s="16"/>
      <c r="ASA85" s="16"/>
      <c r="ASB85" s="16"/>
      <c r="ASC85" s="16"/>
      <c r="ASD85" s="16"/>
      <c r="ASE85" s="16"/>
      <c r="ASF85" s="16"/>
      <c r="ASG85" s="16"/>
      <c r="ASH85" s="16"/>
      <c r="ASI85" s="16"/>
      <c r="ASJ85" s="16"/>
      <c r="ASK85" s="16"/>
      <c r="ASL85" s="16"/>
      <c r="ASM85" s="16"/>
      <c r="ASN85" s="16"/>
      <c r="ASO85" s="16"/>
      <c r="ASP85" s="16"/>
      <c r="ASQ85" s="16"/>
      <c r="ASR85" s="16"/>
      <c r="ASS85" s="16"/>
      <c r="AST85" s="16"/>
      <c r="ASU85" s="16"/>
      <c r="ASV85" s="16"/>
      <c r="ASW85" s="16"/>
      <c r="ASX85" s="16"/>
      <c r="ASY85" s="16"/>
      <c r="ASZ85" s="16"/>
      <c r="ATA85" s="16"/>
      <c r="ATB85" s="16"/>
      <c r="ATC85" s="16"/>
      <c r="ATD85" s="16"/>
      <c r="ATE85" s="16"/>
      <c r="ATF85" s="16"/>
      <c r="ATG85" s="16"/>
      <c r="ATH85" s="16"/>
      <c r="ATI85" s="16"/>
      <c r="ATJ85" s="16"/>
      <c r="ATK85" s="16"/>
      <c r="ATL85" s="16"/>
      <c r="ATM85" s="16"/>
      <c r="ATN85" s="16"/>
      <c r="ATO85" s="16"/>
      <c r="ATP85" s="16"/>
      <c r="ATQ85" s="16"/>
      <c r="ATR85" s="16"/>
      <c r="ATS85" s="16"/>
      <c r="ATT85" s="16"/>
      <c r="ATU85" s="16"/>
      <c r="ATV85" s="16"/>
      <c r="ATW85" s="16"/>
      <c r="ATX85" s="16"/>
      <c r="ATY85" s="16"/>
      <c r="ATZ85" s="16"/>
      <c r="AUA85" s="16"/>
      <c r="AUB85" s="16"/>
      <c r="AUC85" s="16"/>
      <c r="AUD85" s="16"/>
      <c r="AUE85" s="16"/>
      <c r="AUF85" s="16"/>
      <c r="AUG85" s="16"/>
      <c r="AUH85" s="16"/>
      <c r="AUI85" s="16"/>
      <c r="AUJ85" s="16"/>
      <c r="AUK85" s="16"/>
      <c r="AUL85" s="16"/>
      <c r="AUM85" s="16"/>
      <c r="AUN85" s="16"/>
      <c r="AUO85" s="16"/>
      <c r="AUP85" s="16"/>
      <c r="AUQ85" s="16"/>
      <c r="AUR85" s="16"/>
      <c r="AUS85" s="16"/>
      <c r="AUT85" s="16"/>
      <c r="AUU85" s="16"/>
      <c r="AUV85" s="16"/>
      <c r="AUW85" s="16"/>
      <c r="AUX85" s="16"/>
      <c r="AUY85" s="16"/>
      <c r="AUZ85" s="16"/>
      <c r="AVA85" s="16"/>
      <c r="AVB85" s="16"/>
      <c r="AVC85" s="16"/>
      <c r="AVD85" s="16"/>
      <c r="AVE85" s="16"/>
      <c r="AVF85" s="16"/>
      <c r="AVG85" s="16"/>
      <c r="AVH85" s="16"/>
      <c r="AVI85" s="16"/>
      <c r="AVJ85" s="16"/>
      <c r="AVK85" s="16"/>
      <c r="AVL85" s="16"/>
      <c r="AVM85" s="16"/>
      <c r="AVN85" s="16"/>
      <c r="AVO85" s="16"/>
      <c r="AVP85" s="16"/>
      <c r="AVQ85" s="16"/>
      <c r="AVR85" s="16"/>
      <c r="AVS85" s="16"/>
      <c r="AVT85" s="16"/>
      <c r="AVU85" s="16"/>
      <c r="AVV85" s="16"/>
      <c r="AVW85" s="16"/>
      <c r="AVX85" s="16"/>
      <c r="AVY85" s="16"/>
      <c r="AVZ85" s="16"/>
      <c r="AWA85" s="16"/>
      <c r="AWB85" s="16"/>
      <c r="AWC85" s="16"/>
      <c r="AWD85" s="16"/>
      <c r="AWE85" s="16"/>
      <c r="AWF85" s="16"/>
      <c r="AWG85" s="16"/>
      <c r="AWH85" s="16"/>
      <c r="AWI85" s="16"/>
      <c r="AWJ85" s="16"/>
      <c r="AWK85" s="16"/>
      <c r="AWL85" s="16"/>
      <c r="AWM85" s="16"/>
      <c r="AWN85" s="16"/>
      <c r="AWO85" s="16"/>
      <c r="AWP85" s="16"/>
      <c r="AWQ85" s="16"/>
      <c r="AWR85" s="16"/>
      <c r="AWS85" s="16"/>
      <c r="AWT85" s="16"/>
      <c r="AWU85" s="16"/>
      <c r="AWV85" s="16"/>
      <c r="AWW85" s="16"/>
      <c r="AWX85" s="16"/>
      <c r="AWY85" s="16"/>
      <c r="AWZ85" s="16"/>
      <c r="AXA85" s="16"/>
      <c r="AXB85" s="16"/>
      <c r="AXC85" s="16"/>
      <c r="AXD85" s="16"/>
      <c r="AXE85" s="16"/>
      <c r="AXF85" s="16"/>
      <c r="AXG85" s="16"/>
      <c r="AXH85" s="16"/>
      <c r="AXI85" s="16"/>
      <c r="AXJ85" s="16"/>
      <c r="AXK85" s="16"/>
      <c r="AXL85" s="16"/>
      <c r="AXM85" s="16"/>
      <c r="AXN85" s="16"/>
      <c r="AXO85" s="16"/>
      <c r="AXP85" s="16"/>
      <c r="AXQ85" s="16"/>
      <c r="AXR85" s="16"/>
      <c r="AXS85" s="16"/>
      <c r="AXT85" s="16"/>
      <c r="AXU85" s="16"/>
      <c r="AXV85" s="16"/>
      <c r="AXW85" s="16"/>
      <c r="AXX85" s="16"/>
      <c r="AXY85" s="16"/>
      <c r="AXZ85" s="16"/>
      <c r="AYA85" s="16"/>
      <c r="AYB85" s="16"/>
      <c r="AYC85" s="16"/>
      <c r="AYD85" s="16"/>
      <c r="AYE85" s="16"/>
      <c r="AYF85" s="16"/>
      <c r="AYG85" s="16"/>
      <c r="AYH85" s="16"/>
      <c r="AYI85" s="16"/>
      <c r="AYJ85" s="16"/>
      <c r="AYK85" s="16"/>
      <c r="AYL85" s="16"/>
      <c r="AYM85" s="16"/>
      <c r="AYN85" s="16"/>
      <c r="AYO85" s="16"/>
      <c r="AYP85" s="16"/>
      <c r="AYQ85" s="16"/>
      <c r="AYR85" s="16"/>
      <c r="AYS85" s="16"/>
      <c r="AYT85" s="16"/>
      <c r="AYU85" s="16"/>
      <c r="AYV85" s="16"/>
      <c r="AYW85" s="16"/>
      <c r="AYX85" s="16"/>
      <c r="AYY85" s="16"/>
      <c r="AYZ85" s="16"/>
      <c r="AZA85" s="16"/>
      <c r="AZB85" s="16"/>
      <c r="AZC85" s="16"/>
      <c r="AZD85" s="16"/>
      <c r="AZE85" s="16"/>
      <c r="AZF85" s="16"/>
      <c r="AZG85" s="16"/>
      <c r="AZH85" s="16"/>
      <c r="AZI85" s="16"/>
      <c r="AZJ85" s="16"/>
      <c r="AZK85" s="16"/>
      <c r="AZL85" s="16"/>
      <c r="AZM85" s="16"/>
      <c r="AZN85" s="16"/>
      <c r="AZO85" s="16"/>
      <c r="AZP85" s="16"/>
      <c r="AZQ85" s="16"/>
      <c r="AZR85" s="16"/>
      <c r="AZS85" s="16"/>
      <c r="AZT85" s="16"/>
      <c r="AZU85" s="16"/>
      <c r="AZV85" s="16"/>
      <c r="AZW85" s="16"/>
      <c r="AZX85" s="16"/>
      <c r="AZY85" s="16"/>
      <c r="AZZ85" s="16"/>
      <c r="BAA85" s="16"/>
      <c r="BAB85" s="16"/>
      <c r="BAC85" s="16"/>
      <c r="BAD85" s="16"/>
      <c r="BAE85" s="16"/>
      <c r="BAF85" s="16"/>
      <c r="BAG85" s="16"/>
      <c r="BAH85" s="16"/>
      <c r="BAI85" s="16"/>
      <c r="BAJ85" s="16"/>
      <c r="BAK85" s="16"/>
      <c r="BAL85" s="16"/>
      <c r="BAM85" s="16"/>
      <c r="BAN85" s="16"/>
      <c r="BAO85" s="16"/>
      <c r="BAP85" s="16"/>
      <c r="BAQ85" s="16"/>
      <c r="BAR85" s="16"/>
      <c r="BAS85" s="16"/>
      <c r="BAT85" s="16"/>
      <c r="BAU85" s="16"/>
      <c r="BAV85" s="16"/>
      <c r="BAW85" s="16"/>
      <c r="BAX85" s="16"/>
      <c r="BAY85" s="16"/>
      <c r="BAZ85" s="16"/>
      <c r="BBA85" s="16"/>
      <c r="BBB85" s="16"/>
      <c r="BBC85" s="16"/>
      <c r="BBD85" s="16"/>
      <c r="BBE85" s="16"/>
      <c r="BBF85" s="16"/>
      <c r="BBG85" s="16"/>
      <c r="BBH85" s="16"/>
      <c r="BBI85" s="16"/>
      <c r="BBJ85" s="16"/>
      <c r="BBK85" s="16"/>
      <c r="BBL85" s="16"/>
      <c r="BBM85" s="16"/>
      <c r="BBN85" s="16"/>
      <c r="BBO85" s="16"/>
      <c r="BBP85" s="16"/>
      <c r="BBQ85" s="16"/>
      <c r="BBR85" s="16"/>
      <c r="BBS85" s="16"/>
      <c r="BBT85" s="16"/>
      <c r="BBU85" s="16"/>
      <c r="BBV85" s="16"/>
      <c r="BBW85" s="16"/>
      <c r="BBX85" s="16"/>
      <c r="BBY85" s="16"/>
      <c r="BBZ85" s="16"/>
      <c r="BCA85" s="16"/>
      <c r="BCB85" s="16"/>
      <c r="BCC85" s="16"/>
      <c r="BCD85" s="16"/>
      <c r="BCE85" s="16"/>
      <c r="BCF85" s="16"/>
      <c r="BCG85" s="16"/>
      <c r="BCH85" s="16"/>
      <c r="BCI85" s="16"/>
      <c r="BCJ85" s="16"/>
      <c r="BCK85" s="16"/>
      <c r="BCL85" s="16"/>
      <c r="BCM85" s="16"/>
      <c r="BCN85" s="16"/>
      <c r="BCO85" s="16"/>
      <c r="BCP85" s="16"/>
      <c r="BCQ85" s="16"/>
      <c r="BCR85" s="16"/>
      <c r="BCS85" s="16"/>
      <c r="BCT85" s="16"/>
      <c r="BCU85" s="16"/>
      <c r="BCV85" s="16"/>
      <c r="BCW85" s="16"/>
      <c r="BCX85" s="16"/>
      <c r="BCY85" s="16"/>
      <c r="BCZ85" s="16"/>
      <c r="BDA85" s="16"/>
      <c r="BDB85" s="16"/>
      <c r="BDC85" s="16"/>
      <c r="BDD85" s="16"/>
      <c r="BDE85" s="16"/>
      <c r="BDF85" s="16"/>
      <c r="BDG85" s="16"/>
      <c r="BDH85" s="16"/>
      <c r="BDI85" s="16"/>
      <c r="BDJ85" s="16"/>
      <c r="BDK85" s="16"/>
      <c r="BDL85" s="16"/>
      <c r="BDM85" s="16"/>
      <c r="BDN85" s="16"/>
      <c r="BDO85" s="16"/>
      <c r="BDP85" s="16"/>
      <c r="BDQ85" s="16"/>
      <c r="BDR85" s="16"/>
      <c r="BDS85" s="16"/>
      <c r="BDT85" s="16"/>
      <c r="BDU85" s="16"/>
      <c r="BDV85" s="16"/>
      <c r="BDW85" s="16"/>
      <c r="BDX85" s="16"/>
      <c r="BDY85" s="16"/>
      <c r="BDZ85" s="16"/>
      <c r="BEA85" s="16"/>
      <c r="BEB85" s="16"/>
      <c r="BEC85" s="16"/>
      <c r="BED85" s="16"/>
      <c r="BEE85" s="16"/>
      <c r="BEF85" s="16"/>
      <c r="BEG85" s="16"/>
      <c r="BEH85" s="16"/>
      <c r="BEI85" s="16"/>
      <c r="BEJ85" s="16"/>
      <c r="BEK85" s="16"/>
      <c r="BEL85" s="16"/>
      <c r="BEM85" s="16"/>
      <c r="BEN85" s="16"/>
      <c r="BEO85" s="16"/>
      <c r="BEP85" s="16"/>
      <c r="BEQ85" s="16"/>
      <c r="BER85" s="16"/>
      <c r="BES85" s="16"/>
      <c r="BET85" s="16"/>
      <c r="BEU85" s="16"/>
      <c r="BEV85" s="16"/>
      <c r="BEW85" s="16"/>
      <c r="BEX85" s="16"/>
      <c r="BEY85" s="16"/>
      <c r="BEZ85" s="16"/>
      <c r="BFA85" s="16"/>
      <c r="BFB85" s="16"/>
      <c r="BFC85" s="16"/>
      <c r="BFD85" s="16"/>
      <c r="BFE85" s="16"/>
      <c r="BFF85" s="16"/>
      <c r="BFG85" s="16"/>
      <c r="BFH85" s="16"/>
      <c r="BFI85" s="16"/>
      <c r="BFJ85" s="16"/>
      <c r="BFK85" s="16"/>
      <c r="BFL85" s="16"/>
      <c r="BFM85" s="16"/>
      <c r="BFN85" s="16"/>
      <c r="BFO85" s="16"/>
      <c r="BFP85" s="16"/>
      <c r="BFQ85" s="16"/>
      <c r="BFR85" s="16"/>
      <c r="BFS85" s="16"/>
      <c r="BFT85" s="16"/>
      <c r="BFU85" s="16"/>
      <c r="BFV85" s="16"/>
      <c r="BFW85" s="16"/>
      <c r="BFX85" s="16"/>
      <c r="BFY85" s="16"/>
      <c r="BFZ85" s="16"/>
      <c r="BGA85" s="16"/>
      <c r="BGB85" s="16"/>
      <c r="BGC85" s="16"/>
      <c r="BGD85" s="16"/>
      <c r="BGE85" s="16"/>
      <c r="BGF85" s="16"/>
      <c r="BGG85" s="16"/>
      <c r="BGH85" s="16"/>
      <c r="BGI85" s="16"/>
      <c r="BGJ85" s="16"/>
      <c r="BGK85" s="16"/>
      <c r="BGL85" s="16"/>
      <c r="BGM85" s="16"/>
      <c r="BGN85" s="16"/>
      <c r="BGO85" s="16"/>
      <c r="BGP85" s="16"/>
      <c r="BGQ85" s="16"/>
      <c r="BGR85" s="16"/>
      <c r="BGS85" s="16"/>
      <c r="BGT85" s="16"/>
      <c r="BGU85" s="16"/>
      <c r="BGV85" s="16"/>
      <c r="BGW85" s="16"/>
      <c r="BGX85" s="16"/>
      <c r="BGY85" s="16"/>
      <c r="BGZ85" s="16"/>
      <c r="BHA85" s="16"/>
      <c r="BHB85" s="16"/>
      <c r="BHC85" s="16"/>
      <c r="BHD85" s="16"/>
      <c r="BHE85" s="16"/>
      <c r="BHF85" s="16"/>
      <c r="BHG85" s="16"/>
      <c r="BHH85" s="16"/>
      <c r="BHI85" s="16"/>
      <c r="BHJ85" s="16"/>
      <c r="BHK85" s="16"/>
      <c r="BHL85" s="16"/>
      <c r="BHM85" s="16"/>
      <c r="BHN85" s="16"/>
      <c r="BHO85" s="16"/>
      <c r="BHP85" s="16"/>
      <c r="BHQ85" s="16"/>
      <c r="BHR85" s="16"/>
      <c r="BHS85" s="16"/>
      <c r="BHT85" s="16"/>
      <c r="BHU85" s="16"/>
      <c r="BHV85" s="16"/>
      <c r="BHW85" s="16"/>
      <c r="BHX85" s="16"/>
      <c r="BHY85" s="16"/>
      <c r="BHZ85" s="16"/>
      <c r="BIA85" s="16"/>
      <c r="BIB85" s="16"/>
      <c r="BIC85" s="16"/>
      <c r="BID85" s="16"/>
      <c r="BIE85" s="16"/>
      <c r="BIF85" s="16"/>
      <c r="BIG85" s="16"/>
      <c r="BIH85" s="16"/>
      <c r="BII85" s="16"/>
      <c r="BIJ85" s="16"/>
      <c r="BIK85" s="16"/>
      <c r="BIL85" s="16"/>
      <c r="BIM85" s="16"/>
      <c r="BIN85" s="16"/>
      <c r="BIO85" s="16"/>
      <c r="BIP85" s="16"/>
      <c r="BIQ85" s="16"/>
      <c r="BIR85" s="16"/>
      <c r="BIS85" s="16"/>
      <c r="BIT85" s="16"/>
      <c r="BIU85" s="16"/>
      <c r="BIV85" s="16"/>
      <c r="BIW85" s="16"/>
      <c r="BIX85" s="16"/>
      <c r="BIY85" s="16"/>
      <c r="BIZ85" s="16"/>
      <c r="BJA85" s="16"/>
      <c r="BJB85" s="16"/>
      <c r="BJC85" s="16"/>
      <c r="BJD85" s="16"/>
      <c r="BJE85" s="16"/>
      <c r="BJF85" s="16"/>
      <c r="BJG85" s="16"/>
      <c r="BJH85" s="16"/>
      <c r="BJI85" s="16"/>
      <c r="BJJ85" s="16"/>
      <c r="BJK85" s="16"/>
      <c r="BJL85" s="16"/>
      <c r="BJM85" s="16"/>
      <c r="BJN85" s="16"/>
      <c r="BJO85" s="16"/>
      <c r="BJP85" s="16"/>
      <c r="BJQ85" s="16"/>
      <c r="BJR85" s="16"/>
      <c r="BJS85" s="16"/>
      <c r="BJT85" s="16"/>
      <c r="BJU85" s="16"/>
      <c r="BJV85" s="16"/>
      <c r="BJW85" s="16"/>
      <c r="BJX85" s="16"/>
      <c r="BJY85" s="16"/>
      <c r="BJZ85" s="16"/>
      <c r="BKA85" s="16"/>
      <c r="BKB85" s="16"/>
      <c r="BKC85" s="16"/>
      <c r="BKD85" s="16"/>
      <c r="BKE85" s="16"/>
      <c r="BKF85" s="16"/>
      <c r="BKG85" s="16"/>
      <c r="BKH85" s="16"/>
      <c r="BKI85" s="16"/>
      <c r="BKJ85" s="16"/>
      <c r="BKK85" s="16"/>
      <c r="BKL85" s="16"/>
      <c r="BKM85" s="16"/>
      <c r="BKN85" s="16"/>
      <c r="BKO85" s="16"/>
      <c r="BKP85" s="16"/>
      <c r="BKQ85" s="16"/>
      <c r="BKR85" s="16"/>
      <c r="BKS85" s="16"/>
      <c r="BKT85" s="16"/>
      <c r="BKU85" s="16"/>
      <c r="BKV85" s="16"/>
      <c r="BKW85" s="16"/>
      <c r="BKX85" s="16"/>
      <c r="BKY85" s="16"/>
      <c r="BKZ85" s="16"/>
      <c r="BLA85" s="16"/>
      <c r="BLB85" s="16"/>
      <c r="BLC85" s="16"/>
      <c r="BLD85" s="16"/>
      <c r="BLE85" s="16"/>
      <c r="BLF85" s="16"/>
      <c r="BLG85" s="16"/>
      <c r="BLH85" s="16"/>
      <c r="BLI85" s="16"/>
      <c r="BLJ85" s="16"/>
      <c r="BLK85" s="16"/>
      <c r="BLL85" s="16"/>
      <c r="BLM85" s="16"/>
      <c r="BLN85" s="16"/>
      <c r="BLO85" s="16"/>
      <c r="BLP85" s="16"/>
      <c r="BLQ85" s="16"/>
      <c r="BLR85" s="16"/>
      <c r="BLS85" s="16"/>
      <c r="BLT85" s="16"/>
      <c r="BLU85" s="16"/>
      <c r="BLV85" s="16"/>
      <c r="BLW85" s="16"/>
      <c r="BLX85" s="16"/>
      <c r="BLY85" s="16"/>
      <c r="BLZ85" s="16"/>
      <c r="BMA85" s="16"/>
      <c r="BMB85" s="16"/>
      <c r="BMC85" s="16"/>
      <c r="BMD85" s="16"/>
      <c r="BME85" s="16"/>
      <c r="BMF85" s="16"/>
      <c r="BMG85" s="16"/>
      <c r="BMH85" s="16"/>
      <c r="BMI85" s="16"/>
      <c r="BMJ85" s="16"/>
      <c r="BMK85" s="16"/>
      <c r="BML85" s="16"/>
      <c r="BMM85" s="16"/>
      <c r="BMN85" s="16"/>
      <c r="BMO85" s="16"/>
      <c r="BMP85" s="16"/>
      <c r="BMQ85" s="16"/>
      <c r="BMR85" s="16"/>
      <c r="BMS85" s="16"/>
      <c r="BMT85" s="16"/>
      <c r="BMU85" s="16"/>
      <c r="BMV85" s="16"/>
      <c r="BMW85" s="16"/>
      <c r="BMX85" s="16"/>
      <c r="BMY85" s="16"/>
      <c r="BMZ85" s="16"/>
      <c r="BNA85" s="16"/>
      <c r="BNB85" s="16"/>
      <c r="BNC85" s="16"/>
      <c r="BND85" s="16"/>
      <c r="BNE85" s="16"/>
      <c r="BNF85" s="16"/>
      <c r="BNG85" s="16"/>
      <c r="BNH85" s="16"/>
      <c r="BNI85" s="16"/>
      <c r="BNJ85" s="16"/>
      <c r="BNK85" s="16"/>
      <c r="BNL85" s="16"/>
      <c r="BNM85" s="16"/>
      <c r="BNN85" s="16"/>
      <c r="BNO85" s="16"/>
      <c r="BNP85" s="16"/>
      <c r="BNQ85" s="16"/>
      <c r="BNR85" s="16"/>
      <c r="BNS85" s="16"/>
      <c r="BNT85" s="16"/>
      <c r="BNU85" s="16"/>
      <c r="BNV85" s="16"/>
      <c r="BNW85" s="16"/>
      <c r="BNX85" s="16"/>
      <c r="BNY85" s="16"/>
      <c r="BNZ85" s="16"/>
      <c r="BOA85" s="16"/>
      <c r="BOB85" s="16"/>
      <c r="BOC85" s="16"/>
      <c r="BOD85" s="16"/>
      <c r="BOE85" s="16"/>
      <c r="BOF85" s="16"/>
      <c r="BOG85" s="16"/>
      <c r="BOH85" s="16"/>
      <c r="BOI85" s="16"/>
      <c r="BOJ85" s="16"/>
      <c r="BOK85" s="16"/>
      <c r="BOL85" s="16"/>
      <c r="BOM85" s="16"/>
      <c r="BON85" s="16"/>
      <c r="BOO85" s="16"/>
      <c r="BOP85" s="16"/>
      <c r="BOQ85" s="16"/>
      <c r="BOR85" s="16"/>
      <c r="BOS85" s="16"/>
      <c r="BOT85" s="16"/>
      <c r="BOU85" s="16"/>
      <c r="BOV85" s="16"/>
      <c r="BOW85" s="16"/>
      <c r="BOX85" s="16"/>
      <c r="BOY85" s="16"/>
      <c r="BOZ85" s="16"/>
      <c r="BPA85" s="16"/>
      <c r="BPB85" s="16"/>
      <c r="BPC85" s="16"/>
      <c r="BPD85" s="16"/>
      <c r="BPE85" s="16"/>
      <c r="BPF85" s="16"/>
      <c r="BPG85" s="16"/>
      <c r="BPH85" s="16"/>
      <c r="BPI85" s="16"/>
      <c r="BPJ85" s="16"/>
      <c r="BPK85" s="16"/>
      <c r="BPL85" s="16"/>
      <c r="BPM85" s="16"/>
      <c r="BPN85" s="16"/>
      <c r="BPO85" s="16"/>
      <c r="BPP85" s="16"/>
      <c r="BPQ85" s="16"/>
      <c r="BPR85" s="16"/>
      <c r="BPS85" s="16"/>
      <c r="BPT85" s="16"/>
      <c r="BPU85" s="16"/>
      <c r="BPV85" s="16"/>
      <c r="BPW85" s="16"/>
      <c r="BPX85" s="16"/>
      <c r="BPY85" s="16"/>
      <c r="BPZ85" s="16"/>
      <c r="BQA85" s="16"/>
      <c r="BQB85" s="16"/>
      <c r="BQC85" s="16"/>
      <c r="BQD85" s="16"/>
      <c r="BQE85" s="16"/>
      <c r="BQF85" s="16"/>
      <c r="BQG85" s="16"/>
      <c r="BQH85" s="16"/>
      <c r="BQI85" s="16"/>
      <c r="BQJ85" s="16"/>
      <c r="BQK85" s="16"/>
      <c r="BQL85" s="16"/>
      <c r="BQM85" s="16"/>
      <c r="BQN85" s="16"/>
      <c r="BQO85" s="16"/>
      <c r="BQP85" s="16"/>
      <c r="BQQ85" s="16"/>
      <c r="BQR85" s="16"/>
      <c r="BQS85" s="16"/>
      <c r="BQT85" s="16"/>
      <c r="BQU85" s="16"/>
      <c r="BQV85" s="16"/>
      <c r="BQW85" s="16"/>
      <c r="BQX85" s="16"/>
      <c r="BQY85" s="16"/>
      <c r="BQZ85" s="16"/>
      <c r="BRA85" s="16"/>
      <c r="BRB85" s="16"/>
      <c r="BRC85" s="16"/>
      <c r="BRD85" s="16"/>
      <c r="BRE85" s="16"/>
      <c r="BRF85" s="16"/>
      <c r="BRG85" s="16"/>
      <c r="BRH85" s="16"/>
      <c r="BRI85" s="16"/>
      <c r="BRJ85" s="16"/>
      <c r="BRK85" s="16"/>
      <c r="BRL85" s="16"/>
      <c r="BRM85" s="16"/>
      <c r="BRN85" s="16"/>
      <c r="BRO85" s="16"/>
      <c r="BRP85" s="16"/>
      <c r="BRQ85" s="16"/>
      <c r="BRR85" s="16"/>
      <c r="BRS85" s="16"/>
      <c r="BRT85" s="16"/>
      <c r="BRU85" s="16"/>
      <c r="BRV85" s="16"/>
      <c r="BRW85" s="16"/>
      <c r="BRX85" s="16"/>
      <c r="BRY85" s="16"/>
      <c r="BRZ85" s="16"/>
      <c r="BSA85" s="16"/>
      <c r="BSB85" s="16"/>
      <c r="BSC85" s="16"/>
      <c r="BSD85" s="16"/>
      <c r="BSE85" s="16"/>
      <c r="BSF85" s="16"/>
      <c r="BSG85" s="16"/>
      <c r="BSH85" s="16"/>
      <c r="BSI85" s="16"/>
      <c r="BSJ85" s="16"/>
      <c r="BSK85" s="16"/>
      <c r="BSL85" s="16"/>
      <c r="BSM85" s="16"/>
      <c r="BSN85" s="16"/>
      <c r="BSO85" s="16"/>
      <c r="BSP85" s="16"/>
      <c r="BSQ85" s="16"/>
      <c r="BSR85" s="16"/>
      <c r="BSS85" s="16"/>
      <c r="BST85" s="16"/>
      <c r="BSU85" s="16"/>
      <c r="BSV85" s="16"/>
      <c r="BSW85" s="16"/>
      <c r="BSX85" s="16"/>
      <c r="BSY85" s="16"/>
      <c r="BSZ85" s="16"/>
      <c r="BTA85" s="16"/>
      <c r="BTB85" s="16"/>
      <c r="BTC85" s="16"/>
      <c r="BTD85" s="16"/>
      <c r="BTE85" s="16"/>
      <c r="BTF85" s="16"/>
      <c r="BTG85" s="16"/>
      <c r="BTH85" s="16"/>
    </row>
    <row r="86" spans="1:1880" s="285" customFormat="1" ht="110.25" customHeight="1" x14ac:dyDescent="0.3">
      <c r="A86" s="525">
        <v>622</v>
      </c>
      <c r="B86" s="573" t="s">
        <v>215</v>
      </c>
      <c r="C86" s="525" t="s">
        <v>234</v>
      </c>
      <c r="D86" s="76" t="s">
        <v>345</v>
      </c>
      <c r="E86" s="248" t="e">
        <f>INDEX('PY1 Data(H)'!$A$1:$CZ$135,MATCH('Unit Data from Audit Worksheet'!$A86,'PY1 Data(H)'!$A$1:$A$135,0),MATCH('Unit Data from Audit Worksheet'!$D$2,'PY1 Data(H)'!$A$1:$CZ$1,0))</f>
        <v>#N/A</v>
      </c>
      <c r="F86" s="124">
        <v>0</v>
      </c>
      <c r="G86" s="277"/>
      <c r="H86" s="15"/>
      <c r="I86" s="682"/>
      <c r="J86"/>
      <c r="K86" s="16"/>
      <c r="L86"/>
      <c r="M86" s="16"/>
      <c r="N86" s="126"/>
      <c r="O86" s="16"/>
      <c r="P86" s="16"/>
      <c r="Q86" s="16"/>
      <c r="R86" s="16"/>
      <c r="S86" s="16"/>
      <c r="T86" s="16"/>
      <c r="U86" s="16"/>
      <c r="V86" s="16"/>
      <c r="W86" s="16"/>
      <c r="X86" s="1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6"/>
      <c r="IU86" s="16"/>
      <c r="IV86" s="16"/>
      <c r="IW86" s="16"/>
      <c r="IX86" s="16"/>
      <c r="IY86" s="16"/>
      <c r="IZ86" s="16"/>
      <c r="JA86" s="16"/>
      <c r="JB86" s="16"/>
      <c r="JC86" s="16"/>
      <c r="JD86" s="16"/>
      <c r="JE86" s="16"/>
      <c r="JF86" s="16"/>
      <c r="JG86" s="16"/>
      <c r="JH86" s="16"/>
      <c r="JI86" s="16"/>
      <c r="JJ86" s="16"/>
      <c r="JK86" s="16"/>
      <c r="JL86" s="16"/>
      <c r="JM86" s="16"/>
      <c r="JN86" s="16"/>
      <c r="JO86" s="16"/>
      <c r="JP86" s="16"/>
      <c r="JQ86" s="16"/>
      <c r="JR86" s="16"/>
      <c r="JS86" s="16"/>
      <c r="JT86" s="16"/>
      <c r="JU86" s="16"/>
      <c r="JV86" s="16"/>
      <c r="JW86" s="16"/>
      <c r="JX86" s="16"/>
      <c r="JY86" s="16"/>
      <c r="JZ86" s="16"/>
      <c r="KA86" s="16"/>
      <c r="KB86" s="16"/>
      <c r="KC86" s="16"/>
      <c r="KD86" s="16"/>
      <c r="KE86" s="16"/>
      <c r="KF86" s="16"/>
      <c r="KG86" s="16"/>
      <c r="KH86" s="16"/>
      <c r="KI86" s="16"/>
      <c r="KJ86" s="16"/>
      <c r="KK86" s="16"/>
      <c r="KL86" s="16"/>
      <c r="KM86" s="16"/>
      <c r="KN86" s="16"/>
      <c r="KO86" s="16"/>
      <c r="KP86" s="16"/>
      <c r="KQ86" s="16"/>
      <c r="KR86" s="16"/>
      <c r="KS86" s="16"/>
      <c r="KT86" s="16"/>
      <c r="KU86" s="16"/>
      <c r="KV86" s="16"/>
      <c r="KW86" s="16"/>
      <c r="KX86" s="16"/>
      <c r="KY86" s="16"/>
      <c r="KZ86" s="16"/>
      <c r="LA86" s="16"/>
      <c r="LB86" s="16"/>
      <c r="LC86" s="16"/>
      <c r="LD86" s="16"/>
      <c r="LE86" s="16"/>
      <c r="LF86" s="16"/>
      <c r="LG86" s="16"/>
      <c r="LH86" s="16"/>
      <c r="LI86" s="16"/>
      <c r="LJ86" s="16"/>
      <c r="LK86" s="16"/>
      <c r="LL86" s="16"/>
      <c r="LM86" s="16"/>
      <c r="LN86" s="16"/>
      <c r="LO86" s="16"/>
      <c r="LP86" s="16"/>
      <c r="LQ86" s="16"/>
      <c r="LR86" s="16"/>
      <c r="LS86" s="16"/>
      <c r="LT86" s="16"/>
      <c r="LU86" s="16"/>
      <c r="LV86" s="16"/>
      <c r="LW86" s="16"/>
      <c r="LX86" s="16"/>
      <c r="LY86" s="16"/>
      <c r="LZ86" s="16"/>
      <c r="MA86" s="16"/>
      <c r="MB86" s="16"/>
      <c r="MC86" s="16"/>
      <c r="MD86" s="16"/>
      <c r="ME86" s="16"/>
      <c r="MF86" s="16"/>
      <c r="MG86" s="16"/>
      <c r="MH86" s="16"/>
      <c r="MI86" s="16"/>
      <c r="MJ86" s="16"/>
      <c r="MK86" s="16"/>
      <c r="ML86" s="16"/>
      <c r="MM86" s="16"/>
      <c r="MN86" s="16"/>
      <c r="MO86" s="16"/>
      <c r="MP86" s="16"/>
      <c r="MQ86" s="16"/>
      <c r="MR86" s="16"/>
      <c r="MS86" s="16"/>
      <c r="MT86" s="16"/>
      <c r="MU86" s="16"/>
      <c r="MV86" s="16"/>
      <c r="MW86" s="16"/>
      <c r="MX86" s="16"/>
      <c r="MY86" s="16"/>
      <c r="MZ86" s="16"/>
      <c r="NA86" s="16"/>
      <c r="NB86" s="16"/>
      <c r="NC86" s="16"/>
      <c r="ND86" s="16"/>
      <c r="NE86" s="16"/>
      <c r="NF86" s="16"/>
      <c r="NG86" s="16"/>
      <c r="NH86" s="16"/>
      <c r="NI86" s="16"/>
      <c r="NJ86" s="16"/>
      <c r="NK86" s="16"/>
      <c r="NL86" s="16"/>
      <c r="NM86" s="16"/>
      <c r="NN86" s="16"/>
      <c r="NO86" s="16"/>
      <c r="NP86" s="16"/>
      <c r="NQ86" s="16"/>
      <c r="NR86" s="16"/>
      <c r="NS86" s="16"/>
      <c r="NT86" s="16"/>
      <c r="NU86" s="16"/>
      <c r="NV86" s="16"/>
      <c r="NW86" s="16"/>
      <c r="NX86" s="16"/>
      <c r="NY86" s="16"/>
      <c r="NZ86" s="16"/>
      <c r="OA86" s="16"/>
      <c r="OB86" s="16"/>
      <c r="OC86" s="16"/>
      <c r="OD86" s="16"/>
      <c r="OE86" s="16"/>
      <c r="OF86" s="16"/>
      <c r="OG86" s="16"/>
      <c r="OH86" s="16"/>
      <c r="OI86" s="16"/>
      <c r="OJ86" s="16"/>
      <c r="OK86" s="16"/>
      <c r="OL86" s="16"/>
      <c r="OM86" s="16"/>
      <c r="ON86" s="16"/>
      <c r="OO86" s="16"/>
      <c r="OP86" s="16"/>
      <c r="OQ86" s="16"/>
      <c r="OR86" s="16"/>
      <c r="OS86" s="16"/>
      <c r="OT86" s="16"/>
      <c r="OU86" s="16"/>
      <c r="OV86" s="16"/>
      <c r="OW86" s="16"/>
      <c r="OX86" s="16"/>
      <c r="OY86" s="16"/>
      <c r="OZ86" s="16"/>
      <c r="PA86" s="16"/>
      <c r="PB86" s="16"/>
      <c r="PC86" s="16"/>
      <c r="PD86" s="16"/>
      <c r="PE86" s="16"/>
      <c r="PF86" s="16"/>
      <c r="PG86" s="16"/>
      <c r="PH86" s="16"/>
      <c r="PI86" s="16"/>
      <c r="PJ86" s="16"/>
      <c r="PK86" s="16"/>
      <c r="PL86" s="16"/>
      <c r="PM86" s="16"/>
      <c r="PN86" s="16"/>
      <c r="PO86" s="16"/>
      <c r="PP86" s="16"/>
      <c r="PQ86" s="16"/>
      <c r="PR86" s="16"/>
      <c r="PS86" s="16"/>
      <c r="PT86" s="16"/>
      <c r="PU86" s="16"/>
      <c r="PV86" s="16"/>
      <c r="PW86" s="16"/>
      <c r="PX86" s="16"/>
      <c r="PY86" s="16"/>
      <c r="PZ86" s="16"/>
      <c r="QA86" s="16"/>
      <c r="QB86" s="16"/>
      <c r="QC86" s="16"/>
      <c r="QD86" s="16"/>
      <c r="QE86" s="16"/>
      <c r="QF86" s="16"/>
      <c r="QG86" s="16"/>
      <c r="QH86" s="16"/>
      <c r="QI86" s="16"/>
      <c r="QJ86" s="16"/>
      <c r="QK86" s="16"/>
      <c r="QL86" s="16"/>
      <c r="QM86" s="16"/>
      <c r="QN86" s="16"/>
      <c r="QO86" s="16"/>
      <c r="QP86" s="16"/>
      <c r="QQ86" s="16"/>
      <c r="QR86" s="16"/>
      <c r="QS86" s="16"/>
      <c r="QT86" s="16"/>
      <c r="QU86" s="16"/>
      <c r="QV86" s="16"/>
      <c r="QW86" s="16"/>
      <c r="QX86" s="16"/>
      <c r="QY86" s="16"/>
      <c r="QZ86" s="16"/>
      <c r="RA86" s="16"/>
      <c r="RB86" s="16"/>
      <c r="RC86" s="16"/>
      <c r="RD86" s="16"/>
      <c r="RE86" s="16"/>
      <c r="RF86" s="16"/>
      <c r="RG86" s="16"/>
      <c r="RH86" s="16"/>
      <c r="RI86" s="16"/>
      <c r="RJ86" s="16"/>
      <c r="RK86" s="16"/>
      <c r="RL86" s="16"/>
      <c r="RM86" s="16"/>
      <c r="RN86" s="16"/>
      <c r="RO86" s="16"/>
      <c r="RP86" s="16"/>
      <c r="RQ86" s="16"/>
      <c r="RR86" s="16"/>
      <c r="RS86" s="16"/>
      <c r="RT86" s="16"/>
      <c r="RU86" s="16"/>
      <c r="RV86" s="16"/>
      <c r="RW86" s="16"/>
      <c r="RX86" s="16"/>
      <c r="RY86" s="16"/>
      <c r="RZ86" s="16"/>
      <c r="SA86" s="16"/>
      <c r="SB86" s="16"/>
      <c r="SC86" s="16"/>
      <c r="SD86" s="16"/>
      <c r="SE86" s="16"/>
      <c r="SF86" s="16"/>
      <c r="SG86" s="16"/>
      <c r="SH86" s="16"/>
      <c r="SI86" s="16"/>
      <c r="SJ86" s="16"/>
      <c r="SK86" s="16"/>
      <c r="SL86" s="16"/>
      <c r="SM86" s="16"/>
      <c r="SN86" s="16"/>
      <c r="SO86" s="16"/>
      <c r="SP86" s="16"/>
      <c r="SQ86" s="16"/>
      <c r="SR86" s="16"/>
      <c r="SS86" s="16"/>
      <c r="ST86" s="16"/>
      <c r="SU86" s="16"/>
      <c r="SV86" s="16"/>
      <c r="SW86" s="16"/>
      <c r="SX86" s="16"/>
      <c r="SY86" s="16"/>
      <c r="SZ86" s="16"/>
      <c r="TA86" s="16"/>
      <c r="TB86" s="16"/>
      <c r="TC86" s="16"/>
      <c r="TD86" s="16"/>
      <c r="TE86" s="16"/>
      <c r="TF86" s="16"/>
      <c r="TG86" s="16"/>
      <c r="TH86" s="16"/>
      <c r="TI86" s="16"/>
      <c r="TJ86" s="16"/>
      <c r="TK86" s="16"/>
      <c r="TL86" s="16"/>
      <c r="TM86" s="16"/>
      <c r="TN86" s="16"/>
      <c r="TO86" s="16"/>
      <c r="TP86" s="16"/>
      <c r="TQ86" s="16"/>
      <c r="TR86" s="16"/>
      <c r="TS86" s="16"/>
      <c r="TT86" s="16"/>
      <c r="TU86" s="16"/>
      <c r="TV86" s="16"/>
      <c r="TW86" s="16"/>
      <c r="TX86" s="16"/>
      <c r="TY86" s="16"/>
      <c r="TZ86" s="16"/>
      <c r="UA86" s="16"/>
      <c r="UB86" s="16"/>
      <c r="UC86" s="16"/>
      <c r="UD86" s="16"/>
      <c r="UE86" s="16"/>
      <c r="UF86" s="16"/>
      <c r="UG86" s="16"/>
      <c r="UH86" s="16"/>
      <c r="UI86" s="16"/>
      <c r="UJ86" s="16"/>
      <c r="UK86" s="16"/>
      <c r="UL86" s="16"/>
      <c r="UM86" s="16"/>
      <c r="UN86" s="16"/>
      <c r="UO86" s="16"/>
      <c r="UP86" s="16"/>
      <c r="UQ86" s="16"/>
      <c r="UR86" s="16"/>
      <c r="US86" s="16"/>
      <c r="UT86" s="16"/>
      <c r="UU86" s="16"/>
      <c r="UV86" s="16"/>
      <c r="UW86" s="16"/>
      <c r="UX86" s="16"/>
      <c r="UY86" s="16"/>
      <c r="UZ86" s="16"/>
      <c r="VA86" s="16"/>
      <c r="VB86" s="16"/>
      <c r="VC86" s="16"/>
      <c r="VD86" s="16"/>
      <c r="VE86" s="16"/>
      <c r="VF86" s="16"/>
      <c r="VG86" s="16"/>
      <c r="VH86" s="16"/>
      <c r="VI86" s="16"/>
      <c r="VJ86" s="16"/>
      <c r="VK86" s="16"/>
      <c r="VL86" s="16"/>
      <c r="VM86" s="16"/>
      <c r="VN86" s="16"/>
      <c r="VO86" s="16"/>
      <c r="VP86" s="16"/>
      <c r="VQ86" s="16"/>
      <c r="VR86" s="16"/>
      <c r="VS86" s="16"/>
      <c r="VT86" s="16"/>
      <c r="VU86" s="16"/>
      <c r="VV86" s="16"/>
      <c r="VW86" s="16"/>
      <c r="VX86" s="16"/>
      <c r="VY86" s="16"/>
      <c r="VZ86" s="16"/>
      <c r="WA86" s="16"/>
      <c r="WB86" s="16"/>
      <c r="WC86" s="16"/>
      <c r="WD86" s="16"/>
      <c r="WE86" s="16"/>
      <c r="WF86" s="16"/>
      <c r="WG86" s="16"/>
      <c r="WH86" s="16"/>
      <c r="WI86" s="16"/>
      <c r="WJ86" s="16"/>
      <c r="WK86" s="16"/>
      <c r="WL86" s="16"/>
      <c r="WM86" s="16"/>
      <c r="WN86" s="16"/>
      <c r="WO86" s="16"/>
      <c r="WP86" s="16"/>
      <c r="WQ86" s="16"/>
      <c r="WR86" s="16"/>
      <c r="WS86" s="16"/>
      <c r="WT86" s="16"/>
      <c r="WU86" s="16"/>
      <c r="WV86" s="16"/>
      <c r="WW86" s="16"/>
      <c r="WX86" s="16"/>
      <c r="WY86" s="16"/>
      <c r="WZ86" s="16"/>
      <c r="XA86" s="16"/>
      <c r="XB86" s="16"/>
      <c r="XC86" s="16"/>
      <c r="XD86" s="16"/>
      <c r="XE86" s="16"/>
      <c r="XF86" s="16"/>
      <c r="XG86" s="16"/>
      <c r="XH86" s="16"/>
      <c r="XI86" s="16"/>
      <c r="XJ86" s="16"/>
      <c r="XK86" s="16"/>
      <c r="XL86" s="16"/>
      <c r="XM86" s="16"/>
      <c r="XN86" s="16"/>
      <c r="XO86" s="16"/>
      <c r="XP86" s="16"/>
      <c r="XQ86" s="16"/>
      <c r="XR86" s="16"/>
      <c r="XS86" s="16"/>
      <c r="XT86" s="16"/>
      <c r="XU86" s="16"/>
      <c r="XV86" s="16"/>
      <c r="XW86" s="16"/>
      <c r="XX86" s="16"/>
      <c r="XY86" s="16"/>
      <c r="XZ86" s="16"/>
      <c r="YA86" s="16"/>
      <c r="YB86" s="16"/>
      <c r="YC86" s="16"/>
      <c r="YD86" s="16"/>
      <c r="YE86" s="16"/>
      <c r="YF86" s="16"/>
      <c r="YG86" s="16"/>
      <c r="YH86" s="16"/>
      <c r="YI86" s="16"/>
      <c r="YJ86" s="16"/>
      <c r="YK86" s="16"/>
      <c r="YL86" s="16"/>
      <c r="YM86" s="16"/>
      <c r="YN86" s="16"/>
      <c r="YO86" s="16"/>
      <c r="YP86" s="16"/>
      <c r="YQ86" s="16"/>
      <c r="YR86" s="16"/>
      <c r="YS86" s="16"/>
      <c r="YT86" s="16"/>
      <c r="YU86" s="16"/>
      <c r="YV86" s="16"/>
      <c r="YW86" s="16"/>
      <c r="YX86" s="16"/>
      <c r="YY86" s="16"/>
      <c r="YZ86" s="16"/>
      <c r="ZA86" s="16"/>
      <c r="ZB86" s="16"/>
      <c r="ZC86" s="16"/>
      <c r="ZD86" s="16"/>
      <c r="ZE86" s="16"/>
      <c r="ZF86" s="16"/>
      <c r="ZG86" s="16"/>
      <c r="ZH86" s="16"/>
      <c r="ZI86" s="16"/>
      <c r="ZJ86" s="16"/>
      <c r="ZK86" s="16"/>
      <c r="ZL86" s="16"/>
      <c r="ZM86" s="16"/>
      <c r="ZN86" s="16"/>
      <c r="ZO86" s="16"/>
      <c r="ZP86" s="16"/>
      <c r="ZQ86" s="16"/>
      <c r="ZR86" s="16"/>
      <c r="ZS86" s="16"/>
      <c r="ZT86" s="16"/>
      <c r="ZU86" s="16"/>
      <c r="ZV86" s="16"/>
      <c r="ZW86" s="16"/>
      <c r="ZX86" s="16"/>
      <c r="ZY86" s="16"/>
      <c r="ZZ86" s="16"/>
      <c r="AAA86" s="16"/>
      <c r="AAB86" s="16"/>
      <c r="AAC86" s="16"/>
      <c r="AAD86" s="16"/>
      <c r="AAE86" s="16"/>
      <c r="AAF86" s="16"/>
      <c r="AAG86" s="16"/>
      <c r="AAH86" s="16"/>
      <c r="AAI86" s="16"/>
      <c r="AAJ86" s="16"/>
      <c r="AAK86" s="16"/>
      <c r="AAL86" s="16"/>
      <c r="AAM86" s="16"/>
      <c r="AAN86" s="16"/>
      <c r="AAO86" s="16"/>
      <c r="AAP86" s="16"/>
      <c r="AAQ86" s="16"/>
      <c r="AAR86" s="16"/>
      <c r="AAS86" s="16"/>
      <c r="AAT86" s="16"/>
      <c r="AAU86" s="16"/>
      <c r="AAV86" s="16"/>
      <c r="AAW86" s="16"/>
      <c r="AAX86" s="16"/>
      <c r="AAY86" s="16"/>
      <c r="AAZ86" s="16"/>
      <c r="ABA86" s="16"/>
      <c r="ABB86" s="16"/>
      <c r="ABC86" s="16"/>
      <c r="ABD86" s="16"/>
      <c r="ABE86" s="16"/>
      <c r="ABF86" s="16"/>
      <c r="ABG86" s="16"/>
      <c r="ABH86" s="16"/>
      <c r="ABI86" s="16"/>
      <c r="ABJ86" s="16"/>
      <c r="ABK86" s="16"/>
      <c r="ABL86" s="16"/>
      <c r="ABM86" s="16"/>
      <c r="ABN86" s="16"/>
      <c r="ABO86" s="16"/>
      <c r="ABP86" s="16"/>
      <c r="ABQ86" s="16"/>
      <c r="ABR86" s="16"/>
      <c r="ABS86" s="16"/>
      <c r="ABT86" s="16"/>
      <c r="ABU86" s="16"/>
      <c r="ABV86" s="16"/>
      <c r="ABW86" s="16"/>
      <c r="ABX86" s="16"/>
      <c r="ABY86" s="16"/>
      <c r="ABZ86" s="16"/>
      <c r="ACA86" s="16"/>
      <c r="ACB86" s="16"/>
      <c r="ACC86" s="16"/>
      <c r="ACD86" s="16"/>
      <c r="ACE86" s="16"/>
      <c r="ACF86" s="16"/>
      <c r="ACG86" s="16"/>
      <c r="ACH86" s="16"/>
      <c r="ACI86" s="16"/>
      <c r="ACJ86" s="16"/>
      <c r="ACK86" s="16"/>
      <c r="ACL86" s="16"/>
      <c r="ACM86" s="16"/>
      <c r="ACN86" s="16"/>
      <c r="ACO86" s="16"/>
      <c r="ACP86" s="16"/>
      <c r="ACQ86" s="16"/>
      <c r="ACR86" s="16"/>
      <c r="ACS86" s="16"/>
      <c r="ACT86" s="16"/>
      <c r="ACU86" s="16"/>
      <c r="ACV86" s="16"/>
      <c r="ACW86" s="16"/>
      <c r="ACX86" s="16"/>
      <c r="ACY86" s="16"/>
      <c r="ACZ86" s="16"/>
      <c r="ADA86" s="16"/>
      <c r="ADB86" s="16"/>
      <c r="ADC86" s="16"/>
      <c r="ADD86" s="16"/>
      <c r="ADE86" s="16"/>
      <c r="ADF86" s="16"/>
      <c r="ADG86" s="16"/>
      <c r="ADH86" s="16"/>
      <c r="ADI86" s="16"/>
      <c r="ADJ86" s="16"/>
      <c r="ADK86" s="16"/>
      <c r="ADL86" s="16"/>
      <c r="ADM86" s="16"/>
      <c r="ADN86" s="16"/>
      <c r="ADO86" s="16"/>
      <c r="ADP86" s="16"/>
      <c r="ADQ86" s="16"/>
      <c r="ADR86" s="16"/>
      <c r="ADS86" s="16"/>
      <c r="ADT86" s="16"/>
      <c r="ADU86" s="16"/>
      <c r="ADV86" s="16"/>
      <c r="ADW86" s="16"/>
      <c r="ADX86" s="16"/>
      <c r="ADY86" s="16"/>
      <c r="ADZ86" s="16"/>
      <c r="AEA86" s="16"/>
      <c r="AEB86" s="16"/>
      <c r="AEC86" s="16"/>
      <c r="AED86" s="16"/>
      <c r="AEE86" s="16"/>
      <c r="AEF86" s="16"/>
      <c r="AEG86" s="16"/>
      <c r="AEH86" s="16"/>
      <c r="AEI86" s="16"/>
      <c r="AEJ86" s="16"/>
      <c r="AEK86" s="16"/>
      <c r="AEL86" s="16"/>
      <c r="AEM86" s="16"/>
      <c r="AEN86" s="16"/>
      <c r="AEO86" s="16"/>
      <c r="AEP86" s="16"/>
      <c r="AEQ86" s="16"/>
      <c r="AER86" s="16"/>
      <c r="AES86" s="16"/>
      <c r="AET86" s="16"/>
      <c r="AEU86" s="16"/>
      <c r="AEV86" s="16"/>
      <c r="AEW86" s="16"/>
      <c r="AEX86" s="16"/>
      <c r="AEY86" s="16"/>
      <c r="AEZ86" s="16"/>
      <c r="AFA86" s="16"/>
      <c r="AFB86" s="16"/>
      <c r="AFC86" s="16"/>
      <c r="AFD86" s="16"/>
      <c r="AFE86" s="16"/>
      <c r="AFF86" s="16"/>
      <c r="AFG86" s="16"/>
      <c r="AFH86" s="16"/>
      <c r="AFI86" s="16"/>
      <c r="AFJ86" s="16"/>
      <c r="AFK86" s="16"/>
      <c r="AFL86" s="16"/>
      <c r="AFM86" s="16"/>
      <c r="AFN86" s="16"/>
      <c r="AFO86" s="16"/>
      <c r="AFP86" s="16"/>
      <c r="AFQ86" s="16"/>
      <c r="AFR86" s="16"/>
      <c r="AFS86" s="16"/>
      <c r="AFT86" s="16"/>
      <c r="AFU86" s="16"/>
      <c r="AFV86" s="16"/>
      <c r="AFW86" s="16"/>
      <c r="AFX86" s="16"/>
      <c r="AFY86" s="16"/>
      <c r="AFZ86" s="16"/>
      <c r="AGA86" s="16"/>
      <c r="AGB86" s="16"/>
      <c r="AGC86" s="16"/>
      <c r="AGD86" s="16"/>
      <c r="AGE86" s="16"/>
      <c r="AGF86" s="16"/>
      <c r="AGG86" s="16"/>
      <c r="AGH86" s="16"/>
      <c r="AGI86" s="16"/>
      <c r="AGJ86" s="16"/>
      <c r="AGK86" s="16"/>
      <c r="AGL86" s="16"/>
      <c r="AGM86" s="16"/>
      <c r="AGN86" s="16"/>
      <c r="AGO86" s="16"/>
      <c r="AGP86" s="16"/>
      <c r="AGQ86" s="16"/>
      <c r="AGR86" s="16"/>
      <c r="AGS86" s="16"/>
      <c r="AGT86" s="16"/>
      <c r="AGU86" s="16"/>
      <c r="AGV86" s="16"/>
      <c r="AGW86" s="16"/>
      <c r="AGX86" s="16"/>
      <c r="AGY86" s="16"/>
      <c r="AGZ86" s="16"/>
      <c r="AHA86" s="16"/>
      <c r="AHB86" s="16"/>
      <c r="AHC86" s="16"/>
      <c r="AHD86" s="16"/>
      <c r="AHE86" s="16"/>
      <c r="AHF86" s="16"/>
      <c r="AHG86" s="16"/>
      <c r="AHH86" s="16"/>
      <c r="AHI86" s="16"/>
      <c r="AHJ86" s="16"/>
      <c r="AHK86" s="16"/>
      <c r="AHL86" s="16"/>
      <c r="AHM86" s="16"/>
      <c r="AHN86" s="16"/>
      <c r="AHO86" s="16"/>
      <c r="AHP86" s="16"/>
      <c r="AHQ86" s="16"/>
      <c r="AHR86" s="16"/>
      <c r="AHS86" s="16"/>
      <c r="AHT86" s="16"/>
      <c r="AHU86" s="16"/>
      <c r="AHV86" s="16"/>
      <c r="AHW86" s="16"/>
      <c r="AHX86" s="16"/>
      <c r="AHY86" s="16"/>
      <c r="AHZ86" s="16"/>
      <c r="AIA86" s="16"/>
      <c r="AIB86" s="16"/>
      <c r="AIC86" s="16"/>
      <c r="AID86" s="16"/>
      <c r="AIE86" s="16"/>
      <c r="AIF86" s="16"/>
      <c r="AIG86" s="16"/>
      <c r="AIH86" s="16"/>
      <c r="AII86" s="16"/>
      <c r="AIJ86" s="16"/>
      <c r="AIK86" s="16"/>
      <c r="AIL86" s="16"/>
      <c r="AIM86" s="16"/>
      <c r="AIN86" s="16"/>
      <c r="AIO86" s="16"/>
      <c r="AIP86" s="16"/>
      <c r="AIQ86" s="16"/>
      <c r="AIR86" s="16"/>
      <c r="AIS86" s="16"/>
      <c r="AIT86" s="16"/>
      <c r="AIU86" s="16"/>
      <c r="AIV86" s="16"/>
      <c r="AIW86" s="16"/>
      <c r="AIX86" s="16"/>
      <c r="AIY86" s="16"/>
      <c r="AIZ86" s="16"/>
      <c r="AJA86" s="16"/>
      <c r="AJB86" s="16"/>
      <c r="AJC86" s="16"/>
      <c r="AJD86" s="16"/>
      <c r="AJE86" s="16"/>
      <c r="AJF86" s="16"/>
      <c r="AJG86" s="16"/>
      <c r="AJH86" s="16"/>
      <c r="AJI86" s="16"/>
      <c r="AJJ86" s="16"/>
      <c r="AJK86" s="16"/>
      <c r="AJL86" s="16"/>
      <c r="AJM86" s="16"/>
      <c r="AJN86" s="16"/>
      <c r="AJO86" s="16"/>
      <c r="AJP86" s="16"/>
      <c r="AJQ86" s="16"/>
      <c r="AJR86" s="16"/>
      <c r="AJS86" s="16"/>
      <c r="AJT86" s="16"/>
      <c r="AJU86" s="16"/>
      <c r="AJV86" s="16"/>
      <c r="AJW86" s="16"/>
      <c r="AJX86" s="16"/>
      <c r="AJY86" s="16"/>
      <c r="AJZ86" s="16"/>
      <c r="AKA86" s="16"/>
      <c r="AKB86" s="16"/>
      <c r="AKC86" s="16"/>
      <c r="AKD86" s="16"/>
      <c r="AKE86" s="16"/>
      <c r="AKF86" s="16"/>
      <c r="AKG86" s="16"/>
      <c r="AKH86" s="16"/>
      <c r="AKI86" s="16"/>
      <c r="AKJ86" s="16"/>
      <c r="AKK86" s="16"/>
      <c r="AKL86" s="16"/>
      <c r="AKM86" s="16"/>
      <c r="AKN86" s="16"/>
      <c r="AKO86" s="16"/>
      <c r="AKP86" s="16"/>
      <c r="AKQ86" s="16"/>
      <c r="AKR86" s="16"/>
      <c r="AKS86" s="16"/>
      <c r="AKT86" s="16"/>
      <c r="AKU86" s="16"/>
      <c r="AKV86" s="16"/>
      <c r="AKW86" s="16"/>
      <c r="AKX86" s="16"/>
      <c r="AKY86" s="16"/>
      <c r="AKZ86" s="16"/>
      <c r="ALA86" s="16"/>
      <c r="ALB86" s="16"/>
      <c r="ALC86" s="16"/>
      <c r="ALD86" s="16"/>
      <c r="ALE86" s="16"/>
      <c r="ALF86" s="16"/>
      <c r="ALG86" s="16"/>
      <c r="ALH86" s="16"/>
      <c r="ALI86" s="16"/>
      <c r="ALJ86" s="16"/>
      <c r="ALK86" s="16"/>
      <c r="ALL86" s="16"/>
      <c r="ALM86" s="16"/>
      <c r="ALN86" s="16"/>
      <c r="ALO86" s="16"/>
      <c r="ALP86" s="16"/>
      <c r="ALQ86" s="16"/>
      <c r="ALR86" s="16"/>
      <c r="ALS86" s="16"/>
      <c r="ALT86" s="16"/>
      <c r="ALU86" s="16"/>
      <c r="ALV86" s="16"/>
      <c r="ALW86" s="16"/>
      <c r="ALX86" s="16"/>
      <c r="ALY86" s="16"/>
      <c r="ALZ86" s="16"/>
      <c r="AMA86" s="16"/>
      <c r="AMB86" s="16"/>
      <c r="AMC86" s="16"/>
      <c r="AMD86" s="16"/>
      <c r="AME86" s="16"/>
      <c r="AMF86" s="16"/>
      <c r="AMG86" s="16"/>
      <c r="AMH86" s="16"/>
      <c r="AMI86" s="16"/>
      <c r="AMJ86" s="16"/>
      <c r="AMK86" s="16"/>
      <c r="AML86" s="16"/>
      <c r="AMM86" s="16"/>
      <c r="AMN86" s="16"/>
      <c r="AMO86" s="16"/>
      <c r="AMP86" s="16"/>
      <c r="AMQ86" s="16"/>
      <c r="AMR86" s="16"/>
      <c r="AMS86" s="16"/>
      <c r="AMT86" s="16"/>
      <c r="AMU86" s="16"/>
      <c r="AMV86" s="16"/>
      <c r="AMW86" s="16"/>
      <c r="AMX86" s="16"/>
      <c r="AMY86" s="16"/>
      <c r="AMZ86" s="16"/>
      <c r="ANA86" s="16"/>
      <c r="ANB86" s="16"/>
      <c r="ANC86" s="16"/>
      <c r="AND86" s="16"/>
      <c r="ANE86" s="16"/>
      <c r="ANF86" s="16"/>
      <c r="ANG86" s="16"/>
      <c r="ANH86" s="16"/>
      <c r="ANI86" s="16"/>
      <c r="ANJ86" s="16"/>
      <c r="ANK86" s="16"/>
      <c r="ANL86" s="16"/>
      <c r="ANM86" s="16"/>
      <c r="ANN86" s="16"/>
      <c r="ANO86" s="16"/>
      <c r="ANP86" s="16"/>
      <c r="ANQ86" s="16"/>
      <c r="ANR86" s="16"/>
      <c r="ANS86" s="16"/>
      <c r="ANT86" s="16"/>
      <c r="ANU86" s="16"/>
      <c r="ANV86" s="16"/>
      <c r="ANW86" s="16"/>
      <c r="ANX86" s="16"/>
      <c r="ANY86" s="16"/>
      <c r="ANZ86" s="16"/>
      <c r="AOA86" s="16"/>
      <c r="AOB86" s="16"/>
      <c r="AOC86" s="16"/>
      <c r="AOD86" s="16"/>
      <c r="AOE86" s="16"/>
      <c r="AOF86" s="16"/>
      <c r="AOG86" s="16"/>
      <c r="AOH86" s="16"/>
      <c r="AOI86" s="16"/>
      <c r="AOJ86" s="16"/>
      <c r="AOK86" s="16"/>
      <c r="AOL86" s="16"/>
      <c r="AOM86" s="16"/>
      <c r="AON86" s="16"/>
      <c r="AOO86" s="16"/>
      <c r="AOP86" s="16"/>
      <c r="AOQ86" s="16"/>
      <c r="AOR86" s="16"/>
      <c r="AOS86" s="16"/>
      <c r="AOT86" s="16"/>
      <c r="AOU86" s="16"/>
      <c r="AOV86" s="16"/>
      <c r="AOW86" s="16"/>
      <c r="AOX86" s="16"/>
      <c r="AOY86" s="16"/>
      <c r="AOZ86" s="16"/>
      <c r="APA86" s="16"/>
      <c r="APB86" s="16"/>
      <c r="APC86" s="16"/>
      <c r="APD86" s="16"/>
      <c r="APE86" s="16"/>
      <c r="APF86" s="16"/>
      <c r="APG86" s="16"/>
      <c r="APH86" s="16"/>
      <c r="API86" s="16"/>
      <c r="APJ86" s="16"/>
      <c r="APK86" s="16"/>
      <c r="APL86" s="16"/>
      <c r="APM86" s="16"/>
      <c r="APN86" s="16"/>
      <c r="APO86" s="16"/>
      <c r="APP86" s="16"/>
      <c r="APQ86" s="16"/>
      <c r="APR86" s="16"/>
      <c r="APS86" s="16"/>
      <c r="APT86" s="16"/>
      <c r="APU86" s="16"/>
      <c r="APV86" s="16"/>
      <c r="APW86" s="16"/>
      <c r="APX86" s="16"/>
      <c r="APY86" s="16"/>
      <c r="APZ86" s="16"/>
      <c r="AQA86" s="16"/>
      <c r="AQB86" s="16"/>
      <c r="AQC86" s="16"/>
      <c r="AQD86" s="16"/>
      <c r="AQE86" s="16"/>
      <c r="AQF86" s="16"/>
      <c r="AQG86" s="16"/>
      <c r="AQH86" s="16"/>
      <c r="AQI86" s="16"/>
      <c r="AQJ86" s="16"/>
      <c r="AQK86" s="16"/>
      <c r="AQL86" s="16"/>
      <c r="AQM86" s="16"/>
      <c r="AQN86" s="16"/>
      <c r="AQO86" s="16"/>
      <c r="AQP86" s="16"/>
      <c r="AQQ86" s="16"/>
      <c r="AQR86" s="16"/>
      <c r="AQS86" s="16"/>
      <c r="AQT86" s="16"/>
      <c r="AQU86" s="16"/>
      <c r="AQV86" s="16"/>
      <c r="AQW86" s="16"/>
      <c r="AQX86" s="16"/>
      <c r="AQY86" s="16"/>
      <c r="AQZ86" s="16"/>
      <c r="ARA86" s="16"/>
      <c r="ARB86" s="16"/>
      <c r="ARC86" s="16"/>
      <c r="ARD86" s="16"/>
      <c r="ARE86" s="16"/>
      <c r="ARF86" s="16"/>
      <c r="ARG86" s="16"/>
      <c r="ARH86" s="16"/>
      <c r="ARI86" s="16"/>
      <c r="ARJ86" s="16"/>
      <c r="ARK86" s="16"/>
      <c r="ARL86" s="16"/>
      <c r="ARM86" s="16"/>
      <c r="ARN86" s="16"/>
      <c r="ARO86" s="16"/>
      <c r="ARP86" s="16"/>
      <c r="ARQ86" s="16"/>
      <c r="ARR86" s="16"/>
      <c r="ARS86" s="16"/>
      <c r="ART86" s="16"/>
      <c r="ARU86" s="16"/>
      <c r="ARV86" s="16"/>
      <c r="ARW86" s="16"/>
      <c r="ARX86" s="16"/>
      <c r="ARY86" s="16"/>
      <c r="ARZ86" s="16"/>
      <c r="ASA86" s="16"/>
      <c r="ASB86" s="16"/>
      <c r="ASC86" s="16"/>
      <c r="ASD86" s="16"/>
      <c r="ASE86" s="16"/>
      <c r="ASF86" s="16"/>
      <c r="ASG86" s="16"/>
      <c r="ASH86" s="16"/>
      <c r="ASI86" s="16"/>
      <c r="ASJ86" s="16"/>
      <c r="ASK86" s="16"/>
      <c r="ASL86" s="16"/>
      <c r="ASM86" s="16"/>
      <c r="ASN86" s="16"/>
      <c r="ASO86" s="16"/>
      <c r="ASP86" s="16"/>
      <c r="ASQ86" s="16"/>
      <c r="ASR86" s="16"/>
      <c r="ASS86" s="16"/>
      <c r="AST86" s="16"/>
      <c r="ASU86" s="16"/>
      <c r="ASV86" s="16"/>
      <c r="ASW86" s="16"/>
      <c r="ASX86" s="16"/>
      <c r="ASY86" s="16"/>
      <c r="ASZ86" s="16"/>
      <c r="ATA86" s="16"/>
      <c r="ATB86" s="16"/>
      <c r="ATC86" s="16"/>
      <c r="ATD86" s="16"/>
      <c r="ATE86" s="16"/>
      <c r="ATF86" s="16"/>
      <c r="ATG86" s="16"/>
      <c r="ATH86" s="16"/>
      <c r="ATI86" s="16"/>
      <c r="ATJ86" s="16"/>
      <c r="ATK86" s="16"/>
      <c r="ATL86" s="16"/>
      <c r="ATM86" s="16"/>
      <c r="ATN86" s="16"/>
      <c r="ATO86" s="16"/>
      <c r="ATP86" s="16"/>
      <c r="ATQ86" s="16"/>
      <c r="ATR86" s="16"/>
      <c r="ATS86" s="16"/>
      <c r="ATT86" s="16"/>
      <c r="ATU86" s="16"/>
      <c r="ATV86" s="16"/>
      <c r="ATW86" s="16"/>
      <c r="ATX86" s="16"/>
      <c r="ATY86" s="16"/>
      <c r="ATZ86" s="16"/>
      <c r="AUA86" s="16"/>
      <c r="AUB86" s="16"/>
      <c r="AUC86" s="16"/>
      <c r="AUD86" s="16"/>
      <c r="AUE86" s="16"/>
      <c r="AUF86" s="16"/>
      <c r="AUG86" s="16"/>
      <c r="AUH86" s="16"/>
      <c r="AUI86" s="16"/>
      <c r="AUJ86" s="16"/>
      <c r="AUK86" s="16"/>
      <c r="AUL86" s="16"/>
      <c r="AUM86" s="16"/>
      <c r="AUN86" s="16"/>
      <c r="AUO86" s="16"/>
      <c r="AUP86" s="16"/>
      <c r="AUQ86" s="16"/>
      <c r="AUR86" s="16"/>
      <c r="AUS86" s="16"/>
      <c r="AUT86" s="16"/>
      <c r="AUU86" s="16"/>
      <c r="AUV86" s="16"/>
      <c r="AUW86" s="16"/>
      <c r="AUX86" s="16"/>
      <c r="AUY86" s="16"/>
      <c r="AUZ86" s="16"/>
      <c r="AVA86" s="16"/>
      <c r="AVB86" s="16"/>
      <c r="AVC86" s="16"/>
      <c r="AVD86" s="16"/>
      <c r="AVE86" s="16"/>
      <c r="AVF86" s="16"/>
      <c r="AVG86" s="16"/>
      <c r="AVH86" s="16"/>
      <c r="AVI86" s="16"/>
      <c r="AVJ86" s="16"/>
      <c r="AVK86" s="16"/>
      <c r="AVL86" s="16"/>
      <c r="AVM86" s="16"/>
      <c r="AVN86" s="16"/>
      <c r="AVO86" s="16"/>
      <c r="AVP86" s="16"/>
      <c r="AVQ86" s="16"/>
      <c r="AVR86" s="16"/>
      <c r="AVS86" s="16"/>
      <c r="AVT86" s="16"/>
      <c r="AVU86" s="16"/>
      <c r="AVV86" s="16"/>
      <c r="AVW86" s="16"/>
      <c r="AVX86" s="16"/>
      <c r="AVY86" s="16"/>
      <c r="AVZ86" s="16"/>
      <c r="AWA86" s="16"/>
      <c r="AWB86" s="16"/>
      <c r="AWC86" s="16"/>
      <c r="AWD86" s="16"/>
      <c r="AWE86" s="16"/>
      <c r="AWF86" s="16"/>
      <c r="AWG86" s="16"/>
      <c r="AWH86" s="16"/>
      <c r="AWI86" s="16"/>
      <c r="AWJ86" s="16"/>
      <c r="AWK86" s="16"/>
      <c r="AWL86" s="16"/>
      <c r="AWM86" s="16"/>
      <c r="AWN86" s="16"/>
      <c r="AWO86" s="16"/>
      <c r="AWP86" s="16"/>
      <c r="AWQ86" s="16"/>
      <c r="AWR86" s="16"/>
      <c r="AWS86" s="16"/>
      <c r="AWT86" s="16"/>
      <c r="AWU86" s="16"/>
      <c r="AWV86" s="16"/>
      <c r="AWW86" s="16"/>
      <c r="AWX86" s="16"/>
      <c r="AWY86" s="16"/>
      <c r="AWZ86" s="16"/>
      <c r="AXA86" s="16"/>
      <c r="AXB86" s="16"/>
      <c r="AXC86" s="16"/>
      <c r="AXD86" s="16"/>
      <c r="AXE86" s="16"/>
      <c r="AXF86" s="16"/>
      <c r="AXG86" s="16"/>
      <c r="AXH86" s="16"/>
      <c r="AXI86" s="16"/>
      <c r="AXJ86" s="16"/>
      <c r="AXK86" s="16"/>
      <c r="AXL86" s="16"/>
      <c r="AXM86" s="16"/>
      <c r="AXN86" s="16"/>
      <c r="AXO86" s="16"/>
      <c r="AXP86" s="16"/>
      <c r="AXQ86" s="16"/>
      <c r="AXR86" s="16"/>
      <c r="AXS86" s="16"/>
      <c r="AXT86" s="16"/>
      <c r="AXU86" s="16"/>
      <c r="AXV86" s="16"/>
      <c r="AXW86" s="16"/>
      <c r="AXX86" s="16"/>
      <c r="AXY86" s="16"/>
      <c r="AXZ86" s="16"/>
      <c r="AYA86" s="16"/>
      <c r="AYB86" s="16"/>
      <c r="AYC86" s="16"/>
      <c r="AYD86" s="16"/>
      <c r="AYE86" s="16"/>
      <c r="AYF86" s="16"/>
      <c r="AYG86" s="16"/>
      <c r="AYH86" s="16"/>
      <c r="AYI86" s="16"/>
      <c r="AYJ86" s="16"/>
      <c r="AYK86" s="16"/>
      <c r="AYL86" s="16"/>
      <c r="AYM86" s="16"/>
      <c r="AYN86" s="16"/>
      <c r="AYO86" s="16"/>
      <c r="AYP86" s="16"/>
      <c r="AYQ86" s="16"/>
      <c r="AYR86" s="16"/>
      <c r="AYS86" s="16"/>
      <c r="AYT86" s="16"/>
      <c r="AYU86" s="16"/>
      <c r="AYV86" s="16"/>
      <c r="AYW86" s="16"/>
      <c r="AYX86" s="16"/>
      <c r="AYY86" s="16"/>
      <c r="AYZ86" s="16"/>
      <c r="AZA86" s="16"/>
      <c r="AZB86" s="16"/>
      <c r="AZC86" s="16"/>
      <c r="AZD86" s="16"/>
      <c r="AZE86" s="16"/>
      <c r="AZF86" s="16"/>
      <c r="AZG86" s="16"/>
      <c r="AZH86" s="16"/>
      <c r="AZI86" s="16"/>
      <c r="AZJ86" s="16"/>
      <c r="AZK86" s="16"/>
      <c r="AZL86" s="16"/>
      <c r="AZM86" s="16"/>
      <c r="AZN86" s="16"/>
      <c r="AZO86" s="16"/>
      <c r="AZP86" s="16"/>
      <c r="AZQ86" s="16"/>
      <c r="AZR86" s="16"/>
      <c r="AZS86" s="16"/>
      <c r="AZT86" s="16"/>
      <c r="AZU86" s="16"/>
      <c r="AZV86" s="16"/>
      <c r="AZW86" s="16"/>
      <c r="AZX86" s="16"/>
      <c r="AZY86" s="16"/>
      <c r="AZZ86" s="16"/>
      <c r="BAA86" s="16"/>
      <c r="BAB86" s="16"/>
      <c r="BAC86" s="16"/>
      <c r="BAD86" s="16"/>
      <c r="BAE86" s="16"/>
      <c r="BAF86" s="16"/>
      <c r="BAG86" s="16"/>
      <c r="BAH86" s="16"/>
      <c r="BAI86" s="16"/>
      <c r="BAJ86" s="16"/>
      <c r="BAK86" s="16"/>
      <c r="BAL86" s="16"/>
      <c r="BAM86" s="16"/>
      <c r="BAN86" s="16"/>
      <c r="BAO86" s="16"/>
      <c r="BAP86" s="16"/>
      <c r="BAQ86" s="16"/>
      <c r="BAR86" s="16"/>
      <c r="BAS86" s="16"/>
      <c r="BAT86" s="16"/>
      <c r="BAU86" s="16"/>
      <c r="BAV86" s="16"/>
      <c r="BAW86" s="16"/>
      <c r="BAX86" s="16"/>
      <c r="BAY86" s="16"/>
      <c r="BAZ86" s="16"/>
      <c r="BBA86" s="16"/>
      <c r="BBB86" s="16"/>
      <c r="BBC86" s="16"/>
      <c r="BBD86" s="16"/>
      <c r="BBE86" s="16"/>
      <c r="BBF86" s="16"/>
      <c r="BBG86" s="16"/>
      <c r="BBH86" s="16"/>
      <c r="BBI86" s="16"/>
      <c r="BBJ86" s="16"/>
      <c r="BBK86" s="16"/>
      <c r="BBL86" s="16"/>
      <c r="BBM86" s="16"/>
      <c r="BBN86" s="16"/>
      <c r="BBO86" s="16"/>
      <c r="BBP86" s="16"/>
      <c r="BBQ86" s="16"/>
      <c r="BBR86" s="16"/>
      <c r="BBS86" s="16"/>
      <c r="BBT86" s="16"/>
      <c r="BBU86" s="16"/>
      <c r="BBV86" s="16"/>
      <c r="BBW86" s="16"/>
      <c r="BBX86" s="16"/>
      <c r="BBY86" s="16"/>
      <c r="BBZ86" s="16"/>
      <c r="BCA86" s="16"/>
      <c r="BCB86" s="16"/>
      <c r="BCC86" s="16"/>
      <c r="BCD86" s="16"/>
      <c r="BCE86" s="16"/>
      <c r="BCF86" s="16"/>
      <c r="BCG86" s="16"/>
      <c r="BCH86" s="16"/>
      <c r="BCI86" s="16"/>
      <c r="BCJ86" s="16"/>
      <c r="BCK86" s="16"/>
      <c r="BCL86" s="16"/>
      <c r="BCM86" s="16"/>
      <c r="BCN86" s="16"/>
      <c r="BCO86" s="16"/>
      <c r="BCP86" s="16"/>
      <c r="BCQ86" s="16"/>
      <c r="BCR86" s="16"/>
      <c r="BCS86" s="16"/>
      <c r="BCT86" s="16"/>
      <c r="BCU86" s="16"/>
      <c r="BCV86" s="16"/>
      <c r="BCW86" s="16"/>
      <c r="BCX86" s="16"/>
      <c r="BCY86" s="16"/>
      <c r="BCZ86" s="16"/>
      <c r="BDA86" s="16"/>
      <c r="BDB86" s="16"/>
      <c r="BDC86" s="16"/>
      <c r="BDD86" s="16"/>
      <c r="BDE86" s="16"/>
      <c r="BDF86" s="16"/>
      <c r="BDG86" s="16"/>
      <c r="BDH86" s="16"/>
      <c r="BDI86" s="16"/>
      <c r="BDJ86" s="16"/>
      <c r="BDK86" s="16"/>
      <c r="BDL86" s="16"/>
      <c r="BDM86" s="16"/>
      <c r="BDN86" s="16"/>
      <c r="BDO86" s="16"/>
      <c r="BDP86" s="16"/>
      <c r="BDQ86" s="16"/>
      <c r="BDR86" s="16"/>
      <c r="BDS86" s="16"/>
      <c r="BDT86" s="16"/>
      <c r="BDU86" s="16"/>
      <c r="BDV86" s="16"/>
      <c r="BDW86" s="16"/>
      <c r="BDX86" s="16"/>
      <c r="BDY86" s="16"/>
      <c r="BDZ86" s="16"/>
      <c r="BEA86" s="16"/>
      <c r="BEB86" s="16"/>
      <c r="BEC86" s="16"/>
      <c r="BED86" s="16"/>
      <c r="BEE86" s="16"/>
      <c r="BEF86" s="16"/>
      <c r="BEG86" s="16"/>
      <c r="BEH86" s="16"/>
      <c r="BEI86" s="16"/>
      <c r="BEJ86" s="16"/>
      <c r="BEK86" s="16"/>
      <c r="BEL86" s="16"/>
      <c r="BEM86" s="16"/>
      <c r="BEN86" s="16"/>
      <c r="BEO86" s="16"/>
      <c r="BEP86" s="16"/>
      <c r="BEQ86" s="16"/>
      <c r="BER86" s="16"/>
      <c r="BES86" s="16"/>
      <c r="BET86" s="16"/>
      <c r="BEU86" s="16"/>
      <c r="BEV86" s="16"/>
      <c r="BEW86" s="16"/>
      <c r="BEX86" s="16"/>
      <c r="BEY86" s="16"/>
      <c r="BEZ86" s="16"/>
      <c r="BFA86" s="16"/>
      <c r="BFB86" s="16"/>
      <c r="BFC86" s="16"/>
      <c r="BFD86" s="16"/>
      <c r="BFE86" s="16"/>
      <c r="BFF86" s="16"/>
      <c r="BFG86" s="16"/>
      <c r="BFH86" s="16"/>
      <c r="BFI86" s="16"/>
      <c r="BFJ86" s="16"/>
      <c r="BFK86" s="16"/>
      <c r="BFL86" s="16"/>
      <c r="BFM86" s="16"/>
      <c r="BFN86" s="16"/>
      <c r="BFO86" s="16"/>
      <c r="BFP86" s="16"/>
      <c r="BFQ86" s="16"/>
      <c r="BFR86" s="16"/>
      <c r="BFS86" s="16"/>
      <c r="BFT86" s="16"/>
      <c r="BFU86" s="16"/>
      <c r="BFV86" s="16"/>
      <c r="BFW86" s="16"/>
      <c r="BFX86" s="16"/>
      <c r="BFY86" s="16"/>
      <c r="BFZ86" s="16"/>
      <c r="BGA86" s="16"/>
      <c r="BGB86" s="16"/>
      <c r="BGC86" s="16"/>
      <c r="BGD86" s="16"/>
      <c r="BGE86" s="16"/>
      <c r="BGF86" s="16"/>
      <c r="BGG86" s="16"/>
      <c r="BGH86" s="16"/>
      <c r="BGI86" s="16"/>
      <c r="BGJ86" s="16"/>
      <c r="BGK86" s="16"/>
      <c r="BGL86" s="16"/>
      <c r="BGM86" s="16"/>
      <c r="BGN86" s="16"/>
      <c r="BGO86" s="16"/>
      <c r="BGP86" s="16"/>
      <c r="BGQ86" s="16"/>
      <c r="BGR86" s="16"/>
      <c r="BGS86" s="16"/>
      <c r="BGT86" s="16"/>
      <c r="BGU86" s="16"/>
      <c r="BGV86" s="16"/>
      <c r="BGW86" s="16"/>
      <c r="BGX86" s="16"/>
      <c r="BGY86" s="16"/>
      <c r="BGZ86" s="16"/>
      <c r="BHA86" s="16"/>
      <c r="BHB86" s="16"/>
      <c r="BHC86" s="16"/>
      <c r="BHD86" s="16"/>
      <c r="BHE86" s="16"/>
      <c r="BHF86" s="16"/>
      <c r="BHG86" s="16"/>
      <c r="BHH86" s="16"/>
      <c r="BHI86" s="16"/>
      <c r="BHJ86" s="16"/>
      <c r="BHK86" s="16"/>
      <c r="BHL86" s="16"/>
      <c r="BHM86" s="16"/>
      <c r="BHN86" s="16"/>
      <c r="BHO86" s="16"/>
      <c r="BHP86" s="16"/>
      <c r="BHQ86" s="16"/>
      <c r="BHR86" s="16"/>
      <c r="BHS86" s="16"/>
      <c r="BHT86" s="16"/>
      <c r="BHU86" s="16"/>
      <c r="BHV86" s="16"/>
      <c r="BHW86" s="16"/>
      <c r="BHX86" s="16"/>
      <c r="BHY86" s="16"/>
      <c r="BHZ86" s="16"/>
      <c r="BIA86" s="16"/>
      <c r="BIB86" s="16"/>
      <c r="BIC86" s="16"/>
      <c r="BID86" s="16"/>
      <c r="BIE86" s="16"/>
      <c r="BIF86" s="16"/>
      <c r="BIG86" s="16"/>
      <c r="BIH86" s="16"/>
      <c r="BII86" s="16"/>
      <c r="BIJ86" s="16"/>
      <c r="BIK86" s="16"/>
      <c r="BIL86" s="16"/>
      <c r="BIM86" s="16"/>
      <c r="BIN86" s="16"/>
      <c r="BIO86" s="16"/>
      <c r="BIP86" s="16"/>
      <c r="BIQ86" s="16"/>
      <c r="BIR86" s="16"/>
      <c r="BIS86" s="16"/>
      <c r="BIT86" s="16"/>
      <c r="BIU86" s="16"/>
      <c r="BIV86" s="16"/>
      <c r="BIW86" s="16"/>
      <c r="BIX86" s="16"/>
      <c r="BIY86" s="16"/>
      <c r="BIZ86" s="16"/>
      <c r="BJA86" s="16"/>
      <c r="BJB86" s="16"/>
      <c r="BJC86" s="16"/>
      <c r="BJD86" s="16"/>
      <c r="BJE86" s="16"/>
      <c r="BJF86" s="16"/>
      <c r="BJG86" s="16"/>
      <c r="BJH86" s="16"/>
      <c r="BJI86" s="16"/>
      <c r="BJJ86" s="16"/>
      <c r="BJK86" s="16"/>
      <c r="BJL86" s="16"/>
      <c r="BJM86" s="16"/>
      <c r="BJN86" s="16"/>
      <c r="BJO86" s="16"/>
      <c r="BJP86" s="16"/>
      <c r="BJQ86" s="16"/>
      <c r="BJR86" s="16"/>
      <c r="BJS86" s="16"/>
      <c r="BJT86" s="16"/>
      <c r="BJU86" s="16"/>
      <c r="BJV86" s="16"/>
      <c r="BJW86" s="16"/>
      <c r="BJX86" s="16"/>
      <c r="BJY86" s="16"/>
      <c r="BJZ86" s="16"/>
      <c r="BKA86" s="16"/>
      <c r="BKB86" s="16"/>
      <c r="BKC86" s="16"/>
      <c r="BKD86" s="16"/>
      <c r="BKE86" s="16"/>
      <c r="BKF86" s="16"/>
      <c r="BKG86" s="16"/>
      <c r="BKH86" s="16"/>
      <c r="BKI86" s="16"/>
      <c r="BKJ86" s="16"/>
      <c r="BKK86" s="16"/>
      <c r="BKL86" s="16"/>
      <c r="BKM86" s="16"/>
      <c r="BKN86" s="16"/>
      <c r="BKO86" s="16"/>
      <c r="BKP86" s="16"/>
      <c r="BKQ86" s="16"/>
      <c r="BKR86" s="16"/>
      <c r="BKS86" s="16"/>
      <c r="BKT86" s="16"/>
      <c r="BKU86" s="16"/>
      <c r="BKV86" s="16"/>
      <c r="BKW86" s="16"/>
      <c r="BKX86" s="16"/>
      <c r="BKY86" s="16"/>
      <c r="BKZ86" s="16"/>
      <c r="BLA86" s="16"/>
      <c r="BLB86" s="16"/>
      <c r="BLC86" s="16"/>
      <c r="BLD86" s="16"/>
      <c r="BLE86" s="16"/>
      <c r="BLF86" s="16"/>
      <c r="BLG86" s="16"/>
      <c r="BLH86" s="16"/>
      <c r="BLI86" s="16"/>
      <c r="BLJ86" s="16"/>
      <c r="BLK86" s="16"/>
      <c r="BLL86" s="16"/>
      <c r="BLM86" s="16"/>
      <c r="BLN86" s="16"/>
      <c r="BLO86" s="16"/>
      <c r="BLP86" s="16"/>
      <c r="BLQ86" s="16"/>
      <c r="BLR86" s="16"/>
      <c r="BLS86" s="16"/>
      <c r="BLT86" s="16"/>
      <c r="BLU86" s="16"/>
      <c r="BLV86" s="16"/>
      <c r="BLW86" s="16"/>
      <c r="BLX86" s="16"/>
      <c r="BLY86" s="16"/>
      <c r="BLZ86" s="16"/>
      <c r="BMA86" s="16"/>
      <c r="BMB86" s="16"/>
      <c r="BMC86" s="16"/>
      <c r="BMD86" s="16"/>
      <c r="BME86" s="16"/>
      <c r="BMF86" s="16"/>
      <c r="BMG86" s="16"/>
      <c r="BMH86" s="16"/>
      <c r="BMI86" s="16"/>
      <c r="BMJ86" s="16"/>
      <c r="BMK86" s="16"/>
      <c r="BML86" s="16"/>
      <c r="BMM86" s="16"/>
      <c r="BMN86" s="16"/>
      <c r="BMO86" s="16"/>
      <c r="BMP86" s="16"/>
      <c r="BMQ86" s="16"/>
      <c r="BMR86" s="16"/>
      <c r="BMS86" s="16"/>
      <c r="BMT86" s="16"/>
      <c r="BMU86" s="16"/>
      <c r="BMV86" s="16"/>
      <c r="BMW86" s="16"/>
      <c r="BMX86" s="16"/>
      <c r="BMY86" s="16"/>
      <c r="BMZ86" s="16"/>
      <c r="BNA86" s="16"/>
      <c r="BNB86" s="16"/>
      <c r="BNC86" s="16"/>
      <c r="BND86" s="16"/>
      <c r="BNE86" s="16"/>
      <c r="BNF86" s="16"/>
      <c r="BNG86" s="16"/>
      <c r="BNH86" s="16"/>
      <c r="BNI86" s="16"/>
      <c r="BNJ86" s="16"/>
      <c r="BNK86" s="16"/>
      <c r="BNL86" s="16"/>
      <c r="BNM86" s="16"/>
      <c r="BNN86" s="16"/>
      <c r="BNO86" s="16"/>
      <c r="BNP86" s="16"/>
      <c r="BNQ86" s="16"/>
      <c r="BNR86" s="16"/>
      <c r="BNS86" s="16"/>
      <c r="BNT86" s="16"/>
      <c r="BNU86" s="16"/>
      <c r="BNV86" s="16"/>
      <c r="BNW86" s="16"/>
      <c r="BNX86" s="16"/>
      <c r="BNY86" s="16"/>
      <c r="BNZ86" s="16"/>
      <c r="BOA86" s="16"/>
      <c r="BOB86" s="16"/>
      <c r="BOC86" s="16"/>
      <c r="BOD86" s="16"/>
      <c r="BOE86" s="16"/>
      <c r="BOF86" s="16"/>
      <c r="BOG86" s="16"/>
      <c r="BOH86" s="16"/>
      <c r="BOI86" s="16"/>
      <c r="BOJ86" s="16"/>
      <c r="BOK86" s="16"/>
      <c r="BOL86" s="16"/>
      <c r="BOM86" s="16"/>
      <c r="BON86" s="16"/>
      <c r="BOO86" s="16"/>
      <c r="BOP86" s="16"/>
      <c r="BOQ86" s="16"/>
      <c r="BOR86" s="16"/>
      <c r="BOS86" s="16"/>
      <c r="BOT86" s="16"/>
      <c r="BOU86" s="16"/>
      <c r="BOV86" s="16"/>
      <c r="BOW86" s="16"/>
      <c r="BOX86" s="16"/>
      <c r="BOY86" s="16"/>
      <c r="BOZ86" s="16"/>
      <c r="BPA86" s="16"/>
      <c r="BPB86" s="16"/>
      <c r="BPC86" s="16"/>
      <c r="BPD86" s="16"/>
      <c r="BPE86" s="16"/>
      <c r="BPF86" s="16"/>
      <c r="BPG86" s="16"/>
      <c r="BPH86" s="16"/>
      <c r="BPI86" s="16"/>
      <c r="BPJ86" s="16"/>
      <c r="BPK86" s="16"/>
      <c r="BPL86" s="16"/>
      <c r="BPM86" s="16"/>
      <c r="BPN86" s="16"/>
      <c r="BPO86" s="16"/>
      <c r="BPP86" s="16"/>
      <c r="BPQ86" s="16"/>
      <c r="BPR86" s="16"/>
      <c r="BPS86" s="16"/>
      <c r="BPT86" s="16"/>
      <c r="BPU86" s="16"/>
      <c r="BPV86" s="16"/>
      <c r="BPW86" s="16"/>
      <c r="BPX86" s="16"/>
      <c r="BPY86" s="16"/>
      <c r="BPZ86" s="16"/>
      <c r="BQA86" s="16"/>
      <c r="BQB86" s="16"/>
      <c r="BQC86" s="16"/>
      <c r="BQD86" s="16"/>
      <c r="BQE86" s="16"/>
      <c r="BQF86" s="16"/>
      <c r="BQG86" s="16"/>
      <c r="BQH86" s="16"/>
      <c r="BQI86" s="16"/>
      <c r="BQJ86" s="16"/>
      <c r="BQK86" s="16"/>
      <c r="BQL86" s="16"/>
      <c r="BQM86" s="16"/>
      <c r="BQN86" s="16"/>
      <c r="BQO86" s="16"/>
      <c r="BQP86" s="16"/>
      <c r="BQQ86" s="16"/>
      <c r="BQR86" s="16"/>
      <c r="BQS86" s="16"/>
      <c r="BQT86" s="16"/>
      <c r="BQU86" s="16"/>
      <c r="BQV86" s="16"/>
      <c r="BQW86" s="16"/>
      <c r="BQX86" s="16"/>
      <c r="BQY86" s="16"/>
      <c r="BQZ86" s="16"/>
      <c r="BRA86" s="16"/>
      <c r="BRB86" s="16"/>
      <c r="BRC86" s="16"/>
      <c r="BRD86" s="16"/>
      <c r="BRE86" s="16"/>
      <c r="BRF86" s="16"/>
      <c r="BRG86" s="16"/>
      <c r="BRH86" s="16"/>
      <c r="BRI86" s="16"/>
      <c r="BRJ86" s="16"/>
      <c r="BRK86" s="16"/>
      <c r="BRL86" s="16"/>
      <c r="BRM86" s="16"/>
      <c r="BRN86" s="16"/>
      <c r="BRO86" s="16"/>
      <c r="BRP86" s="16"/>
      <c r="BRQ86" s="16"/>
      <c r="BRR86" s="16"/>
      <c r="BRS86" s="16"/>
      <c r="BRT86" s="16"/>
      <c r="BRU86" s="16"/>
      <c r="BRV86" s="16"/>
      <c r="BRW86" s="16"/>
      <c r="BRX86" s="16"/>
      <c r="BRY86" s="16"/>
      <c r="BRZ86" s="16"/>
      <c r="BSA86" s="16"/>
      <c r="BSB86" s="16"/>
      <c r="BSC86" s="16"/>
      <c r="BSD86" s="16"/>
      <c r="BSE86" s="16"/>
      <c r="BSF86" s="16"/>
      <c r="BSG86" s="16"/>
      <c r="BSH86" s="16"/>
      <c r="BSI86" s="16"/>
      <c r="BSJ86" s="16"/>
      <c r="BSK86" s="16"/>
      <c r="BSL86" s="16"/>
      <c r="BSM86" s="16"/>
      <c r="BSN86" s="16"/>
      <c r="BSO86" s="16"/>
      <c r="BSP86" s="16"/>
      <c r="BSQ86" s="16"/>
      <c r="BSR86" s="16"/>
      <c r="BSS86" s="16"/>
      <c r="BST86" s="16"/>
      <c r="BSU86" s="16"/>
      <c r="BSV86" s="16"/>
      <c r="BSW86" s="16"/>
      <c r="BSX86" s="16"/>
      <c r="BSY86" s="16"/>
      <c r="BSZ86" s="16"/>
      <c r="BTA86" s="16"/>
      <c r="BTB86" s="16"/>
      <c r="BTC86" s="16"/>
      <c r="BTD86" s="16"/>
      <c r="BTE86" s="16"/>
      <c r="BTF86" s="16"/>
      <c r="BTG86" s="16"/>
      <c r="BTH86" s="16"/>
    </row>
    <row r="87" spans="1:1880" s="285" customFormat="1" ht="225" customHeight="1" x14ac:dyDescent="0.3">
      <c r="A87" s="64">
        <v>577</v>
      </c>
      <c r="B87" s="249"/>
      <c r="C87" s="249" t="s">
        <v>193</v>
      </c>
      <c r="D87" s="500" t="s">
        <v>741</v>
      </c>
      <c r="E87" s="349"/>
      <c r="F87" s="124"/>
      <c r="G87" s="350" t="str">
        <f>IF(F87="Yes","In this cell - Please include the name of the plan, a brief description of the benefit and the population group that received the benefits."," ")</f>
        <v xml:space="preserve"> </v>
      </c>
      <c r="H87" s="15"/>
      <c r="I87" s="682"/>
      <c r="J87"/>
      <c r="K87" s="16"/>
      <c r="L87"/>
      <c r="M87" s="16"/>
      <c r="N87" s="126"/>
      <c r="O87" s="16"/>
      <c r="P87" s="16"/>
      <c r="Q87" s="16"/>
      <c r="R87" s="16"/>
      <c r="S87" s="16"/>
      <c r="T87" s="16"/>
      <c r="U87" s="16"/>
      <c r="V87" s="16"/>
      <c r="W87" s="16"/>
      <c r="X87" s="16"/>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c r="GF87" s="16"/>
      <c r="GG87" s="16"/>
      <c r="GH87" s="16"/>
      <c r="GI87" s="16"/>
      <c r="GJ87" s="16"/>
      <c r="GK87" s="16"/>
      <c r="GL87" s="16"/>
      <c r="GM87" s="16"/>
      <c r="GN87" s="16"/>
      <c r="GO87" s="16"/>
      <c r="GP87" s="16"/>
      <c r="GQ87" s="16"/>
      <c r="GR87" s="16"/>
      <c r="GS87" s="16"/>
      <c r="GT87" s="16"/>
      <c r="GU87" s="16"/>
      <c r="GV87" s="16"/>
      <c r="GW87" s="16"/>
      <c r="GX87" s="16"/>
      <c r="GY87" s="16"/>
      <c r="GZ87" s="16"/>
      <c r="HA87" s="16"/>
      <c r="HB87" s="16"/>
      <c r="HC87" s="16"/>
      <c r="HD87" s="16"/>
      <c r="HE87" s="16"/>
      <c r="HF87" s="16"/>
      <c r="HG87" s="16"/>
      <c r="HH87" s="16"/>
      <c r="HI87" s="16"/>
      <c r="HJ87" s="16"/>
      <c r="HK87" s="16"/>
      <c r="HL87" s="16"/>
      <c r="HM87" s="16"/>
      <c r="HN87" s="16"/>
      <c r="HO87" s="16"/>
      <c r="HP87" s="16"/>
      <c r="HQ87" s="16"/>
      <c r="HR87" s="16"/>
      <c r="HS87" s="16"/>
      <c r="HT87" s="16"/>
      <c r="HU87" s="16"/>
      <c r="HV87" s="16"/>
      <c r="HW87" s="16"/>
      <c r="HX87" s="16"/>
      <c r="HY87" s="16"/>
      <c r="HZ87" s="16"/>
      <c r="IA87" s="16"/>
      <c r="IB87" s="16"/>
      <c r="IC87" s="16"/>
      <c r="ID87" s="16"/>
      <c r="IE87" s="16"/>
      <c r="IF87" s="16"/>
      <c r="IG87" s="16"/>
      <c r="IH87" s="16"/>
      <c r="II87" s="16"/>
      <c r="IJ87" s="16"/>
      <c r="IK87" s="16"/>
      <c r="IL87" s="16"/>
      <c r="IM87" s="16"/>
      <c r="IN87" s="16"/>
      <c r="IO87" s="16"/>
      <c r="IP87" s="16"/>
      <c r="IQ87" s="16"/>
      <c r="IR87" s="16"/>
      <c r="IS87" s="16"/>
      <c r="IT87" s="16"/>
      <c r="IU87" s="16"/>
      <c r="IV87" s="16"/>
      <c r="IW87" s="16"/>
      <c r="IX87" s="16"/>
      <c r="IY87" s="16"/>
      <c r="IZ87" s="16"/>
      <c r="JA87" s="16"/>
      <c r="JB87" s="16"/>
      <c r="JC87" s="16"/>
      <c r="JD87" s="16"/>
      <c r="JE87" s="16"/>
      <c r="JF87" s="16"/>
      <c r="JG87" s="16"/>
      <c r="JH87" s="16"/>
      <c r="JI87" s="16"/>
      <c r="JJ87" s="16"/>
      <c r="JK87" s="16"/>
      <c r="JL87" s="16"/>
      <c r="JM87" s="16"/>
      <c r="JN87" s="16"/>
      <c r="JO87" s="16"/>
      <c r="JP87" s="16"/>
      <c r="JQ87" s="16"/>
      <c r="JR87" s="16"/>
      <c r="JS87" s="16"/>
      <c r="JT87" s="16"/>
      <c r="JU87" s="16"/>
      <c r="JV87" s="16"/>
      <c r="JW87" s="16"/>
      <c r="JX87" s="16"/>
      <c r="JY87" s="16"/>
      <c r="JZ87" s="16"/>
      <c r="KA87" s="16"/>
      <c r="KB87" s="16"/>
      <c r="KC87" s="16"/>
      <c r="KD87" s="16"/>
      <c r="KE87" s="16"/>
      <c r="KF87" s="16"/>
      <c r="KG87" s="16"/>
      <c r="KH87" s="16"/>
      <c r="KI87" s="16"/>
      <c r="KJ87" s="16"/>
      <c r="KK87" s="16"/>
      <c r="KL87" s="16"/>
      <c r="KM87" s="16"/>
      <c r="KN87" s="16"/>
      <c r="KO87" s="16"/>
      <c r="KP87" s="16"/>
      <c r="KQ87" s="16"/>
      <c r="KR87" s="16"/>
      <c r="KS87" s="16"/>
      <c r="KT87" s="16"/>
      <c r="KU87" s="16"/>
      <c r="KV87" s="16"/>
      <c r="KW87" s="16"/>
      <c r="KX87" s="16"/>
      <c r="KY87" s="16"/>
      <c r="KZ87" s="16"/>
      <c r="LA87" s="16"/>
      <c r="LB87" s="16"/>
      <c r="LC87" s="16"/>
      <c r="LD87" s="16"/>
      <c r="LE87" s="16"/>
      <c r="LF87" s="16"/>
      <c r="LG87" s="16"/>
      <c r="LH87" s="16"/>
      <c r="LI87" s="16"/>
      <c r="LJ87" s="16"/>
      <c r="LK87" s="16"/>
      <c r="LL87" s="16"/>
      <c r="LM87" s="16"/>
      <c r="LN87" s="16"/>
      <c r="LO87" s="16"/>
      <c r="LP87" s="16"/>
      <c r="LQ87" s="16"/>
      <c r="LR87" s="16"/>
      <c r="LS87" s="16"/>
      <c r="LT87" s="16"/>
      <c r="LU87" s="16"/>
      <c r="LV87" s="16"/>
      <c r="LW87" s="16"/>
      <c r="LX87" s="16"/>
      <c r="LY87" s="16"/>
      <c r="LZ87" s="16"/>
      <c r="MA87" s="16"/>
      <c r="MB87" s="16"/>
      <c r="MC87" s="16"/>
      <c r="MD87" s="16"/>
      <c r="ME87" s="16"/>
      <c r="MF87" s="16"/>
      <c r="MG87" s="16"/>
      <c r="MH87" s="16"/>
      <c r="MI87" s="16"/>
      <c r="MJ87" s="16"/>
      <c r="MK87" s="16"/>
      <c r="ML87" s="16"/>
      <c r="MM87" s="16"/>
      <c r="MN87" s="16"/>
      <c r="MO87" s="16"/>
      <c r="MP87" s="16"/>
      <c r="MQ87" s="16"/>
      <c r="MR87" s="16"/>
      <c r="MS87" s="16"/>
      <c r="MT87" s="16"/>
      <c r="MU87" s="16"/>
      <c r="MV87" s="16"/>
      <c r="MW87" s="16"/>
      <c r="MX87" s="16"/>
      <c r="MY87" s="16"/>
      <c r="MZ87" s="16"/>
      <c r="NA87" s="16"/>
      <c r="NB87" s="16"/>
      <c r="NC87" s="16"/>
      <c r="ND87" s="16"/>
      <c r="NE87" s="16"/>
      <c r="NF87" s="16"/>
      <c r="NG87" s="16"/>
      <c r="NH87" s="16"/>
      <c r="NI87" s="16"/>
      <c r="NJ87" s="16"/>
      <c r="NK87" s="16"/>
      <c r="NL87" s="16"/>
      <c r="NM87" s="16"/>
      <c r="NN87" s="16"/>
      <c r="NO87" s="16"/>
      <c r="NP87" s="16"/>
      <c r="NQ87" s="16"/>
      <c r="NR87" s="16"/>
      <c r="NS87" s="16"/>
      <c r="NT87" s="16"/>
      <c r="NU87" s="16"/>
      <c r="NV87" s="16"/>
      <c r="NW87" s="16"/>
      <c r="NX87" s="16"/>
      <c r="NY87" s="16"/>
      <c r="NZ87" s="16"/>
      <c r="OA87" s="16"/>
      <c r="OB87" s="16"/>
      <c r="OC87" s="16"/>
      <c r="OD87" s="16"/>
      <c r="OE87" s="16"/>
      <c r="OF87" s="16"/>
      <c r="OG87" s="16"/>
      <c r="OH87" s="16"/>
      <c r="OI87" s="16"/>
      <c r="OJ87" s="16"/>
      <c r="OK87" s="16"/>
      <c r="OL87" s="16"/>
      <c r="OM87" s="16"/>
      <c r="ON87" s="16"/>
      <c r="OO87" s="16"/>
      <c r="OP87" s="16"/>
      <c r="OQ87" s="16"/>
      <c r="OR87" s="16"/>
      <c r="OS87" s="16"/>
      <c r="OT87" s="16"/>
      <c r="OU87" s="16"/>
      <c r="OV87" s="16"/>
      <c r="OW87" s="16"/>
      <c r="OX87" s="16"/>
      <c r="OY87" s="16"/>
      <c r="OZ87" s="16"/>
      <c r="PA87" s="16"/>
      <c r="PB87" s="16"/>
      <c r="PC87" s="16"/>
      <c r="PD87" s="16"/>
      <c r="PE87" s="16"/>
      <c r="PF87" s="16"/>
      <c r="PG87" s="16"/>
      <c r="PH87" s="16"/>
      <c r="PI87" s="16"/>
      <c r="PJ87" s="16"/>
      <c r="PK87" s="16"/>
      <c r="PL87" s="16"/>
      <c r="PM87" s="16"/>
      <c r="PN87" s="16"/>
      <c r="PO87" s="16"/>
      <c r="PP87" s="16"/>
      <c r="PQ87" s="16"/>
      <c r="PR87" s="16"/>
      <c r="PS87" s="16"/>
      <c r="PT87" s="16"/>
      <c r="PU87" s="16"/>
      <c r="PV87" s="16"/>
      <c r="PW87" s="16"/>
      <c r="PX87" s="16"/>
      <c r="PY87" s="16"/>
      <c r="PZ87" s="16"/>
      <c r="QA87" s="16"/>
      <c r="QB87" s="16"/>
      <c r="QC87" s="16"/>
      <c r="QD87" s="16"/>
      <c r="QE87" s="16"/>
      <c r="QF87" s="16"/>
      <c r="QG87" s="16"/>
      <c r="QH87" s="16"/>
      <c r="QI87" s="16"/>
      <c r="QJ87" s="16"/>
      <c r="QK87" s="16"/>
      <c r="QL87" s="16"/>
      <c r="QM87" s="16"/>
      <c r="QN87" s="16"/>
      <c r="QO87" s="16"/>
      <c r="QP87" s="16"/>
      <c r="QQ87" s="16"/>
      <c r="QR87" s="16"/>
      <c r="QS87" s="16"/>
      <c r="QT87" s="16"/>
      <c r="QU87" s="16"/>
      <c r="QV87" s="16"/>
      <c r="QW87" s="16"/>
      <c r="QX87" s="16"/>
      <c r="QY87" s="16"/>
      <c r="QZ87" s="16"/>
      <c r="RA87" s="16"/>
      <c r="RB87" s="16"/>
      <c r="RC87" s="16"/>
      <c r="RD87" s="16"/>
      <c r="RE87" s="16"/>
      <c r="RF87" s="16"/>
      <c r="RG87" s="16"/>
      <c r="RH87" s="16"/>
      <c r="RI87" s="16"/>
      <c r="RJ87" s="16"/>
      <c r="RK87" s="16"/>
      <c r="RL87" s="16"/>
      <c r="RM87" s="16"/>
      <c r="RN87" s="16"/>
      <c r="RO87" s="16"/>
      <c r="RP87" s="16"/>
      <c r="RQ87" s="16"/>
      <c r="RR87" s="16"/>
      <c r="RS87" s="16"/>
      <c r="RT87" s="16"/>
      <c r="RU87" s="16"/>
      <c r="RV87" s="16"/>
      <c r="RW87" s="16"/>
      <c r="RX87" s="16"/>
      <c r="RY87" s="16"/>
      <c r="RZ87" s="16"/>
      <c r="SA87" s="16"/>
      <c r="SB87" s="16"/>
      <c r="SC87" s="16"/>
      <c r="SD87" s="16"/>
      <c r="SE87" s="16"/>
      <c r="SF87" s="16"/>
      <c r="SG87" s="16"/>
      <c r="SH87" s="16"/>
      <c r="SI87" s="16"/>
      <c r="SJ87" s="16"/>
      <c r="SK87" s="16"/>
      <c r="SL87" s="16"/>
      <c r="SM87" s="16"/>
      <c r="SN87" s="16"/>
      <c r="SO87" s="16"/>
      <c r="SP87" s="16"/>
      <c r="SQ87" s="16"/>
      <c r="SR87" s="16"/>
      <c r="SS87" s="16"/>
      <c r="ST87" s="16"/>
      <c r="SU87" s="16"/>
      <c r="SV87" s="16"/>
      <c r="SW87" s="16"/>
      <c r="SX87" s="16"/>
      <c r="SY87" s="16"/>
      <c r="SZ87" s="16"/>
      <c r="TA87" s="16"/>
      <c r="TB87" s="16"/>
      <c r="TC87" s="16"/>
      <c r="TD87" s="16"/>
      <c r="TE87" s="16"/>
      <c r="TF87" s="16"/>
      <c r="TG87" s="16"/>
      <c r="TH87" s="16"/>
      <c r="TI87" s="16"/>
      <c r="TJ87" s="16"/>
      <c r="TK87" s="16"/>
      <c r="TL87" s="16"/>
      <c r="TM87" s="16"/>
      <c r="TN87" s="16"/>
      <c r="TO87" s="16"/>
      <c r="TP87" s="16"/>
      <c r="TQ87" s="16"/>
      <c r="TR87" s="16"/>
      <c r="TS87" s="16"/>
      <c r="TT87" s="16"/>
      <c r="TU87" s="16"/>
      <c r="TV87" s="16"/>
      <c r="TW87" s="16"/>
      <c r="TX87" s="16"/>
      <c r="TY87" s="16"/>
      <c r="TZ87" s="16"/>
      <c r="UA87" s="16"/>
      <c r="UB87" s="16"/>
      <c r="UC87" s="16"/>
      <c r="UD87" s="16"/>
      <c r="UE87" s="16"/>
      <c r="UF87" s="16"/>
      <c r="UG87" s="16"/>
      <c r="UH87" s="16"/>
      <c r="UI87" s="16"/>
      <c r="UJ87" s="16"/>
      <c r="UK87" s="16"/>
      <c r="UL87" s="16"/>
      <c r="UM87" s="16"/>
      <c r="UN87" s="16"/>
      <c r="UO87" s="16"/>
      <c r="UP87" s="16"/>
      <c r="UQ87" s="16"/>
      <c r="UR87" s="16"/>
      <c r="US87" s="16"/>
      <c r="UT87" s="16"/>
      <c r="UU87" s="16"/>
      <c r="UV87" s="16"/>
      <c r="UW87" s="16"/>
      <c r="UX87" s="16"/>
      <c r="UY87" s="16"/>
      <c r="UZ87" s="16"/>
      <c r="VA87" s="16"/>
      <c r="VB87" s="16"/>
      <c r="VC87" s="16"/>
      <c r="VD87" s="16"/>
      <c r="VE87" s="16"/>
      <c r="VF87" s="16"/>
      <c r="VG87" s="16"/>
      <c r="VH87" s="16"/>
      <c r="VI87" s="16"/>
      <c r="VJ87" s="16"/>
      <c r="VK87" s="16"/>
      <c r="VL87" s="16"/>
      <c r="VM87" s="16"/>
      <c r="VN87" s="16"/>
      <c r="VO87" s="16"/>
      <c r="VP87" s="16"/>
      <c r="VQ87" s="16"/>
      <c r="VR87" s="16"/>
      <c r="VS87" s="16"/>
      <c r="VT87" s="16"/>
      <c r="VU87" s="16"/>
      <c r="VV87" s="16"/>
      <c r="VW87" s="16"/>
      <c r="VX87" s="16"/>
      <c r="VY87" s="16"/>
      <c r="VZ87" s="16"/>
      <c r="WA87" s="16"/>
      <c r="WB87" s="16"/>
      <c r="WC87" s="16"/>
      <c r="WD87" s="16"/>
      <c r="WE87" s="16"/>
      <c r="WF87" s="16"/>
      <c r="WG87" s="16"/>
      <c r="WH87" s="16"/>
      <c r="WI87" s="16"/>
      <c r="WJ87" s="16"/>
      <c r="WK87" s="16"/>
      <c r="WL87" s="16"/>
      <c r="WM87" s="16"/>
      <c r="WN87" s="16"/>
      <c r="WO87" s="16"/>
      <c r="WP87" s="16"/>
      <c r="WQ87" s="16"/>
      <c r="WR87" s="16"/>
      <c r="WS87" s="16"/>
      <c r="WT87" s="16"/>
      <c r="WU87" s="16"/>
      <c r="WV87" s="16"/>
      <c r="WW87" s="16"/>
      <c r="WX87" s="16"/>
      <c r="WY87" s="16"/>
      <c r="WZ87" s="16"/>
      <c r="XA87" s="16"/>
      <c r="XB87" s="16"/>
      <c r="XC87" s="16"/>
      <c r="XD87" s="16"/>
      <c r="XE87" s="16"/>
      <c r="XF87" s="16"/>
      <c r="XG87" s="16"/>
      <c r="XH87" s="16"/>
      <c r="XI87" s="16"/>
      <c r="XJ87" s="16"/>
      <c r="XK87" s="16"/>
      <c r="XL87" s="16"/>
      <c r="XM87" s="16"/>
      <c r="XN87" s="16"/>
      <c r="XO87" s="16"/>
      <c r="XP87" s="16"/>
      <c r="XQ87" s="16"/>
      <c r="XR87" s="16"/>
      <c r="XS87" s="16"/>
      <c r="XT87" s="16"/>
      <c r="XU87" s="16"/>
      <c r="XV87" s="16"/>
      <c r="XW87" s="16"/>
      <c r="XX87" s="16"/>
      <c r="XY87" s="16"/>
      <c r="XZ87" s="16"/>
      <c r="YA87" s="16"/>
      <c r="YB87" s="16"/>
      <c r="YC87" s="16"/>
      <c r="YD87" s="16"/>
      <c r="YE87" s="16"/>
      <c r="YF87" s="16"/>
      <c r="YG87" s="16"/>
      <c r="YH87" s="16"/>
      <c r="YI87" s="16"/>
      <c r="YJ87" s="16"/>
      <c r="YK87" s="16"/>
      <c r="YL87" s="16"/>
      <c r="YM87" s="16"/>
      <c r="YN87" s="16"/>
      <c r="YO87" s="16"/>
      <c r="YP87" s="16"/>
      <c r="YQ87" s="16"/>
      <c r="YR87" s="16"/>
      <c r="YS87" s="16"/>
      <c r="YT87" s="16"/>
      <c r="YU87" s="16"/>
      <c r="YV87" s="16"/>
      <c r="YW87" s="16"/>
      <c r="YX87" s="16"/>
      <c r="YY87" s="16"/>
      <c r="YZ87" s="16"/>
      <c r="ZA87" s="16"/>
      <c r="ZB87" s="16"/>
      <c r="ZC87" s="16"/>
      <c r="ZD87" s="16"/>
      <c r="ZE87" s="16"/>
      <c r="ZF87" s="16"/>
      <c r="ZG87" s="16"/>
      <c r="ZH87" s="16"/>
      <c r="ZI87" s="16"/>
      <c r="ZJ87" s="16"/>
      <c r="ZK87" s="16"/>
      <c r="ZL87" s="16"/>
      <c r="ZM87" s="16"/>
      <c r="ZN87" s="16"/>
      <c r="ZO87" s="16"/>
      <c r="ZP87" s="16"/>
      <c r="ZQ87" s="16"/>
      <c r="ZR87" s="16"/>
      <c r="ZS87" s="16"/>
      <c r="ZT87" s="16"/>
      <c r="ZU87" s="16"/>
      <c r="ZV87" s="16"/>
      <c r="ZW87" s="16"/>
      <c r="ZX87" s="16"/>
      <c r="ZY87" s="16"/>
      <c r="ZZ87" s="16"/>
      <c r="AAA87" s="16"/>
      <c r="AAB87" s="16"/>
      <c r="AAC87" s="16"/>
      <c r="AAD87" s="16"/>
      <c r="AAE87" s="16"/>
      <c r="AAF87" s="16"/>
      <c r="AAG87" s="16"/>
      <c r="AAH87" s="16"/>
      <c r="AAI87" s="16"/>
      <c r="AAJ87" s="16"/>
      <c r="AAK87" s="16"/>
      <c r="AAL87" s="16"/>
      <c r="AAM87" s="16"/>
      <c r="AAN87" s="16"/>
      <c r="AAO87" s="16"/>
      <c r="AAP87" s="16"/>
      <c r="AAQ87" s="16"/>
      <c r="AAR87" s="16"/>
      <c r="AAS87" s="16"/>
      <c r="AAT87" s="16"/>
      <c r="AAU87" s="16"/>
      <c r="AAV87" s="16"/>
      <c r="AAW87" s="16"/>
      <c r="AAX87" s="16"/>
      <c r="AAY87" s="16"/>
      <c r="AAZ87" s="16"/>
      <c r="ABA87" s="16"/>
      <c r="ABB87" s="16"/>
      <c r="ABC87" s="16"/>
      <c r="ABD87" s="16"/>
      <c r="ABE87" s="16"/>
      <c r="ABF87" s="16"/>
      <c r="ABG87" s="16"/>
      <c r="ABH87" s="16"/>
      <c r="ABI87" s="16"/>
      <c r="ABJ87" s="16"/>
      <c r="ABK87" s="16"/>
      <c r="ABL87" s="16"/>
      <c r="ABM87" s="16"/>
      <c r="ABN87" s="16"/>
      <c r="ABO87" s="16"/>
      <c r="ABP87" s="16"/>
      <c r="ABQ87" s="16"/>
      <c r="ABR87" s="16"/>
      <c r="ABS87" s="16"/>
      <c r="ABT87" s="16"/>
      <c r="ABU87" s="16"/>
      <c r="ABV87" s="16"/>
      <c r="ABW87" s="16"/>
      <c r="ABX87" s="16"/>
      <c r="ABY87" s="16"/>
      <c r="ABZ87" s="16"/>
      <c r="ACA87" s="16"/>
      <c r="ACB87" s="16"/>
      <c r="ACC87" s="16"/>
      <c r="ACD87" s="16"/>
      <c r="ACE87" s="16"/>
      <c r="ACF87" s="16"/>
      <c r="ACG87" s="16"/>
      <c r="ACH87" s="16"/>
      <c r="ACI87" s="16"/>
      <c r="ACJ87" s="16"/>
      <c r="ACK87" s="16"/>
      <c r="ACL87" s="16"/>
      <c r="ACM87" s="16"/>
      <c r="ACN87" s="16"/>
      <c r="ACO87" s="16"/>
      <c r="ACP87" s="16"/>
      <c r="ACQ87" s="16"/>
      <c r="ACR87" s="16"/>
      <c r="ACS87" s="16"/>
      <c r="ACT87" s="16"/>
      <c r="ACU87" s="16"/>
      <c r="ACV87" s="16"/>
      <c r="ACW87" s="16"/>
      <c r="ACX87" s="16"/>
      <c r="ACY87" s="16"/>
      <c r="ACZ87" s="16"/>
      <c r="ADA87" s="16"/>
      <c r="ADB87" s="16"/>
      <c r="ADC87" s="16"/>
      <c r="ADD87" s="16"/>
      <c r="ADE87" s="16"/>
      <c r="ADF87" s="16"/>
      <c r="ADG87" s="16"/>
      <c r="ADH87" s="16"/>
      <c r="ADI87" s="16"/>
      <c r="ADJ87" s="16"/>
      <c r="ADK87" s="16"/>
      <c r="ADL87" s="16"/>
      <c r="ADM87" s="16"/>
      <c r="ADN87" s="16"/>
      <c r="ADO87" s="16"/>
      <c r="ADP87" s="16"/>
      <c r="ADQ87" s="16"/>
      <c r="ADR87" s="16"/>
      <c r="ADS87" s="16"/>
      <c r="ADT87" s="16"/>
      <c r="ADU87" s="16"/>
      <c r="ADV87" s="16"/>
      <c r="ADW87" s="16"/>
      <c r="ADX87" s="16"/>
      <c r="ADY87" s="16"/>
      <c r="ADZ87" s="16"/>
      <c r="AEA87" s="16"/>
      <c r="AEB87" s="16"/>
      <c r="AEC87" s="16"/>
      <c r="AED87" s="16"/>
      <c r="AEE87" s="16"/>
      <c r="AEF87" s="16"/>
      <c r="AEG87" s="16"/>
      <c r="AEH87" s="16"/>
      <c r="AEI87" s="16"/>
      <c r="AEJ87" s="16"/>
      <c r="AEK87" s="16"/>
      <c r="AEL87" s="16"/>
      <c r="AEM87" s="16"/>
      <c r="AEN87" s="16"/>
      <c r="AEO87" s="16"/>
      <c r="AEP87" s="16"/>
      <c r="AEQ87" s="16"/>
      <c r="AER87" s="16"/>
      <c r="AES87" s="16"/>
      <c r="AET87" s="16"/>
      <c r="AEU87" s="16"/>
      <c r="AEV87" s="16"/>
      <c r="AEW87" s="16"/>
      <c r="AEX87" s="16"/>
      <c r="AEY87" s="16"/>
      <c r="AEZ87" s="16"/>
      <c r="AFA87" s="16"/>
      <c r="AFB87" s="16"/>
      <c r="AFC87" s="16"/>
      <c r="AFD87" s="16"/>
      <c r="AFE87" s="16"/>
      <c r="AFF87" s="16"/>
      <c r="AFG87" s="16"/>
      <c r="AFH87" s="16"/>
      <c r="AFI87" s="16"/>
      <c r="AFJ87" s="16"/>
      <c r="AFK87" s="16"/>
      <c r="AFL87" s="16"/>
      <c r="AFM87" s="16"/>
      <c r="AFN87" s="16"/>
      <c r="AFO87" s="16"/>
      <c r="AFP87" s="16"/>
      <c r="AFQ87" s="16"/>
      <c r="AFR87" s="16"/>
      <c r="AFS87" s="16"/>
      <c r="AFT87" s="16"/>
      <c r="AFU87" s="16"/>
      <c r="AFV87" s="16"/>
      <c r="AFW87" s="16"/>
      <c r="AFX87" s="16"/>
      <c r="AFY87" s="16"/>
      <c r="AFZ87" s="16"/>
      <c r="AGA87" s="16"/>
      <c r="AGB87" s="16"/>
      <c r="AGC87" s="16"/>
      <c r="AGD87" s="16"/>
      <c r="AGE87" s="16"/>
      <c r="AGF87" s="16"/>
      <c r="AGG87" s="16"/>
      <c r="AGH87" s="16"/>
      <c r="AGI87" s="16"/>
      <c r="AGJ87" s="16"/>
      <c r="AGK87" s="16"/>
      <c r="AGL87" s="16"/>
      <c r="AGM87" s="16"/>
      <c r="AGN87" s="16"/>
      <c r="AGO87" s="16"/>
      <c r="AGP87" s="16"/>
      <c r="AGQ87" s="16"/>
      <c r="AGR87" s="16"/>
      <c r="AGS87" s="16"/>
      <c r="AGT87" s="16"/>
      <c r="AGU87" s="16"/>
      <c r="AGV87" s="16"/>
      <c r="AGW87" s="16"/>
      <c r="AGX87" s="16"/>
      <c r="AGY87" s="16"/>
      <c r="AGZ87" s="16"/>
      <c r="AHA87" s="16"/>
      <c r="AHB87" s="16"/>
      <c r="AHC87" s="16"/>
      <c r="AHD87" s="16"/>
      <c r="AHE87" s="16"/>
      <c r="AHF87" s="16"/>
      <c r="AHG87" s="16"/>
      <c r="AHH87" s="16"/>
      <c r="AHI87" s="16"/>
      <c r="AHJ87" s="16"/>
      <c r="AHK87" s="16"/>
      <c r="AHL87" s="16"/>
      <c r="AHM87" s="16"/>
      <c r="AHN87" s="16"/>
      <c r="AHO87" s="16"/>
      <c r="AHP87" s="16"/>
      <c r="AHQ87" s="16"/>
      <c r="AHR87" s="16"/>
      <c r="AHS87" s="16"/>
      <c r="AHT87" s="16"/>
      <c r="AHU87" s="16"/>
      <c r="AHV87" s="16"/>
      <c r="AHW87" s="16"/>
      <c r="AHX87" s="16"/>
      <c r="AHY87" s="16"/>
      <c r="AHZ87" s="16"/>
      <c r="AIA87" s="16"/>
      <c r="AIB87" s="16"/>
      <c r="AIC87" s="16"/>
      <c r="AID87" s="16"/>
      <c r="AIE87" s="16"/>
      <c r="AIF87" s="16"/>
      <c r="AIG87" s="16"/>
      <c r="AIH87" s="16"/>
      <c r="AII87" s="16"/>
      <c r="AIJ87" s="16"/>
      <c r="AIK87" s="16"/>
      <c r="AIL87" s="16"/>
      <c r="AIM87" s="16"/>
      <c r="AIN87" s="16"/>
      <c r="AIO87" s="16"/>
      <c r="AIP87" s="16"/>
      <c r="AIQ87" s="16"/>
      <c r="AIR87" s="16"/>
      <c r="AIS87" s="16"/>
      <c r="AIT87" s="16"/>
      <c r="AIU87" s="16"/>
      <c r="AIV87" s="16"/>
      <c r="AIW87" s="16"/>
      <c r="AIX87" s="16"/>
      <c r="AIY87" s="16"/>
      <c r="AIZ87" s="16"/>
      <c r="AJA87" s="16"/>
      <c r="AJB87" s="16"/>
      <c r="AJC87" s="16"/>
      <c r="AJD87" s="16"/>
      <c r="AJE87" s="16"/>
      <c r="AJF87" s="16"/>
      <c r="AJG87" s="16"/>
      <c r="AJH87" s="16"/>
      <c r="AJI87" s="16"/>
      <c r="AJJ87" s="16"/>
      <c r="AJK87" s="16"/>
      <c r="AJL87" s="16"/>
      <c r="AJM87" s="16"/>
      <c r="AJN87" s="16"/>
      <c r="AJO87" s="16"/>
      <c r="AJP87" s="16"/>
      <c r="AJQ87" s="16"/>
      <c r="AJR87" s="16"/>
      <c r="AJS87" s="16"/>
      <c r="AJT87" s="16"/>
      <c r="AJU87" s="16"/>
      <c r="AJV87" s="16"/>
      <c r="AJW87" s="16"/>
      <c r="AJX87" s="16"/>
      <c r="AJY87" s="16"/>
      <c r="AJZ87" s="16"/>
      <c r="AKA87" s="16"/>
      <c r="AKB87" s="16"/>
      <c r="AKC87" s="16"/>
      <c r="AKD87" s="16"/>
      <c r="AKE87" s="16"/>
      <c r="AKF87" s="16"/>
      <c r="AKG87" s="16"/>
      <c r="AKH87" s="16"/>
      <c r="AKI87" s="16"/>
      <c r="AKJ87" s="16"/>
      <c r="AKK87" s="16"/>
      <c r="AKL87" s="16"/>
      <c r="AKM87" s="16"/>
      <c r="AKN87" s="16"/>
      <c r="AKO87" s="16"/>
      <c r="AKP87" s="16"/>
      <c r="AKQ87" s="16"/>
      <c r="AKR87" s="16"/>
      <c r="AKS87" s="16"/>
      <c r="AKT87" s="16"/>
      <c r="AKU87" s="16"/>
      <c r="AKV87" s="16"/>
      <c r="AKW87" s="16"/>
      <c r="AKX87" s="16"/>
      <c r="AKY87" s="16"/>
      <c r="AKZ87" s="16"/>
      <c r="ALA87" s="16"/>
      <c r="ALB87" s="16"/>
      <c r="ALC87" s="16"/>
      <c r="ALD87" s="16"/>
      <c r="ALE87" s="16"/>
      <c r="ALF87" s="16"/>
      <c r="ALG87" s="16"/>
      <c r="ALH87" s="16"/>
      <c r="ALI87" s="16"/>
      <c r="ALJ87" s="16"/>
      <c r="ALK87" s="16"/>
      <c r="ALL87" s="16"/>
      <c r="ALM87" s="16"/>
      <c r="ALN87" s="16"/>
      <c r="ALO87" s="16"/>
      <c r="ALP87" s="16"/>
      <c r="ALQ87" s="16"/>
      <c r="ALR87" s="16"/>
      <c r="ALS87" s="16"/>
      <c r="ALT87" s="16"/>
      <c r="ALU87" s="16"/>
      <c r="ALV87" s="16"/>
      <c r="ALW87" s="16"/>
      <c r="ALX87" s="16"/>
      <c r="ALY87" s="16"/>
      <c r="ALZ87" s="16"/>
      <c r="AMA87" s="16"/>
      <c r="AMB87" s="16"/>
      <c r="AMC87" s="16"/>
      <c r="AMD87" s="16"/>
      <c r="AME87" s="16"/>
      <c r="AMF87" s="16"/>
      <c r="AMG87" s="16"/>
      <c r="AMH87" s="16"/>
      <c r="AMI87" s="16"/>
      <c r="AMJ87" s="16"/>
      <c r="AMK87" s="16"/>
      <c r="AML87" s="16"/>
      <c r="AMM87" s="16"/>
      <c r="AMN87" s="16"/>
      <c r="AMO87" s="16"/>
      <c r="AMP87" s="16"/>
      <c r="AMQ87" s="16"/>
      <c r="AMR87" s="16"/>
      <c r="AMS87" s="16"/>
      <c r="AMT87" s="16"/>
      <c r="AMU87" s="16"/>
      <c r="AMV87" s="16"/>
      <c r="AMW87" s="16"/>
      <c r="AMX87" s="16"/>
      <c r="AMY87" s="16"/>
      <c r="AMZ87" s="16"/>
      <c r="ANA87" s="16"/>
      <c r="ANB87" s="16"/>
      <c r="ANC87" s="16"/>
      <c r="AND87" s="16"/>
      <c r="ANE87" s="16"/>
      <c r="ANF87" s="16"/>
      <c r="ANG87" s="16"/>
      <c r="ANH87" s="16"/>
      <c r="ANI87" s="16"/>
      <c r="ANJ87" s="16"/>
      <c r="ANK87" s="16"/>
      <c r="ANL87" s="16"/>
      <c r="ANM87" s="16"/>
      <c r="ANN87" s="16"/>
      <c r="ANO87" s="16"/>
      <c r="ANP87" s="16"/>
      <c r="ANQ87" s="16"/>
      <c r="ANR87" s="16"/>
      <c r="ANS87" s="16"/>
      <c r="ANT87" s="16"/>
      <c r="ANU87" s="16"/>
      <c r="ANV87" s="16"/>
      <c r="ANW87" s="16"/>
      <c r="ANX87" s="16"/>
      <c r="ANY87" s="16"/>
      <c r="ANZ87" s="16"/>
      <c r="AOA87" s="16"/>
      <c r="AOB87" s="16"/>
      <c r="AOC87" s="16"/>
      <c r="AOD87" s="16"/>
      <c r="AOE87" s="16"/>
      <c r="AOF87" s="16"/>
      <c r="AOG87" s="16"/>
      <c r="AOH87" s="16"/>
      <c r="AOI87" s="16"/>
      <c r="AOJ87" s="16"/>
      <c r="AOK87" s="16"/>
      <c r="AOL87" s="16"/>
      <c r="AOM87" s="16"/>
      <c r="AON87" s="16"/>
      <c r="AOO87" s="16"/>
      <c r="AOP87" s="16"/>
      <c r="AOQ87" s="16"/>
      <c r="AOR87" s="16"/>
      <c r="AOS87" s="16"/>
      <c r="AOT87" s="16"/>
      <c r="AOU87" s="16"/>
      <c r="AOV87" s="16"/>
      <c r="AOW87" s="16"/>
      <c r="AOX87" s="16"/>
      <c r="AOY87" s="16"/>
      <c r="AOZ87" s="16"/>
      <c r="APA87" s="16"/>
      <c r="APB87" s="16"/>
      <c r="APC87" s="16"/>
      <c r="APD87" s="16"/>
      <c r="APE87" s="16"/>
      <c r="APF87" s="16"/>
      <c r="APG87" s="16"/>
      <c r="APH87" s="16"/>
      <c r="API87" s="16"/>
      <c r="APJ87" s="16"/>
      <c r="APK87" s="16"/>
      <c r="APL87" s="16"/>
      <c r="APM87" s="16"/>
      <c r="APN87" s="16"/>
      <c r="APO87" s="16"/>
      <c r="APP87" s="16"/>
      <c r="APQ87" s="16"/>
      <c r="APR87" s="16"/>
      <c r="APS87" s="16"/>
      <c r="APT87" s="16"/>
      <c r="APU87" s="16"/>
      <c r="APV87" s="16"/>
      <c r="APW87" s="16"/>
      <c r="APX87" s="16"/>
      <c r="APY87" s="16"/>
      <c r="APZ87" s="16"/>
      <c r="AQA87" s="16"/>
      <c r="AQB87" s="16"/>
      <c r="AQC87" s="16"/>
      <c r="AQD87" s="16"/>
      <c r="AQE87" s="16"/>
      <c r="AQF87" s="16"/>
      <c r="AQG87" s="16"/>
      <c r="AQH87" s="16"/>
      <c r="AQI87" s="16"/>
      <c r="AQJ87" s="16"/>
      <c r="AQK87" s="16"/>
      <c r="AQL87" s="16"/>
      <c r="AQM87" s="16"/>
      <c r="AQN87" s="16"/>
      <c r="AQO87" s="16"/>
      <c r="AQP87" s="16"/>
      <c r="AQQ87" s="16"/>
      <c r="AQR87" s="16"/>
      <c r="AQS87" s="16"/>
      <c r="AQT87" s="16"/>
      <c r="AQU87" s="16"/>
      <c r="AQV87" s="16"/>
      <c r="AQW87" s="16"/>
      <c r="AQX87" s="16"/>
      <c r="AQY87" s="16"/>
      <c r="AQZ87" s="16"/>
      <c r="ARA87" s="16"/>
      <c r="ARB87" s="16"/>
      <c r="ARC87" s="16"/>
      <c r="ARD87" s="16"/>
      <c r="ARE87" s="16"/>
      <c r="ARF87" s="16"/>
      <c r="ARG87" s="16"/>
      <c r="ARH87" s="16"/>
      <c r="ARI87" s="16"/>
      <c r="ARJ87" s="16"/>
      <c r="ARK87" s="16"/>
      <c r="ARL87" s="16"/>
      <c r="ARM87" s="16"/>
      <c r="ARN87" s="16"/>
      <c r="ARO87" s="16"/>
      <c r="ARP87" s="16"/>
      <c r="ARQ87" s="16"/>
      <c r="ARR87" s="16"/>
      <c r="ARS87" s="16"/>
      <c r="ART87" s="16"/>
      <c r="ARU87" s="16"/>
      <c r="ARV87" s="16"/>
      <c r="ARW87" s="16"/>
      <c r="ARX87" s="16"/>
      <c r="ARY87" s="16"/>
      <c r="ARZ87" s="16"/>
      <c r="ASA87" s="16"/>
      <c r="ASB87" s="16"/>
      <c r="ASC87" s="16"/>
      <c r="ASD87" s="16"/>
      <c r="ASE87" s="16"/>
      <c r="ASF87" s="16"/>
      <c r="ASG87" s="16"/>
      <c r="ASH87" s="16"/>
      <c r="ASI87" s="16"/>
      <c r="ASJ87" s="16"/>
      <c r="ASK87" s="16"/>
      <c r="ASL87" s="16"/>
      <c r="ASM87" s="16"/>
      <c r="ASN87" s="16"/>
      <c r="ASO87" s="16"/>
      <c r="ASP87" s="16"/>
      <c r="ASQ87" s="16"/>
      <c r="ASR87" s="16"/>
      <c r="ASS87" s="16"/>
      <c r="AST87" s="16"/>
      <c r="ASU87" s="16"/>
      <c r="ASV87" s="16"/>
      <c r="ASW87" s="16"/>
      <c r="ASX87" s="16"/>
      <c r="ASY87" s="16"/>
      <c r="ASZ87" s="16"/>
      <c r="ATA87" s="16"/>
      <c r="ATB87" s="16"/>
      <c r="ATC87" s="16"/>
      <c r="ATD87" s="16"/>
      <c r="ATE87" s="16"/>
      <c r="ATF87" s="16"/>
      <c r="ATG87" s="16"/>
      <c r="ATH87" s="16"/>
      <c r="ATI87" s="16"/>
      <c r="ATJ87" s="16"/>
      <c r="ATK87" s="16"/>
      <c r="ATL87" s="16"/>
      <c r="ATM87" s="16"/>
      <c r="ATN87" s="16"/>
      <c r="ATO87" s="16"/>
      <c r="ATP87" s="16"/>
      <c r="ATQ87" s="16"/>
      <c r="ATR87" s="16"/>
      <c r="ATS87" s="16"/>
      <c r="ATT87" s="16"/>
      <c r="ATU87" s="16"/>
      <c r="ATV87" s="16"/>
      <c r="ATW87" s="16"/>
      <c r="ATX87" s="16"/>
      <c r="ATY87" s="16"/>
      <c r="ATZ87" s="16"/>
      <c r="AUA87" s="16"/>
      <c r="AUB87" s="16"/>
      <c r="AUC87" s="16"/>
      <c r="AUD87" s="16"/>
      <c r="AUE87" s="16"/>
      <c r="AUF87" s="16"/>
      <c r="AUG87" s="16"/>
      <c r="AUH87" s="16"/>
      <c r="AUI87" s="16"/>
      <c r="AUJ87" s="16"/>
      <c r="AUK87" s="16"/>
      <c r="AUL87" s="16"/>
      <c r="AUM87" s="16"/>
      <c r="AUN87" s="16"/>
      <c r="AUO87" s="16"/>
      <c r="AUP87" s="16"/>
      <c r="AUQ87" s="16"/>
      <c r="AUR87" s="16"/>
      <c r="AUS87" s="16"/>
      <c r="AUT87" s="16"/>
      <c r="AUU87" s="16"/>
      <c r="AUV87" s="16"/>
      <c r="AUW87" s="16"/>
      <c r="AUX87" s="16"/>
      <c r="AUY87" s="16"/>
      <c r="AUZ87" s="16"/>
      <c r="AVA87" s="16"/>
      <c r="AVB87" s="16"/>
      <c r="AVC87" s="16"/>
      <c r="AVD87" s="16"/>
      <c r="AVE87" s="16"/>
      <c r="AVF87" s="16"/>
      <c r="AVG87" s="16"/>
      <c r="AVH87" s="16"/>
      <c r="AVI87" s="16"/>
      <c r="AVJ87" s="16"/>
      <c r="AVK87" s="16"/>
      <c r="AVL87" s="16"/>
      <c r="AVM87" s="16"/>
      <c r="AVN87" s="16"/>
      <c r="AVO87" s="16"/>
      <c r="AVP87" s="16"/>
      <c r="AVQ87" s="16"/>
      <c r="AVR87" s="16"/>
      <c r="AVS87" s="16"/>
      <c r="AVT87" s="16"/>
      <c r="AVU87" s="16"/>
      <c r="AVV87" s="16"/>
      <c r="AVW87" s="16"/>
      <c r="AVX87" s="16"/>
      <c r="AVY87" s="16"/>
      <c r="AVZ87" s="16"/>
      <c r="AWA87" s="16"/>
      <c r="AWB87" s="16"/>
      <c r="AWC87" s="16"/>
      <c r="AWD87" s="16"/>
      <c r="AWE87" s="16"/>
      <c r="AWF87" s="16"/>
      <c r="AWG87" s="16"/>
      <c r="AWH87" s="16"/>
      <c r="AWI87" s="16"/>
      <c r="AWJ87" s="16"/>
      <c r="AWK87" s="16"/>
      <c r="AWL87" s="16"/>
      <c r="AWM87" s="16"/>
      <c r="AWN87" s="16"/>
      <c r="AWO87" s="16"/>
      <c r="AWP87" s="16"/>
      <c r="AWQ87" s="16"/>
      <c r="AWR87" s="16"/>
      <c r="AWS87" s="16"/>
      <c r="AWT87" s="16"/>
      <c r="AWU87" s="16"/>
      <c r="AWV87" s="16"/>
      <c r="AWW87" s="16"/>
      <c r="AWX87" s="16"/>
      <c r="AWY87" s="16"/>
      <c r="AWZ87" s="16"/>
      <c r="AXA87" s="16"/>
      <c r="AXB87" s="16"/>
      <c r="AXC87" s="16"/>
      <c r="AXD87" s="16"/>
      <c r="AXE87" s="16"/>
      <c r="AXF87" s="16"/>
      <c r="AXG87" s="16"/>
      <c r="AXH87" s="16"/>
      <c r="AXI87" s="16"/>
      <c r="AXJ87" s="16"/>
      <c r="AXK87" s="16"/>
      <c r="AXL87" s="16"/>
      <c r="AXM87" s="16"/>
      <c r="AXN87" s="16"/>
      <c r="AXO87" s="16"/>
      <c r="AXP87" s="16"/>
      <c r="AXQ87" s="16"/>
      <c r="AXR87" s="16"/>
      <c r="AXS87" s="16"/>
      <c r="AXT87" s="16"/>
      <c r="AXU87" s="16"/>
      <c r="AXV87" s="16"/>
      <c r="AXW87" s="16"/>
      <c r="AXX87" s="16"/>
      <c r="AXY87" s="16"/>
      <c r="AXZ87" s="16"/>
      <c r="AYA87" s="16"/>
      <c r="AYB87" s="16"/>
      <c r="AYC87" s="16"/>
      <c r="AYD87" s="16"/>
      <c r="AYE87" s="16"/>
      <c r="AYF87" s="16"/>
      <c r="AYG87" s="16"/>
      <c r="AYH87" s="16"/>
      <c r="AYI87" s="16"/>
      <c r="AYJ87" s="16"/>
      <c r="AYK87" s="16"/>
      <c r="AYL87" s="16"/>
      <c r="AYM87" s="16"/>
      <c r="AYN87" s="16"/>
      <c r="AYO87" s="16"/>
      <c r="AYP87" s="16"/>
      <c r="AYQ87" s="16"/>
      <c r="AYR87" s="16"/>
      <c r="AYS87" s="16"/>
      <c r="AYT87" s="16"/>
      <c r="AYU87" s="16"/>
      <c r="AYV87" s="16"/>
      <c r="AYW87" s="16"/>
      <c r="AYX87" s="16"/>
      <c r="AYY87" s="16"/>
      <c r="AYZ87" s="16"/>
      <c r="AZA87" s="16"/>
      <c r="AZB87" s="16"/>
      <c r="AZC87" s="16"/>
      <c r="AZD87" s="16"/>
      <c r="AZE87" s="16"/>
      <c r="AZF87" s="16"/>
      <c r="AZG87" s="16"/>
      <c r="AZH87" s="16"/>
      <c r="AZI87" s="16"/>
      <c r="AZJ87" s="16"/>
      <c r="AZK87" s="16"/>
      <c r="AZL87" s="16"/>
      <c r="AZM87" s="16"/>
      <c r="AZN87" s="16"/>
      <c r="AZO87" s="16"/>
      <c r="AZP87" s="16"/>
      <c r="AZQ87" s="16"/>
      <c r="AZR87" s="16"/>
      <c r="AZS87" s="16"/>
      <c r="AZT87" s="16"/>
      <c r="AZU87" s="16"/>
      <c r="AZV87" s="16"/>
      <c r="AZW87" s="16"/>
      <c r="AZX87" s="16"/>
      <c r="AZY87" s="16"/>
      <c r="AZZ87" s="16"/>
      <c r="BAA87" s="16"/>
      <c r="BAB87" s="16"/>
      <c r="BAC87" s="16"/>
      <c r="BAD87" s="16"/>
      <c r="BAE87" s="16"/>
      <c r="BAF87" s="16"/>
      <c r="BAG87" s="16"/>
      <c r="BAH87" s="16"/>
      <c r="BAI87" s="16"/>
      <c r="BAJ87" s="16"/>
      <c r="BAK87" s="16"/>
      <c r="BAL87" s="16"/>
      <c r="BAM87" s="16"/>
      <c r="BAN87" s="16"/>
      <c r="BAO87" s="16"/>
      <c r="BAP87" s="16"/>
      <c r="BAQ87" s="16"/>
      <c r="BAR87" s="16"/>
      <c r="BAS87" s="16"/>
      <c r="BAT87" s="16"/>
      <c r="BAU87" s="16"/>
      <c r="BAV87" s="16"/>
      <c r="BAW87" s="16"/>
      <c r="BAX87" s="16"/>
      <c r="BAY87" s="16"/>
      <c r="BAZ87" s="16"/>
      <c r="BBA87" s="16"/>
      <c r="BBB87" s="16"/>
      <c r="BBC87" s="16"/>
      <c r="BBD87" s="16"/>
      <c r="BBE87" s="16"/>
      <c r="BBF87" s="16"/>
      <c r="BBG87" s="16"/>
      <c r="BBH87" s="16"/>
      <c r="BBI87" s="16"/>
      <c r="BBJ87" s="16"/>
      <c r="BBK87" s="16"/>
      <c r="BBL87" s="16"/>
      <c r="BBM87" s="16"/>
      <c r="BBN87" s="16"/>
      <c r="BBO87" s="16"/>
      <c r="BBP87" s="16"/>
      <c r="BBQ87" s="16"/>
      <c r="BBR87" s="16"/>
      <c r="BBS87" s="16"/>
      <c r="BBT87" s="16"/>
      <c r="BBU87" s="16"/>
      <c r="BBV87" s="16"/>
      <c r="BBW87" s="16"/>
      <c r="BBX87" s="16"/>
      <c r="BBY87" s="16"/>
      <c r="BBZ87" s="16"/>
      <c r="BCA87" s="16"/>
      <c r="BCB87" s="16"/>
      <c r="BCC87" s="16"/>
      <c r="BCD87" s="16"/>
      <c r="BCE87" s="16"/>
      <c r="BCF87" s="16"/>
      <c r="BCG87" s="16"/>
      <c r="BCH87" s="16"/>
      <c r="BCI87" s="16"/>
      <c r="BCJ87" s="16"/>
      <c r="BCK87" s="16"/>
      <c r="BCL87" s="16"/>
      <c r="BCM87" s="16"/>
      <c r="BCN87" s="16"/>
      <c r="BCO87" s="16"/>
      <c r="BCP87" s="16"/>
      <c r="BCQ87" s="16"/>
      <c r="BCR87" s="16"/>
      <c r="BCS87" s="16"/>
      <c r="BCT87" s="16"/>
      <c r="BCU87" s="16"/>
      <c r="BCV87" s="16"/>
      <c r="BCW87" s="16"/>
      <c r="BCX87" s="16"/>
      <c r="BCY87" s="16"/>
      <c r="BCZ87" s="16"/>
      <c r="BDA87" s="16"/>
      <c r="BDB87" s="16"/>
      <c r="BDC87" s="16"/>
      <c r="BDD87" s="16"/>
      <c r="BDE87" s="16"/>
      <c r="BDF87" s="16"/>
      <c r="BDG87" s="16"/>
      <c r="BDH87" s="16"/>
      <c r="BDI87" s="16"/>
      <c r="BDJ87" s="16"/>
      <c r="BDK87" s="16"/>
      <c r="BDL87" s="16"/>
      <c r="BDM87" s="16"/>
      <c r="BDN87" s="16"/>
      <c r="BDO87" s="16"/>
      <c r="BDP87" s="16"/>
      <c r="BDQ87" s="16"/>
      <c r="BDR87" s="16"/>
      <c r="BDS87" s="16"/>
      <c r="BDT87" s="16"/>
      <c r="BDU87" s="16"/>
      <c r="BDV87" s="16"/>
      <c r="BDW87" s="16"/>
      <c r="BDX87" s="16"/>
      <c r="BDY87" s="16"/>
      <c r="BDZ87" s="16"/>
      <c r="BEA87" s="16"/>
      <c r="BEB87" s="16"/>
      <c r="BEC87" s="16"/>
      <c r="BED87" s="16"/>
      <c r="BEE87" s="16"/>
      <c r="BEF87" s="16"/>
      <c r="BEG87" s="16"/>
      <c r="BEH87" s="16"/>
      <c r="BEI87" s="16"/>
      <c r="BEJ87" s="16"/>
      <c r="BEK87" s="16"/>
      <c r="BEL87" s="16"/>
      <c r="BEM87" s="16"/>
      <c r="BEN87" s="16"/>
      <c r="BEO87" s="16"/>
      <c r="BEP87" s="16"/>
      <c r="BEQ87" s="16"/>
      <c r="BER87" s="16"/>
      <c r="BES87" s="16"/>
      <c r="BET87" s="16"/>
      <c r="BEU87" s="16"/>
      <c r="BEV87" s="16"/>
      <c r="BEW87" s="16"/>
      <c r="BEX87" s="16"/>
      <c r="BEY87" s="16"/>
      <c r="BEZ87" s="16"/>
      <c r="BFA87" s="16"/>
      <c r="BFB87" s="16"/>
      <c r="BFC87" s="16"/>
      <c r="BFD87" s="16"/>
      <c r="BFE87" s="16"/>
      <c r="BFF87" s="16"/>
      <c r="BFG87" s="16"/>
      <c r="BFH87" s="16"/>
      <c r="BFI87" s="16"/>
      <c r="BFJ87" s="16"/>
      <c r="BFK87" s="16"/>
      <c r="BFL87" s="16"/>
      <c r="BFM87" s="16"/>
      <c r="BFN87" s="16"/>
      <c r="BFO87" s="16"/>
      <c r="BFP87" s="16"/>
      <c r="BFQ87" s="16"/>
      <c r="BFR87" s="16"/>
      <c r="BFS87" s="16"/>
      <c r="BFT87" s="16"/>
      <c r="BFU87" s="16"/>
      <c r="BFV87" s="16"/>
      <c r="BFW87" s="16"/>
      <c r="BFX87" s="16"/>
      <c r="BFY87" s="16"/>
      <c r="BFZ87" s="16"/>
      <c r="BGA87" s="16"/>
      <c r="BGB87" s="16"/>
      <c r="BGC87" s="16"/>
      <c r="BGD87" s="16"/>
      <c r="BGE87" s="16"/>
      <c r="BGF87" s="16"/>
      <c r="BGG87" s="16"/>
      <c r="BGH87" s="16"/>
      <c r="BGI87" s="16"/>
      <c r="BGJ87" s="16"/>
      <c r="BGK87" s="16"/>
      <c r="BGL87" s="16"/>
      <c r="BGM87" s="16"/>
      <c r="BGN87" s="16"/>
      <c r="BGO87" s="16"/>
      <c r="BGP87" s="16"/>
      <c r="BGQ87" s="16"/>
      <c r="BGR87" s="16"/>
      <c r="BGS87" s="16"/>
      <c r="BGT87" s="16"/>
      <c r="BGU87" s="16"/>
      <c r="BGV87" s="16"/>
      <c r="BGW87" s="16"/>
      <c r="BGX87" s="16"/>
      <c r="BGY87" s="16"/>
      <c r="BGZ87" s="16"/>
      <c r="BHA87" s="16"/>
      <c r="BHB87" s="16"/>
      <c r="BHC87" s="16"/>
      <c r="BHD87" s="16"/>
      <c r="BHE87" s="16"/>
      <c r="BHF87" s="16"/>
      <c r="BHG87" s="16"/>
      <c r="BHH87" s="16"/>
      <c r="BHI87" s="16"/>
      <c r="BHJ87" s="16"/>
      <c r="BHK87" s="16"/>
      <c r="BHL87" s="16"/>
      <c r="BHM87" s="16"/>
      <c r="BHN87" s="16"/>
      <c r="BHO87" s="16"/>
      <c r="BHP87" s="16"/>
      <c r="BHQ87" s="16"/>
      <c r="BHR87" s="16"/>
      <c r="BHS87" s="16"/>
      <c r="BHT87" s="16"/>
      <c r="BHU87" s="16"/>
      <c r="BHV87" s="16"/>
      <c r="BHW87" s="16"/>
      <c r="BHX87" s="16"/>
      <c r="BHY87" s="16"/>
      <c r="BHZ87" s="16"/>
      <c r="BIA87" s="16"/>
      <c r="BIB87" s="16"/>
      <c r="BIC87" s="16"/>
      <c r="BID87" s="16"/>
      <c r="BIE87" s="16"/>
      <c r="BIF87" s="16"/>
      <c r="BIG87" s="16"/>
      <c r="BIH87" s="16"/>
      <c r="BII87" s="16"/>
      <c r="BIJ87" s="16"/>
      <c r="BIK87" s="16"/>
      <c r="BIL87" s="16"/>
      <c r="BIM87" s="16"/>
      <c r="BIN87" s="16"/>
      <c r="BIO87" s="16"/>
      <c r="BIP87" s="16"/>
      <c r="BIQ87" s="16"/>
      <c r="BIR87" s="16"/>
      <c r="BIS87" s="16"/>
      <c r="BIT87" s="16"/>
      <c r="BIU87" s="16"/>
      <c r="BIV87" s="16"/>
      <c r="BIW87" s="16"/>
      <c r="BIX87" s="16"/>
      <c r="BIY87" s="16"/>
      <c r="BIZ87" s="16"/>
      <c r="BJA87" s="16"/>
      <c r="BJB87" s="16"/>
      <c r="BJC87" s="16"/>
      <c r="BJD87" s="16"/>
      <c r="BJE87" s="16"/>
      <c r="BJF87" s="16"/>
      <c r="BJG87" s="16"/>
      <c r="BJH87" s="16"/>
      <c r="BJI87" s="16"/>
      <c r="BJJ87" s="16"/>
      <c r="BJK87" s="16"/>
      <c r="BJL87" s="16"/>
      <c r="BJM87" s="16"/>
      <c r="BJN87" s="16"/>
      <c r="BJO87" s="16"/>
      <c r="BJP87" s="16"/>
      <c r="BJQ87" s="16"/>
      <c r="BJR87" s="16"/>
      <c r="BJS87" s="16"/>
      <c r="BJT87" s="16"/>
      <c r="BJU87" s="16"/>
      <c r="BJV87" s="16"/>
      <c r="BJW87" s="16"/>
      <c r="BJX87" s="16"/>
      <c r="BJY87" s="16"/>
      <c r="BJZ87" s="16"/>
      <c r="BKA87" s="16"/>
      <c r="BKB87" s="16"/>
      <c r="BKC87" s="16"/>
      <c r="BKD87" s="16"/>
      <c r="BKE87" s="16"/>
      <c r="BKF87" s="16"/>
      <c r="BKG87" s="16"/>
      <c r="BKH87" s="16"/>
      <c r="BKI87" s="16"/>
      <c r="BKJ87" s="16"/>
      <c r="BKK87" s="16"/>
      <c r="BKL87" s="16"/>
      <c r="BKM87" s="16"/>
      <c r="BKN87" s="16"/>
      <c r="BKO87" s="16"/>
      <c r="BKP87" s="16"/>
      <c r="BKQ87" s="16"/>
      <c r="BKR87" s="16"/>
      <c r="BKS87" s="16"/>
      <c r="BKT87" s="16"/>
      <c r="BKU87" s="16"/>
      <c r="BKV87" s="16"/>
      <c r="BKW87" s="16"/>
      <c r="BKX87" s="16"/>
      <c r="BKY87" s="16"/>
      <c r="BKZ87" s="16"/>
      <c r="BLA87" s="16"/>
      <c r="BLB87" s="16"/>
      <c r="BLC87" s="16"/>
      <c r="BLD87" s="16"/>
      <c r="BLE87" s="16"/>
      <c r="BLF87" s="16"/>
      <c r="BLG87" s="16"/>
      <c r="BLH87" s="16"/>
      <c r="BLI87" s="16"/>
      <c r="BLJ87" s="16"/>
      <c r="BLK87" s="16"/>
      <c r="BLL87" s="16"/>
      <c r="BLM87" s="16"/>
      <c r="BLN87" s="16"/>
      <c r="BLO87" s="16"/>
      <c r="BLP87" s="16"/>
      <c r="BLQ87" s="16"/>
      <c r="BLR87" s="16"/>
      <c r="BLS87" s="16"/>
      <c r="BLT87" s="16"/>
      <c r="BLU87" s="16"/>
      <c r="BLV87" s="16"/>
      <c r="BLW87" s="16"/>
      <c r="BLX87" s="16"/>
      <c r="BLY87" s="16"/>
      <c r="BLZ87" s="16"/>
      <c r="BMA87" s="16"/>
      <c r="BMB87" s="16"/>
      <c r="BMC87" s="16"/>
      <c r="BMD87" s="16"/>
      <c r="BME87" s="16"/>
      <c r="BMF87" s="16"/>
      <c r="BMG87" s="16"/>
      <c r="BMH87" s="16"/>
      <c r="BMI87" s="16"/>
      <c r="BMJ87" s="16"/>
      <c r="BMK87" s="16"/>
      <c r="BML87" s="16"/>
      <c r="BMM87" s="16"/>
      <c r="BMN87" s="16"/>
      <c r="BMO87" s="16"/>
      <c r="BMP87" s="16"/>
      <c r="BMQ87" s="16"/>
      <c r="BMR87" s="16"/>
      <c r="BMS87" s="16"/>
      <c r="BMT87" s="16"/>
      <c r="BMU87" s="16"/>
      <c r="BMV87" s="16"/>
      <c r="BMW87" s="16"/>
      <c r="BMX87" s="16"/>
      <c r="BMY87" s="16"/>
      <c r="BMZ87" s="16"/>
      <c r="BNA87" s="16"/>
      <c r="BNB87" s="16"/>
      <c r="BNC87" s="16"/>
      <c r="BND87" s="16"/>
      <c r="BNE87" s="16"/>
      <c r="BNF87" s="16"/>
      <c r="BNG87" s="16"/>
      <c r="BNH87" s="16"/>
      <c r="BNI87" s="16"/>
      <c r="BNJ87" s="16"/>
      <c r="BNK87" s="16"/>
      <c r="BNL87" s="16"/>
      <c r="BNM87" s="16"/>
      <c r="BNN87" s="16"/>
      <c r="BNO87" s="16"/>
      <c r="BNP87" s="16"/>
      <c r="BNQ87" s="16"/>
      <c r="BNR87" s="16"/>
      <c r="BNS87" s="16"/>
      <c r="BNT87" s="16"/>
      <c r="BNU87" s="16"/>
      <c r="BNV87" s="16"/>
      <c r="BNW87" s="16"/>
      <c r="BNX87" s="16"/>
      <c r="BNY87" s="16"/>
      <c r="BNZ87" s="16"/>
      <c r="BOA87" s="16"/>
      <c r="BOB87" s="16"/>
      <c r="BOC87" s="16"/>
      <c r="BOD87" s="16"/>
      <c r="BOE87" s="16"/>
      <c r="BOF87" s="16"/>
      <c r="BOG87" s="16"/>
      <c r="BOH87" s="16"/>
      <c r="BOI87" s="16"/>
      <c r="BOJ87" s="16"/>
      <c r="BOK87" s="16"/>
      <c r="BOL87" s="16"/>
      <c r="BOM87" s="16"/>
      <c r="BON87" s="16"/>
      <c r="BOO87" s="16"/>
      <c r="BOP87" s="16"/>
      <c r="BOQ87" s="16"/>
      <c r="BOR87" s="16"/>
      <c r="BOS87" s="16"/>
      <c r="BOT87" s="16"/>
      <c r="BOU87" s="16"/>
      <c r="BOV87" s="16"/>
      <c r="BOW87" s="16"/>
      <c r="BOX87" s="16"/>
      <c r="BOY87" s="16"/>
      <c r="BOZ87" s="16"/>
      <c r="BPA87" s="16"/>
      <c r="BPB87" s="16"/>
      <c r="BPC87" s="16"/>
      <c r="BPD87" s="16"/>
      <c r="BPE87" s="16"/>
      <c r="BPF87" s="16"/>
      <c r="BPG87" s="16"/>
      <c r="BPH87" s="16"/>
      <c r="BPI87" s="16"/>
      <c r="BPJ87" s="16"/>
      <c r="BPK87" s="16"/>
      <c r="BPL87" s="16"/>
      <c r="BPM87" s="16"/>
      <c r="BPN87" s="16"/>
      <c r="BPO87" s="16"/>
      <c r="BPP87" s="16"/>
      <c r="BPQ87" s="16"/>
      <c r="BPR87" s="16"/>
      <c r="BPS87" s="16"/>
      <c r="BPT87" s="16"/>
      <c r="BPU87" s="16"/>
      <c r="BPV87" s="16"/>
      <c r="BPW87" s="16"/>
      <c r="BPX87" s="16"/>
      <c r="BPY87" s="16"/>
      <c r="BPZ87" s="16"/>
      <c r="BQA87" s="16"/>
      <c r="BQB87" s="16"/>
      <c r="BQC87" s="16"/>
      <c r="BQD87" s="16"/>
      <c r="BQE87" s="16"/>
      <c r="BQF87" s="16"/>
      <c r="BQG87" s="16"/>
      <c r="BQH87" s="16"/>
      <c r="BQI87" s="16"/>
      <c r="BQJ87" s="16"/>
      <c r="BQK87" s="16"/>
      <c r="BQL87" s="16"/>
      <c r="BQM87" s="16"/>
      <c r="BQN87" s="16"/>
      <c r="BQO87" s="16"/>
      <c r="BQP87" s="16"/>
      <c r="BQQ87" s="16"/>
      <c r="BQR87" s="16"/>
      <c r="BQS87" s="16"/>
      <c r="BQT87" s="16"/>
      <c r="BQU87" s="16"/>
      <c r="BQV87" s="16"/>
      <c r="BQW87" s="16"/>
      <c r="BQX87" s="16"/>
      <c r="BQY87" s="16"/>
      <c r="BQZ87" s="16"/>
      <c r="BRA87" s="16"/>
      <c r="BRB87" s="16"/>
      <c r="BRC87" s="16"/>
      <c r="BRD87" s="16"/>
      <c r="BRE87" s="16"/>
      <c r="BRF87" s="16"/>
      <c r="BRG87" s="16"/>
      <c r="BRH87" s="16"/>
      <c r="BRI87" s="16"/>
      <c r="BRJ87" s="16"/>
      <c r="BRK87" s="16"/>
      <c r="BRL87" s="16"/>
      <c r="BRM87" s="16"/>
      <c r="BRN87" s="16"/>
      <c r="BRO87" s="16"/>
      <c r="BRP87" s="16"/>
      <c r="BRQ87" s="16"/>
      <c r="BRR87" s="16"/>
      <c r="BRS87" s="16"/>
      <c r="BRT87" s="16"/>
      <c r="BRU87" s="16"/>
      <c r="BRV87" s="16"/>
      <c r="BRW87" s="16"/>
      <c r="BRX87" s="16"/>
      <c r="BRY87" s="16"/>
      <c r="BRZ87" s="16"/>
      <c r="BSA87" s="16"/>
      <c r="BSB87" s="16"/>
      <c r="BSC87" s="16"/>
      <c r="BSD87" s="16"/>
      <c r="BSE87" s="16"/>
      <c r="BSF87" s="16"/>
      <c r="BSG87" s="16"/>
      <c r="BSH87" s="16"/>
      <c r="BSI87" s="16"/>
      <c r="BSJ87" s="16"/>
      <c r="BSK87" s="16"/>
      <c r="BSL87" s="16"/>
      <c r="BSM87" s="16"/>
      <c r="BSN87" s="16"/>
      <c r="BSO87" s="16"/>
      <c r="BSP87" s="16"/>
      <c r="BSQ87" s="16"/>
      <c r="BSR87" s="16"/>
      <c r="BSS87" s="16"/>
      <c r="BST87" s="16"/>
      <c r="BSU87" s="16"/>
      <c r="BSV87" s="16"/>
      <c r="BSW87" s="16"/>
      <c r="BSX87" s="16"/>
      <c r="BSY87" s="16"/>
      <c r="BSZ87" s="16"/>
      <c r="BTA87" s="16"/>
      <c r="BTB87" s="16"/>
      <c r="BTC87" s="16"/>
      <c r="BTD87" s="16"/>
      <c r="BTE87" s="16"/>
      <c r="BTF87" s="16"/>
      <c r="BTG87" s="16"/>
      <c r="BTH87" s="16"/>
    </row>
    <row r="88" spans="1:1880" ht="35.25" customHeight="1" x14ac:dyDescent="0.3">
      <c r="A88" s="64"/>
      <c r="B88" s="316" t="s">
        <v>3</v>
      </c>
      <c r="C88" s="565"/>
      <c r="D88" s="303"/>
      <c r="E88" s="522"/>
      <c r="F88" s="320"/>
      <c r="G88" s="305"/>
      <c r="H88" s="15"/>
      <c r="I88" s="682"/>
      <c r="J88"/>
    </row>
    <row r="89" spans="1:1880" ht="176.25" customHeight="1" x14ac:dyDescent="0.3">
      <c r="A89" s="64">
        <v>547</v>
      </c>
      <c r="B89" s="249"/>
      <c r="C89" s="249" t="s">
        <v>81</v>
      </c>
      <c r="D89" s="145" t="s">
        <v>742</v>
      </c>
      <c r="E89" s="248" t="e">
        <f>INDEX('PY1 Data(H)'!$A$1:$CZ$135,MATCH('Unit Data from Audit Worksheet'!$A89,'PY1 Data(H)'!$A$1:$A$135,0),MATCH('Unit Data from Audit Worksheet'!$D$2,'PY1 Data(H)'!$A$1:$CZ$1,0))</f>
        <v>#N/A</v>
      </c>
      <c r="F89" s="125"/>
      <c r="G89" s="286" t="str">
        <f>IF(F89&lt;1,"Please answer this question","")</f>
        <v>Please answer this question</v>
      </c>
      <c r="H89" s="278"/>
      <c r="I89" s="680"/>
      <c r="J89"/>
    </row>
    <row r="90" spans="1:1880" s="16" customFormat="1" ht="123" customHeight="1" x14ac:dyDescent="0.3">
      <c r="A90" s="129">
        <v>659</v>
      </c>
      <c r="B90" s="561" t="s">
        <v>23</v>
      </c>
      <c r="C90" s="561" t="s">
        <v>230</v>
      </c>
      <c r="D90" s="131" t="s">
        <v>346</v>
      </c>
      <c r="E90" s="248" t="e">
        <f>INDEX('PY1 Data(H)'!$A$1:$CZ$135,MATCH('Unit Data from Audit Worksheet'!$A90,'PY1 Data(H)'!$A$1:$A$135,0),MATCH('Unit Data from Audit Worksheet'!$D$2,'PY1 Data(H)'!$A$1:$CZ$1,0))</f>
        <v>#N/A</v>
      </c>
      <c r="F90" s="125">
        <v>0</v>
      </c>
      <c r="G90" s="287" t="s">
        <v>347</v>
      </c>
      <c r="H90" s="537" t="str">
        <f>IF(F90&lt;1,"Please answer this question if applicable","")</f>
        <v>Please answer this question if applicable</v>
      </c>
      <c r="I90" s="681"/>
      <c r="J90"/>
      <c r="L90"/>
      <c r="N90" s="126"/>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row>
    <row r="91" spans="1:1880" ht="65.25" customHeight="1" x14ac:dyDescent="0.3">
      <c r="A91" s="129">
        <v>660</v>
      </c>
      <c r="B91" s="561" t="s">
        <v>23</v>
      </c>
      <c r="C91" s="561" t="s">
        <v>230</v>
      </c>
      <c r="D91" s="131" t="s">
        <v>348</v>
      </c>
      <c r="E91" s="248" t="e">
        <f>INDEX('PY1 Data(H)'!$A$1:$CZ$135,MATCH('Unit Data from Audit Worksheet'!$A91,'PY1 Data(H)'!$A$1:$A$135,0),MATCH('Unit Data from Audit Worksheet'!$D$2,'PY1 Data(H)'!$A$1:$CZ$1,0))</f>
        <v>#N/A</v>
      </c>
      <c r="F91" s="125">
        <v>0</v>
      </c>
      <c r="G91" s="287" t="str">
        <f>IF(F91&lt;1,"Please answer this question if applicable","")</f>
        <v>Please answer this question if applicable</v>
      </c>
      <c r="H91" s="277"/>
      <c r="I91" s="682"/>
      <c r="J91"/>
    </row>
    <row r="92" spans="1:1880" ht="94.5" customHeight="1" x14ac:dyDescent="0.3">
      <c r="A92" s="129">
        <v>661</v>
      </c>
      <c r="B92" s="561" t="s">
        <v>23</v>
      </c>
      <c r="C92" s="561" t="s">
        <v>232</v>
      </c>
      <c r="D92" s="501" t="s">
        <v>349</v>
      </c>
      <c r="E92" s="248" t="e">
        <f>INDEX('PY1 Data(H)'!$A$1:$CZ$135,MATCH('Unit Data from Audit Worksheet'!$A92,'PY1 Data(H)'!$A$1:$A$135,0),MATCH('Unit Data from Audit Worksheet'!$D$2,'PY1 Data(H)'!$A$1:$CZ$1,0))</f>
        <v>#N/A</v>
      </c>
      <c r="F92" s="120">
        <v>0</v>
      </c>
      <c r="G92" s="287" t="str">
        <f>IF((F92&lt;1),"Please answer this question if applicable ",IF(F91=H91,"","Please review percentage"))</f>
        <v xml:space="preserve">Please answer this question if applicable </v>
      </c>
      <c r="H92" s="709">
        <f>ROUND(IFERROR((F91/F90)*100,0),1)</f>
        <v>0</v>
      </c>
      <c r="I92" s="704"/>
      <c r="J92"/>
    </row>
    <row r="93" spans="1:1880" ht="111.75" customHeight="1" x14ac:dyDescent="0.3">
      <c r="A93" s="64"/>
      <c r="B93" s="249"/>
      <c r="C93" s="249"/>
      <c r="D93" s="502" t="s">
        <v>4</v>
      </c>
      <c r="E93" s="319"/>
      <c r="F93" s="453"/>
      <c r="G93" s="287"/>
      <c r="H93" s="288"/>
      <c r="I93" s="705"/>
      <c r="J93"/>
    </row>
    <row r="94" spans="1:1880" ht="32.25" customHeight="1" x14ac:dyDescent="0.3">
      <c r="A94" s="64"/>
      <c r="B94" s="316" t="s">
        <v>5</v>
      </c>
      <c r="C94" s="565"/>
      <c r="D94" s="303"/>
      <c r="E94" s="320"/>
      <c r="F94" s="526"/>
      <c r="G94" s="305"/>
      <c r="H94" s="15"/>
      <c r="I94" s="682"/>
      <c r="J94"/>
    </row>
    <row r="95" spans="1:1880" ht="68.25" customHeight="1" x14ac:dyDescent="0.3">
      <c r="A95" s="64">
        <v>6</v>
      </c>
      <c r="B95" s="3" t="s">
        <v>21</v>
      </c>
      <c r="C95" s="3" t="s">
        <v>82</v>
      </c>
      <c r="D95" s="257" t="s">
        <v>382</v>
      </c>
      <c r="E95" s="248" t="e">
        <f>INDEX('PY1 Data(H)'!$A$1:$CZ$135,MATCH('Unit Data from Audit Worksheet'!$A95,'PY1 Data(H)'!$A$1:$A$135,0),MATCH('Unit Data from Audit Worksheet'!$D$2,'PY1 Data(H)'!$A$1:$CZ$1,0))</f>
        <v>#N/A</v>
      </c>
      <c r="F95" s="125">
        <v>0</v>
      </c>
      <c r="G95" s="277">
        <f>IF(F95&lt;0,"Error: Enter as positive.",)</f>
        <v>0</v>
      </c>
      <c r="H95" s="15"/>
      <c r="I95" s="682"/>
      <c r="J95"/>
    </row>
    <row r="96" spans="1:1880" ht="123.75" customHeight="1" x14ac:dyDescent="0.3">
      <c r="A96" s="527"/>
      <c r="B96" s="726" t="s">
        <v>298</v>
      </c>
      <c r="C96" s="726"/>
      <c r="D96" s="726"/>
      <c r="E96" s="528"/>
      <c r="F96" s="528"/>
      <c r="G96" s="326"/>
      <c r="H96" s="15"/>
      <c r="I96" s="706"/>
      <c r="J96"/>
      <c r="M96" s="16" t="s">
        <v>301</v>
      </c>
    </row>
    <row r="97" spans="1:15" ht="63" customHeight="1" x14ac:dyDescent="0.3">
      <c r="A97" s="129">
        <v>947</v>
      </c>
      <c r="B97" s="131"/>
      <c r="C97" s="131"/>
      <c r="D97" s="501" t="s">
        <v>276</v>
      </c>
      <c r="E97" s="384"/>
      <c r="F97" s="712"/>
      <c r="G97" s="286" t="str">
        <f>IF(ISBLANK(F97),"Please do not leave blank","")</f>
        <v>Please do not leave blank</v>
      </c>
      <c r="H97" s="15"/>
      <c r="I97" s="682"/>
      <c r="J97"/>
      <c r="K97" s="126"/>
      <c r="M97" s="126"/>
      <c r="O97" s="126"/>
    </row>
    <row r="98" spans="1:15" ht="65.25" customHeight="1" x14ac:dyDescent="0.3">
      <c r="A98" s="129">
        <v>948</v>
      </c>
      <c r="B98" s="131"/>
      <c r="C98" s="131"/>
      <c r="D98" s="501" t="s">
        <v>277</v>
      </c>
      <c r="E98" s="384"/>
      <c r="F98" s="712"/>
      <c r="G98" s="286" t="str">
        <f t="shared" ref="G98:G100" si="2">IF(ISBLANK(F98),"Please do not leave blank","")</f>
        <v>Please do not leave blank</v>
      </c>
      <c r="H98" s="15"/>
      <c r="I98" s="682"/>
      <c r="J98"/>
      <c r="K98" s="126"/>
      <c r="M98" s="126"/>
      <c r="O98" s="126"/>
    </row>
    <row r="99" spans="1:15" ht="76.5" customHeight="1" x14ac:dyDescent="0.3">
      <c r="A99" s="129">
        <v>949</v>
      </c>
      <c r="B99" s="131"/>
      <c r="C99" s="131"/>
      <c r="D99" s="501" t="s">
        <v>278</v>
      </c>
      <c r="E99" s="384"/>
      <c r="F99" s="712"/>
      <c r="G99" s="286" t="str">
        <f t="shared" si="2"/>
        <v>Please do not leave blank</v>
      </c>
      <c r="H99" s="15"/>
      <c r="I99" s="682"/>
      <c r="J99"/>
      <c r="K99" s="126"/>
      <c r="M99" s="126"/>
      <c r="O99" s="126"/>
    </row>
    <row r="100" spans="1:15" ht="60" customHeight="1" x14ac:dyDescent="0.3">
      <c r="A100" s="129">
        <v>950</v>
      </c>
      <c r="B100" s="131"/>
      <c r="C100" s="131"/>
      <c r="D100" s="501" t="s">
        <v>265</v>
      </c>
      <c r="E100" s="384"/>
      <c r="F100" s="712"/>
      <c r="G100" s="286" t="str">
        <f t="shared" si="2"/>
        <v>Please do not leave blank</v>
      </c>
      <c r="H100" s="15"/>
      <c r="I100" s="682"/>
      <c r="J100"/>
      <c r="K100" s="126"/>
      <c r="M100" s="126"/>
      <c r="O100" s="126"/>
    </row>
    <row r="101" spans="1:15" ht="68.400000000000006" customHeight="1" x14ac:dyDescent="0.3">
      <c r="A101" s="129">
        <v>952</v>
      </c>
      <c r="B101" s="131"/>
      <c r="C101" s="131"/>
      <c r="D101" s="128" t="s">
        <v>743</v>
      </c>
      <c r="E101" s="384"/>
      <c r="F101" s="713"/>
      <c r="G101" s="286" t="s">
        <v>385</v>
      </c>
      <c r="H101" s="15"/>
      <c r="I101" s="707"/>
      <c r="J101"/>
      <c r="K101" s="126"/>
      <c r="M101" s="126"/>
      <c r="O101" s="126"/>
    </row>
    <row r="102" spans="1:15" ht="15" thickBot="1" x14ac:dyDescent="0.35">
      <c r="A102" s="64"/>
      <c r="B102" s="317"/>
      <c r="C102" s="504"/>
      <c r="D102" s="505" t="s">
        <v>269</v>
      </c>
      <c r="E102" s="503"/>
      <c r="F102" s="506"/>
      <c r="G102" s="321"/>
      <c r="H102" s="322"/>
      <c r="I102" s="682"/>
      <c r="J102"/>
      <c r="K102" s="126"/>
      <c r="M102" s="126"/>
      <c r="O102" s="126"/>
    </row>
    <row r="103" spans="1:15" ht="19.8" customHeight="1" thickBot="1" x14ac:dyDescent="0.35">
      <c r="A103" s="180"/>
      <c r="B103" s="723" t="s">
        <v>299</v>
      </c>
      <c r="C103" s="724"/>
      <c r="D103" s="724"/>
      <c r="E103" s="725"/>
      <c r="F103" s="530"/>
      <c r="G103" s="286"/>
      <c r="H103" s="15"/>
      <c r="I103" s="706"/>
      <c r="J103"/>
    </row>
    <row r="104" spans="1:15" ht="75.75" customHeight="1" x14ac:dyDescent="0.3">
      <c r="A104" s="180"/>
      <c r="B104" s="727" t="s">
        <v>300</v>
      </c>
      <c r="C104" s="727"/>
      <c r="D104" s="727"/>
      <c r="E104" s="727"/>
      <c r="F104" s="530"/>
      <c r="G104" s="286"/>
      <c r="H104" s="15"/>
      <c r="I104" s="706"/>
      <c r="J104"/>
    </row>
    <row r="105" spans="1:15" ht="15" thickBot="1" x14ac:dyDescent="0.35">
      <c r="A105" s="529"/>
      <c r="B105" s="531"/>
      <c r="C105" s="531"/>
      <c r="D105" s="532"/>
      <c r="E105" s="497"/>
      <c r="F105" s="530"/>
      <c r="G105" s="286"/>
      <c r="H105" s="15"/>
      <c r="I105" s="706"/>
      <c r="J105"/>
    </row>
    <row r="106" spans="1:15" ht="15" thickBot="1" x14ac:dyDescent="0.35">
      <c r="A106" s="180"/>
      <c r="B106" s="533" t="s">
        <v>257</v>
      </c>
      <c r="C106" s="534" t="s">
        <v>258</v>
      </c>
      <c r="D106" s="535"/>
      <c r="E106" s="536"/>
      <c r="F106" s="507"/>
      <c r="G106" s="286"/>
      <c r="H106" s="15"/>
      <c r="I106" s="706"/>
      <c r="J106"/>
    </row>
    <row r="107" spans="1:15" ht="44.25" customHeight="1" thickBot="1" x14ac:dyDescent="0.35">
      <c r="A107" s="180"/>
      <c r="B107" s="508" t="s">
        <v>280</v>
      </c>
      <c r="C107" s="509"/>
      <c r="D107" s="510"/>
      <c r="E107" s="511"/>
      <c r="F107" s="512"/>
      <c r="G107" s="286"/>
      <c r="H107" s="15"/>
      <c r="I107" s="706"/>
      <c r="J107"/>
    </row>
    <row r="108" spans="1:15" ht="44.25" customHeight="1" thickBot="1" x14ac:dyDescent="0.35">
      <c r="A108" s="180"/>
      <c r="B108" s="508"/>
      <c r="C108" s="513"/>
      <c r="D108" s="514" t="s">
        <v>291</v>
      </c>
      <c r="E108" s="515"/>
      <c r="F108" s="516"/>
      <c r="G108" s="289"/>
      <c r="H108" s="15"/>
      <c r="I108" s="706"/>
    </row>
    <row r="109" spans="1:15" ht="32.4" customHeight="1" thickBot="1" x14ac:dyDescent="0.35">
      <c r="A109" s="180">
        <v>960</v>
      </c>
      <c r="B109" s="734" t="s">
        <v>281</v>
      </c>
      <c r="C109" s="735"/>
      <c r="D109" s="714"/>
      <c r="E109" s="517" t="str">
        <f>IF(ISBLANK($D109),"&lt;&lt;&lt;&lt;&lt;&lt;&lt;&lt;&lt;&lt;&lt;&lt;&lt;&lt;&lt;","")</f>
        <v>&lt;&lt;&lt;&lt;&lt;&lt;&lt;&lt;&lt;&lt;&lt;&lt;&lt;&lt;&lt;</v>
      </c>
      <c r="F109" s="518" t="str">
        <f>IF(ISBLANK($D109),"Required","")</f>
        <v>Required</v>
      </c>
      <c r="G109" s="327"/>
      <c r="H109" s="278"/>
      <c r="I109" s="706"/>
    </row>
    <row r="110" spans="1:15" ht="32.4" customHeight="1" thickBot="1" x14ac:dyDescent="0.35">
      <c r="A110" s="180">
        <v>962</v>
      </c>
      <c r="B110" s="732" t="s">
        <v>259</v>
      </c>
      <c r="C110" s="733"/>
      <c r="D110" s="714"/>
      <c r="E110" s="517" t="str">
        <f>IF(ISBLANK($D110),"&lt;&lt;&lt;&lt;&lt;&lt;&lt;&lt;&lt;&lt;&lt;&lt;&lt;&lt;&lt;","")</f>
        <v>&lt;&lt;&lt;&lt;&lt;&lt;&lt;&lt;&lt;&lt;&lt;&lt;&lt;&lt;&lt;</v>
      </c>
      <c r="F110" s="518" t="str">
        <f>IF(ISBLANK($D110),"Required","")</f>
        <v>Required</v>
      </c>
      <c r="H110" s="15"/>
      <c r="I110" s="706"/>
    </row>
    <row r="111" spans="1:15" ht="32.4" customHeight="1" thickBot="1" x14ac:dyDescent="0.35">
      <c r="A111" s="180">
        <v>964</v>
      </c>
      <c r="B111" s="732" t="s">
        <v>260</v>
      </c>
      <c r="C111" s="733"/>
      <c r="D111" s="715"/>
      <c r="E111" s="517" t="str">
        <f>IF(ISBLANK($D111),"&lt;&lt;&lt;&lt;&lt;&lt;&lt;&lt;&lt;&lt;&lt;&lt;&lt;&lt;&lt;","")</f>
        <v>&lt;&lt;&lt;&lt;&lt;&lt;&lt;&lt;&lt;&lt;&lt;&lt;&lt;&lt;&lt;</v>
      </c>
      <c r="F111" s="518" t="str">
        <f>IF(ISBLANK($D111),"Required","")</f>
        <v>Required</v>
      </c>
      <c r="H111" s="15"/>
      <c r="I111" s="708"/>
    </row>
    <row r="112" spans="1:15" ht="32.4" customHeight="1" thickBot="1" x14ac:dyDescent="0.35">
      <c r="A112" s="452">
        <v>966</v>
      </c>
      <c r="B112" s="728" t="s">
        <v>744</v>
      </c>
      <c r="C112" s="729"/>
      <c r="D112" s="716"/>
      <c r="E112" s="517" t="str">
        <f>IF(ISBLANK($D112),"&lt;&lt;&lt;&lt;&lt;&lt;&lt;&lt;&lt;&lt;&lt;&lt;&lt;&lt;&lt;","")</f>
        <v>&lt;&lt;&lt;&lt;&lt;&lt;&lt;&lt;&lt;&lt;&lt;&lt;&lt;&lt;&lt;</v>
      </c>
      <c r="F112" s="518" t="str">
        <f>IF(ISBLANK($D112),"Required","")</f>
        <v>Required</v>
      </c>
      <c r="G112"/>
      <c r="H112" s="15"/>
      <c r="I112" s="706"/>
    </row>
    <row r="113" spans="1:9" ht="32.4" customHeight="1" thickBot="1" x14ac:dyDescent="0.35">
      <c r="A113" s="452"/>
      <c r="B113" s="728" t="s">
        <v>745</v>
      </c>
      <c r="C113" s="729"/>
      <c r="D113" s="714"/>
      <c r="E113" s="519"/>
      <c r="F113" s="518"/>
      <c r="G113"/>
      <c r="H113" s="15"/>
      <c r="I113" s="706"/>
    </row>
    <row r="114" spans="1:9" ht="32.4" customHeight="1" thickBot="1" x14ac:dyDescent="0.35">
      <c r="A114" s="180">
        <v>968</v>
      </c>
      <c r="B114" s="730" t="s">
        <v>262</v>
      </c>
      <c r="C114" s="731"/>
      <c r="D114" s="717"/>
      <c r="E114" s="520" t="str">
        <f>IF(ISBLANK($D114),"&lt;&lt;&lt;&lt;&lt;&lt;&lt;&lt;&lt;&lt;&lt;&lt;&lt;&lt;&lt;","")</f>
        <v>&lt;&lt;&lt;&lt;&lt;&lt;&lt;&lt;&lt;&lt;&lt;&lt;&lt;&lt;&lt;</v>
      </c>
      <c r="F114" s="518" t="str">
        <f>IF(ISBLANK($D114),"Required","")</f>
        <v>Required</v>
      </c>
      <c r="H114" s="15"/>
      <c r="I114" s="706"/>
    </row>
    <row r="115" spans="1:9" x14ac:dyDescent="0.3">
      <c r="A115" s="64"/>
      <c r="B115" s="323"/>
      <c r="C115" s="323"/>
      <c r="D115" s="328" t="s">
        <v>14</v>
      </c>
      <c r="E115" s="324"/>
      <c r="F115" s="324"/>
      <c r="G115" s="324"/>
      <c r="H115" s="325"/>
      <c r="I115" s="64"/>
    </row>
    <row r="116" spans="1:9" x14ac:dyDescent="0.3">
      <c r="A116" s="64"/>
      <c r="B116" s="249"/>
      <c r="C116" s="249"/>
      <c r="D116" s="99"/>
      <c r="E116" s="127"/>
      <c r="F116" s="290"/>
      <c r="G116" s="290"/>
      <c r="H116" s="15"/>
      <c r="I116" s="64"/>
    </row>
    <row r="117" spans="1:9" x14ac:dyDescent="0.3">
      <c r="A117" s="64"/>
      <c r="B117" s="249"/>
      <c r="C117" s="249"/>
      <c r="D117" s="17"/>
      <c r="E117" s="248"/>
      <c r="F117" s="290"/>
      <c r="G117" s="290"/>
      <c r="H117" s="15"/>
      <c r="I117" s="64"/>
    </row>
    <row r="118" spans="1:9" x14ac:dyDescent="0.3">
      <c r="A118" s="348">
        <f>SUBTOTAL(109,A7:A114)</f>
        <v>40621</v>
      </c>
      <c r="E118" s="367" t="e">
        <f>SUM(E7:E95)</f>
        <v>#N/A</v>
      </c>
    </row>
    <row r="119" spans="1:9" x14ac:dyDescent="0.3">
      <c r="A119" s="64"/>
      <c r="B119" s="302"/>
      <c r="C119" s="302"/>
      <c r="D119" s="291"/>
      <c r="E119" s="175"/>
      <c r="F119" s="16"/>
      <c r="G119" s="292"/>
      <c r="H119" s="15"/>
      <c r="I119" s="64"/>
    </row>
    <row r="120" spans="1:9" x14ac:dyDescent="0.3">
      <c r="A120" s="180"/>
      <c r="B120" s="180"/>
      <c r="C120" s="180"/>
      <c r="D120" s="291"/>
      <c r="E120" s="175"/>
      <c r="F120" s="126"/>
      <c r="G120" s="292"/>
      <c r="H120" s="15"/>
      <c r="I120" s="64"/>
    </row>
    <row r="121" spans="1:9" x14ac:dyDescent="0.3">
      <c r="A121" s="180"/>
      <c r="B121" s="180"/>
      <c r="C121" s="180"/>
      <c r="D121" s="293"/>
      <c r="E121" s="175"/>
      <c r="F121" s="126"/>
      <c r="G121" s="292"/>
      <c r="H121" s="15"/>
      <c r="I121" s="64"/>
    </row>
    <row r="122" spans="1:9" x14ac:dyDescent="0.3">
      <c r="A122" s="180"/>
      <c r="B122" s="180"/>
      <c r="C122" s="180"/>
      <c r="D122" s="293"/>
      <c r="E122" s="175"/>
      <c r="F122" s="126"/>
      <c r="G122" s="292"/>
      <c r="H122" s="15"/>
      <c r="I122" s="64"/>
    </row>
    <row r="123" spans="1:9" x14ac:dyDescent="0.3">
      <c r="A123" s="180"/>
      <c r="B123" s="180"/>
      <c r="C123" s="180"/>
      <c r="D123" s="293"/>
      <c r="E123" s="175"/>
      <c r="F123" s="126"/>
      <c r="G123" s="292"/>
      <c r="H123" s="15"/>
      <c r="I123" s="64"/>
    </row>
    <row r="124" spans="1:9" x14ac:dyDescent="0.3">
      <c r="A124" s="180"/>
      <c r="B124" s="180"/>
      <c r="C124" s="180"/>
      <c r="D124" s="293"/>
      <c r="E124" s="175"/>
      <c r="F124" s="126"/>
      <c r="G124" s="292"/>
      <c r="H124" s="15"/>
      <c r="I124" s="64"/>
    </row>
    <row r="125" spans="1:9" x14ac:dyDescent="0.3">
      <c r="A125" s="180"/>
      <c r="D125" s="208"/>
      <c r="E125" s="175"/>
      <c r="F125" s="126"/>
      <c r="H125" s="15"/>
      <c r="I125" s="64"/>
    </row>
    <row r="126" spans="1:9" x14ac:dyDescent="0.3">
      <c r="D126" s="208"/>
      <c r="E126" s="176"/>
      <c r="F126" s="126"/>
      <c r="H126" s="15"/>
      <c r="I126" s="64"/>
    </row>
    <row r="127" spans="1:9" x14ac:dyDescent="0.3">
      <c r="D127" s="208"/>
      <c r="E127" s="175"/>
      <c r="F127" s="126"/>
      <c r="H127" s="15"/>
      <c r="I127" s="64"/>
    </row>
    <row r="128" spans="1:9" x14ac:dyDescent="0.3">
      <c r="D128" s="208"/>
      <c r="E128" s="127"/>
      <c r="F128" s="126"/>
      <c r="I128" s="64"/>
    </row>
    <row r="129" spans="5:11" x14ac:dyDescent="0.3">
      <c r="E129" s="174"/>
      <c r="F129" s="126"/>
      <c r="G129" s="295"/>
      <c r="I129" s="64"/>
    </row>
    <row r="130" spans="5:11" x14ac:dyDescent="0.3">
      <c r="E130" s="127"/>
      <c r="F130" s="126"/>
      <c r="I130" s="64"/>
    </row>
    <row r="131" spans="5:11" x14ac:dyDescent="0.3">
      <c r="E131" s="127"/>
      <c r="F131" s="126"/>
      <c r="I131" s="64"/>
    </row>
    <row r="132" spans="5:11" x14ac:dyDescent="0.3">
      <c r="E132" s="127"/>
      <c r="F132" s="126"/>
      <c r="I132" s="64"/>
    </row>
    <row r="133" spans="5:11" x14ac:dyDescent="0.3">
      <c r="I133" s="64"/>
    </row>
    <row r="134" spans="5:11" x14ac:dyDescent="0.3">
      <c r="I134" s="64"/>
    </row>
    <row r="135" spans="5:11" x14ac:dyDescent="0.3">
      <c r="I135" s="64"/>
    </row>
    <row r="136" spans="5:11" x14ac:dyDescent="0.3">
      <c r="I136" s="64"/>
    </row>
    <row r="137" spans="5:11" x14ac:dyDescent="0.3">
      <c r="I137" s="64"/>
    </row>
    <row r="138" spans="5:11" x14ac:dyDescent="0.3">
      <c r="I138" s="64"/>
    </row>
    <row r="139" spans="5:11" x14ac:dyDescent="0.3">
      <c r="I139" s="64"/>
    </row>
    <row r="140" spans="5:11" x14ac:dyDescent="0.3">
      <c r="I140" s="126"/>
    </row>
    <row r="141" spans="5:11" x14ac:dyDescent="0.3">
      <c r="I141" s="126"/>
      <c r="K141" s="127"/>
    </row>
    <row r="142" spans="5:11" x14ac:dyDescent="0.3">
      <c r="I142" s="126"/>
      <c r="K142" s="127"/>
    </row>
    <row r="143" spans="5:11" x14ac:dyDescent="0.3">
      <c r="I143" s="126"/>
      <c r="K143" s="127"/>
    </row>
    <row r="144" spans="5:11" x14ac:dyDescent="0.3">
      <c r="I144" s="126"/>
      <c r="K144" s="127"/>
    </row>
    <row r="145" spans="9:11" x14ac:dyDescent="0.3">
      <c r="I145" s="126"/>
      <c r="K145" s="127"/>
    </row>
    <row r="146" spans="9:11" x14ac:dyDescent="0.3">
      <c r="I146" s="126"/>
      <c r="K146" s="127"/>
    </row>
    <row r="147" spans="9:11" x14ac:dyDescent="0.3">
      <c r="I147" s="64"/>
      <c r="K147" s="127"/>
    </row>
    <row r="148" spans="9:11" x14ac:dyDescent="0.3">
      <c r="I148" s="64"/>
      <c r="J148" s="127"/>
      <c r="K148" s="127"/>
    </row>
    <row r="149" spans="9:11" x14ac:dyDescent="0.3">
      <c r="I149" s="64"/>
      <c r="J149" s="127"/>
      <c r="K149" s="127"/>
    </row>
    <row r="150" spans="9:11" x14ac:dyDescent="0.3">
      <c r="I150" s="64"/>
      <c r="J150" s="127"/>
      <c r="K150" s="127"/>
    </row>
    <row r="151" spans="9:11" x14ac:dyDescent="0.3">
      <c r="I151" s="64"/>
      <c r="J151" s="127"/>
      <c r="K151" s="127"/>
    </row>
    <row r="152" spans="9:11" x14ac:dyDescent="0.3">
      <c r="I152" s="64"/>
      <c r="J152" s="127"/>
      <c r="K152" s="127"/>
    </row>
    <row r="153" spans="9:11" x14ac:dyDescent="0.3">
      <c r="I153" s="64"/>
      <c r="J153" s="127"/>
      <c r="K153" s="127"/>
    </row>
    <row r="154" spans="9:11" x14ac:dyDescent="0.3">
      <c r="I154" s="64"/>
      <c r="J154" s="127"/>
      <c r="K154" s="127"/>
    </row>
    <row r="155" spans="9:11" x14ac:dyDescent="0.3">
      <c r="I155" s="64"/>
      <c r="J155" s="127"/>
      <c r="K155" s="127"/>
    </row>
    <row r="156" spans="9:11" x14ac:dyDescent="0.3">
      <c r="I156" s="126"/>
      <c r="J156" s="127"/>
      <c r="K156" s="127"/>
    </row>
    <row r="157" spans="9:11" x14ac:dyDescent="0.3">
      <c r="I157" s="126"/>
      <c r="J157" s="127"/>
      <c r="K157" s="127"/>
    </row>
    <row r="158" spans="9:11" x14ac:dyDescent="0.3">
      <c r="I158" s="126"/>
      <c r="J158" s="127"/>
      <c r="K158" s="127"/>
    </row>
    <row r="159" spans="9:11" x14ac:dyDescent="0.3">
      <c r="I159" s="126"/>
      <c r="J159" s="127"/>
      <c r="K159" s="127"/>
    </row>
    <row r="160" spans="9:11" x14ac:dyDescent="0.3">
      <c r="I160" s="126"/>
      <c r="J160" s="127"/>
      <c r="K160" s="127"/>
    </row>
    <row r="161" spans="9:11" x14ac:dyDescent="0.3">
      <c r="I161" s="126"/>
      <c r="J161" s="127"/>
      <c r="K161" s="127"/>
    </row>
    <row r="162" spans="9:11" x14ac:dyDescent="0.3">
      <c r="I162" s="126"/>
      <c r="J162" s="127"/>
      <c r="K162" s="127"/>
    </row>
    <row r="163" spans="9:11" x14ac:dyDescent="0.3">
      <c r="I163" s="126"/>
      <c r="J163" s="127"/>
      <c r="K163" s="127"/>
    </row>
    <row r="164" spans="9:11" x14ac:dyDescent="0.3">
      <c r="I164" s="126"/>
      <c r="J164" s="127"/>
      <c r="K164" s="127"/>
    </row>
    <row r="165" spans="9:11" x14ac:dyDescent="0.3">
      <c r="I165" s="126"/>
      <c r="J165" s="127"/>
      <c r="K165" s="127"/>
    </row>
    <row r="166" spans="9:11" x14ac:dyDescent="0.3">
      <c r="I166" s="126"/>
      <c r="J166" s="127"/>
      <c r="K166" s="127"/>
    </row>
    <row r="167" spans="9:11" x14ac:dyDescent="0.3">
      <c r="I167" s="126"/>
      <c r="J167" s="127"/>
      <c r="K167" s="127"/>
    </row>
    <row r="168" spans="9:11" x14ac:dyDescent="0.3">
      <c r="I168" s="126"/>
      <c r="J168" s="127"/>
      <c r="K168" s="127"/>
    </row>
    <row r="169" spans="9:11" x14ac:dyDescent="0.3">
      <c r="I169" s="126"/>
      <c r="J169" s="127"/>
      <c r="K169" s="127"/>
    </row>
    <row r="170" spans="9:11" x14ac:dyDescent="0.3">
      <c r="I170" s="126"/>
      <c r="J170" s="127"/>
      <c r="K170" s="127"/>
    </row>
    <row r="171" spans="9:11" x14ac:dyDescent="0.3">
      <c r="I171" s="126"/>
      <c r="J171" s="127"/>
      <c r="K171" s="127"/>
    </row>
    <row r="172" spans="9:11" x14ac:dyDescent="0.3">
      <c r="I172" s="126"/>
      <c r="J172" s="127"/>
      <c r="K172" s="127"/>
    </row>
    <row r="173" spans="9:11" x14ac:dyDescent="0.3">
      <c r="I173" s="126"/>
      <c r="J173" s="127"/>
      <c r="K173" s="127"/>
    </row>
    <row r="174" spans="9:11" x14ac:dyDescent="0.3">
      <c r="I174" s="126"/>
      <c r="J174" s="127"/>
      <c r="K174" s="127"/>
    </row>
    <row r="175" spans="9:11" x14ac:dyDescent="0.3">
      <c r="I175" s="126"/>
      <c r="J175" s="127"/>
      <c r="K175" s="127"/>
    </row>
    <row r="176" spans="9:11" x14ac:dyDescent="0.3">
      <c r="I176" s="126"/>
      <c r="J176" s="127"/>
      <c r="K176" s="127"/>
    </row>
    <row r="177" spans="9:11" x14ac:dyDescent="0.3">
      <c r="I177" s="126"/>
      <c r="J177" s="127"/>
      <c r="K177" s="127"/>
    </row>
    <row r="178" spans="9:11" x14ac:dyDescent="0.3">
      <c r="I178" s="126"/>
      <c r="J178" s="127"/>
      <c r="K178" s="127"/>
    </row>
    <row r="179" spans="9:11" x14ac:dyDescent="0.3">
      <c r="I179" s="126"/>
      <c r="J179" s="127"/>
      <c r="K179" s="127"/>
    </row>
    <row r="180" spans="9:11" x14ac:dyDescent="0.3">
      <c r="I180" s="126"/>
      <c r="J180" s="127"/>
      <c r="K180" s="127"/>
    </row>
    <row r="181" spans="9:11" x14ac:dyDescent="0.3">
      <c r="I181" s="126"/>
      <c r="J181" s="127"/>
      <c r="K181" s="127"/>
    </row>
    <row r="182" spans="9:11" x14ac:dyDescent="0.3">
      <c r="I182" s="126"/>
      <c r="J182" s="127"/>
      <c r="K182" s="127"/>
    </row>
    <row r="183" spans="9:11" x14ac:dyDescent="0.3">
      <c r="I183" s="126"/>
      <c r="J183" s="127"/>
      <c r="K183" s="127"/>
    </row>
    <row r="184" spans="9:11" x14ac:dyDescent="0.3">
      <c r="I184" s="126"/>
      <c r="J184" s="127"/>
      <c r="K184" s="127"/>
    </row>
    <row r="185" spans="9:11" x14ac:dyDescent="0.3">
      <c r="I185" s="126"/>
      <c r="J185" s="127"/>
      <c r="K185" s="127"/>
    </row>
    <row r="186" spans="9:11" x14ac:dyDescent="0.3">
      <c r="I186" s="126"/>
      <c r="J186" s="127"/>
      <c r="K186" s="127"/>
    </row>
    <row r="187" spans="9:11" x14ac:dyDescent="0.3">
      <c r="I187" s="126"/>
      <c r="J187" s="127"/>
      <c r="K187" s="127"/>
    </row>
    <row r="188" spans="9:11" x14ac:dyDescent="0.3">
      <c r="I188" s="126"/>
      <c r="J188" s="127"/>
      <c r="K188" s="127"/>
    </row>
    <row r="189" spans="9:11" x14ac:dyDescent="0.3">
      <c r="I189" s="126"/>
      <c r="J189" s="127"/>
      <c r="K189" s="127"/>
    </row>
    <row r="190" spans="9:11" x14ac:dyDescent="0.3">
      <c r="I190" s="126"/>
      <c r="J190" s="127"/>
      <c r="K190" s="127"/>
    </row>
    <row r="191" spans="9:11" x14ac:dyDescent="0.3">
      <c r="I191" s="126"/>
      <c r="J191" s="127"/>
      <c r="K191" s="127"/>
    </row>
    <row r="192" spans="9:11" x14ac:dyDescent="0.3">
      <c r="I192" s="126"/>
      <c r="J192" s="127"/>
      <c r="K192" s="127"/>
    </row>
    <row r="193" spans="9:11" x14ac:dyDescent="0.3">
      <c r="I193" s="126"/>
      <c r="J193" s="127"/>
      <c r="K193" s="127"/>
    </row>
    <row r="194" spans="9:11" x14ac:dyDescent="0.3">
      <c r="I194" s="126"/>
      <c r="J194" s="127"/>
      <c r="K194" s="127"/>
    </row>
    <row r="195" spans="9:11" x14ac:dyDescent="0.3">
      <c r="I195" s="126"/>
      <c r="J195" s="127"/>
      <c r="K195" s="127"/>
    </row>
    <row r="196" spans="9:11" x14ac:dyDescent="0.3">
      <c r="I196" s="126"/>
      <c r="J196" s="127"/>
      <c r="K196" s="127"/>
    </row>
    <row r="197" spans="9:11" x14ac:dyDescent="0.3">
      <c r="I197" s="126"/>
      <c r="J197" s="127"/>
      <c r="K197" s="127"/>
    </row>
    <row r="198" spans="9:11" x14ac:dyDescent="0.3">
      <c r="I198" s="126"/>
      <c r="J198" s="127"/>
      <c r="K198" s="127"/>
    </row>
    <row r="199" spans="9:11" x14ac:dyDescent="0.3">
      <c r="I199" s="126"/>
      <c r="J199" s="127"/>
      <c r="K199" s="127"/>
    </row>
    <row r="200" spans="9:11" x14ac:dyDescent="0.3">
      <c r="I200" s="126"/>
      <c r="J200" s="127"/>
      <c r="K200" s="127"/>
    </row>
    <row r="201" spans="9:11" x14ac:dyDescent="0.3">
      <c r="I201" s="126"/>
      <c r="J201" s="127"/>
      <c r="K201" s="127"/>
    </row>
    <row r="202" spans="9:11" x14ac:dyDescent="0.3">
      <c r="I202" s="126"/>
      <c r="J202" s="127"/>
      <c r="K202" s="127"/>
    </row>
    <row r="203" spans="9:11" x14ac:dyDescent="0.3">
      <c r="I203" s="126"/>
      <c r="J203" s="127"/>
      <c r="K203" s="127"/>
    </row>
    <row r="204" spans="9:11" x14ac:dyDescent="0.3">
      <c r="I204" s="126"/>
      <c r="J204" s="127"/>
      <c r="K204" s="127"/>
    </row>
    <row r="205" spans="9:11" x14ac:dyDescent="0.3">
      <c r="I205" s="126"/>
      <c r="J205" s="127"/>
      <c r="K205" s="127"/>
    </row>
    <row r="206" spans="9:11" x14ac:dyDescent="0.3">
      <c r="I206" s="126"/>
      <c r="J206" s="127"/>
      <c r="K206" s="127"/>
    </row>
    <row r="207" spans="9:11" x14ac:dyDescent="0.3">
      <c r="I207" s="126"/>
      <c r="J207" s="127"/>
      <c r="K207" s="127"/>
    </row>
    <row r="208" spans="9:11" x14ac:dyDescent="0.3">
      <c r="I208" s="126"/>
      <c r="J208" s="127"/>
      <c r="K208" s="127"/>
    </row>
    <row r="209" spans="9:11" x14ac:dyDescent="0.3">
      <c r="I209" s="126"/>
      <c r="J209" s="127"/>
      <c r="K209" s="127"/>
    </row>
    <row r="210" spans="9:11" x14ac:dyDescent="0.3">
      <c r="I210" s="126"/>
      <c r="J210" s="127"/>
    </row>
    <row r="211" spans="9:11" x14ac:dyDescent="0.3">
      <c r="I211" s="126"/>
      <c r="J211" s="127"/>
    </row>
    <row r="212" spans="9:11" x14ac:dyDescent="0.3">
      <c r="I212" s="126"/>
      <c r="J212" s="127"/>
    </row>
    <row r="213" spans="9:11" x14ac:dyDescent="0.3">
      <c r="I213" s="126"/>
      <c r="J213" s="127"/>
    </row>
    <row r="214" spans="9:11" x14ac:dyDescent="0.3">
      <c r="I214" s="126"/>
      <c r="J214" s="127"/>
    </row>
    <row r="215" spans="9:11" x14ac:dyDescent="0.3">
      <c r="I215" s="126"/>
      <c r="J215" s="127"/>
    </row>
    <row r="216" spans="9:11" x14ac:dyDescent="0.3">
      <c r="I216" s="126"/>
      <c r="J216" s="127"/>
    </row>
    <row r="217" spans="9:11" x14ac:dyDescent="0.3">
      <c r="I217" s="126"/>
    </row>
    <row r="218" spans="9:11" x14ac:dyDescent="0.3">
      <c r="I218" s="126"/>
    </row>
    <row r="219" spans="9:11" x14ac:dyDescent="0.3">
      <c r="I219" s="126"/>
    </row>
    <row r="220" spans="9:11" x14ac:dyDescent="0.3">
      <c r="I220" s="126"/>
    </row>
    <row r="221" spans="9:11" x14ac:dyDescent="0.3">
      <c r="I221" s="126"/>
    </row>
    <row r="222" spans="9:11" x14ac:dyDescent="0.3">
      <c r="I222" s="126"/>
    </row>
    <row r="223" spans="9:11" x14ac:dyDescent="0.3">
      <c r="I223" s="126"/>
    </row>
    <row r="224" spans="9:11" x14ac:dyDescent="0.3">
      <c r="I224" s="126"/>
    </row>
    <row r="225" spans="9:9" x14ac:dyDescent="0.3">
      <c r="I225" s="64"/>
    </row>
    <row r="226" spans="9:9" x14ac:dyDescent="0.3">
      <c r="I226" s="64"/>
    </row>
    <row r="227" spans="9:9" x14ac:dyDescent="0.3">
      <c r="I227" s="64"/>
    </row>
    <row r="228" spans="9:9" x14ac:dyDescent="0.3">
      <c r="I228" s="64"/>
    </row>
    <row r="229" spans="9:9" x14ac:dyDescent="0.3">
      <c r="I229" s="64"/>
    </row>
    <row r="230" spans="9:9" x14ac:dyDescent="0.3">
      <c r="I230" s="64"/>
    </row>
    <row r="231" spans="9:9" x14ac:dyDescent="0.3">
      <c r="I231" s="64"/>
    </row>
    <row r="232" spans="9:9" x14ac:dyDescent="0.3">
      <c r="I232" s="64"/>
    </row>
    <row r="233" spans="9:9" x14ac:dyDescent="0.3">
      <c r="I233" s="64"/>
    </row>
    <row r="234" spans="9:9" x14ac:dyDescent="0.3">
      <c r="I234" s="64"/>
    </row>
  </sheetData>
  <sheetProtection formatCells="0"/>
  <dataConsolidate link="1"/>
  <mergeCells count="11">
    <mergeCell ref="B112:C112"/>
    <mergeCell ref="B114:C114"/>
    <mergeCell ref="B111:C111"/>
    <mergeCell ref="B109:C109"/>
    <mergeCell ref="B110:C110"/>
    <mergeCell ref="B113:C113"/>
    <mergeCell ref="E2:G2"/>
    <mergeCell ref="B2:C2"/>
    <mergeCell ref="B103:E103"/>
    <mergeCell ref="B96:D96"/>
    <mergeCell ref="B104:E104"/>
  </mergeCells>
  <phoneticPr fontId="54" type="noConversion"/>
  <conditionalFormatting sqref="H72:H82">
    <cfRule type="cellIs" dxfId="25" priority="107" stopIfTrue="1" operator="notEqual">
      <formula>0</formula>
    </cfRule>
  </conditionalFormatting>
  <conditionalFormatting sqref="H23">
    <cfRule type="cellIs" dxfId="24" priority="103" stopIfTrue="1" operator="notEqual">
      <formula>0</formula>
    </cfRule>
  </conditionalFormatting>
  <conditionalFormatting sqref="H36:H37">
    <cfRule type="cellIs" dxfId="23" priority="102" stopIfTrue="1" operator="notEqual">
      <formula>0</formula>
    </cfRule>
  </conditionalFormatting>
  <conditionalFormatting sqref="H61">
    <cfRule type="cellIs" dxfId="22" priority="101" stopIfTrue="1" operator="notEqual">
      <formula>0</formula>
    </cfRule>
  </conditionalFormatting>
  <conditionalFormatting sqref="G93">
    <cfRule type="cellIs" priority="68" stopIfTrue="1" operator="equal">
      <formula>";;;"</formula>
    </cfRule>
  </conditionalFormatting>
  <conditionalFormatting sqref="G93">
    <cfRule type="cellIs" dxfId="21" priority="67" stopIfTrue="1" operator="equal">
      <formula>0</formula>
    </cfRule>
  </conditionalFormatting>
  <conditionalFormatting sqref="G92">
    <cfRule type="cellIs" priority="65" stopIfTrue="1" operator="equal">
      <formula>";;;"</formula>
    </cfRule>
  </conditionalFormatting>
  <conditionalFormatting sqref="G92">
    <cfRule type="cellIs" dxfId="20" priority="64" stopIfTrue="1" operator="equal">
      <formula>0</formula>
    </cfRule>
  </conditionalFormatting>
  <conditionalFormatting sqref="G92">
    <cfRule type="cellIs" dxfId="19" priority="63" stopIfTrue="1" operator="equal">
      <formula>0</formula>
    </cfRule>
  </conditionalFormatting>
  <conditionalFormatting sqref="G91">
    <cfRule type="cellIs" priority="53" stopIfTrue="1" operator="equal">
      <formula>";;;"</formula>
    </cfRule>
  </conditionalFormatting>
  <conditionalFormatting sqref="G91">
    <cfRule type="cellIs" dxfId="18" priority="52" stopIfTrue="1" operator="equal">
      <formula>0</formula>
    </cfRule>
  </conditionalFormatting>
  <conditionalFormatting sqref="G91">
    <cfRule type="cellIs" dxfId="17" priority="51" stopIfTrue="1" operator="equal">
      <formula>0</formula>
    </cfRule>
  </conditionalFormatting>
  <conditionalFormatting sqref="G90">
    <cfRule type="cellIs" priority="3" stopIfTrue="1" operator="equal">
      <formula>";;;"</formula>
    </cfRule>
  </conditionalFormatting>
  <conditionalFormatting sqref="G90">
    <cfRule type="cellIs" dxfId="16" priority="2" stopIfTrue="1" operator="equal">
      <formula>0</formula>
    </cfRule>
  </conditionalFormatting>
  <conditionalFormatting sqref="G90">
    <cfRule type="cellIs" dxfId="15" priority="1" stopIfTrue="1" operator="equal">
      <formula>0</formula>
    </cfRule>
  </conditionalFormatting>
  <dataValidations xWindow="829" yWindow="690" count="9">
    <dataValidation type="list" allowBlank="1" showInputMessage="1" showErrorMessage="1" sqref="F100" xr:uid="{9CC5535C-800A-4D03-A86E-273A5BC3EBB6}">
      <formula1>$M$1:$M$2</formula1>
    </dataValidation>
    <dataValidation type="list" allowBlank="1" showErrorMessage="1" prompt="Please select your answer from the drop down list." sqref="F87" xr:uid="{FCE57F22-20D9-4CFA-AFE5-1751E216D3C1}">
      <formula1>$O$1:$O$2</formula1>
    </dataValidation>
    <dataValidation type="list" allowBlank="1" showErrorMessage="1" prompt="Please select your answer from the drop down list box." sqref="F89" xr:uid="{2CD3BDAD-30EF-425F-BB01-D3FF43CDAA81}">
      <formula1>$O$1:$O$4</formula1>
    </dataValidation>
    <dataValidation type="list" allowBlank="1" showInputMessage="1" showErrorMessage="1" sqref="F99"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84 F76:F82 F25:F26 F19:F23 F28:F37 F50:F62 F64:F74 F39:F40 F46:F48" xr:uid="{B5815DCD-160E-4CA9-A461-76D5F396E4F1}">
      <formula1>ISNUMBER(F19)</formula1>
    </dataValidation>
    <dataValidation type="custom" allowBlank="1" showErrorMessage="1" error="Please enter a numeric value.  If this data is not applicable to your unit of government, the cell should be populated with zero." sqref="F95 F90:F92" xr:uid="{6656F482-2030-43E8-B669-24F0F4187CE8}">
      <formula1>ISNUMBER(F90)</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88"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8" xr:uid="{2B8A4F99-9CD2-4D02-A062-E988EF3799E5}">
      <formula1>ISNUMBER(F7)</formula1>
    </dataValidation>
    <dataValidation type="custom" allowBlank="1" showErrorMessage="1" error="Please enter a numeric value.  If this data is not applicable to your unit of government the cell should be populated with zero." sqref="F86" xr:uid="{CB641EB2-3894-4A74-BBEC-CDF7A3E8D5D8}">
      <formula1>ISNUMBER(F86)</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50"/>
  <sheetViews>
    <sheetView topLeftCell="A24" zoomScaleNormal="100" workbookViewId="0">
      <selection activeCell="E34" sqref="E34"/>
    </sheetView>
  </sheetViews>
  <sheetFormatPr defaultRowHeight="14.4" x14ac:dyDescent="0.3"/>
  <cols>
    <col min="1" max="1" width="7.6640625" style="97" customWidth="1"/>
    <col min="2" max="2" width="103.109375" customWidth="1"/>
    <col min="3" max="3" width="19" customWidth="1"/>
    <col min="4" max="4" width="50.33203125" style="330" customWidth="1"/>
    <col min="5" max="5" width="33.88671875" customWidth="1"/>
    <col min="8" max="9" width="8.88671875" style="435"/>
    <col min="10" max="10" width="1.6640625" style="435" customWidth="1"/>
    <col min="11" max="12" width="8.88671875" style="435" hidden="1" customWidth="1"/>
    <col min="13" max="13" width="13" style="435" customWidth="1"/>
  </cols>
  <sheetData>
    <row r="1" spans="1:13" s="119" customFormat="1" ht="15" thickBot="1" x14ac:dyDescent="0.35">
      <c r="A1" s="97"/>
      <c r="D1" s="330"/>
      <c r="E1"/>
      <c r="F1"/>
      <c r="G1"/>
      <c r="H1" s="435"/>
      <c r="I1" s="435"/>
      <c r="J1" s="435"/>
      <c r="K1" s="435"/>
      <c r="L1" s="435"/>
      <c r="M1" s="435"/>
    </row>
    <row r="2" spans="1:13" ht="40.799999999999997" customHeight="1" thickBot="1" x14ac:dyDescent="0.35">
      <c r="A2" s="736" t="s">
        <v>584</v>
      </c>
      <c r="B2" s="737"/>
      <c r="C2" s="737"/>
      <c r="D2" s="737"/>
    </row>
    <row r="3" spans="1:13" s="378" customFormat="1" ht="8.4" customHeight="1" thickBot="1" x14ac:dyDescent="0.35">
      <c r="A3" s="425"/>
      <c r="D3" s="426"/>
      <c r="E3"/>
      <c r="F3"/>
      <c r="G3"/>
      <c r="H3" s="434"/>
      <c r="I3" s="434"/>
      <c r="J3" s="434"/>
      <c r="K3" s="434"/>
      <c r="L3" s="434"/>
      <c r="M3" s="434"/>
    </row>
    <row r="4" spans="1:13" ht="19.2" customHeight="1" thickBot="1" x14ac:dyDescent="0.35">
      <c r="A4" s="738" t="s">
        <v>585</v>
      </c>
      <c r="B4" s="739"/>
      <c r="C4" s="739"/>
      <c r="D4" s="739"/>
    </row>
    <row r="5" spans="1:13" s="378" customFormat="1" ht="8.4" customHeight="1" thickBot="1" x14ac:dyDescent="0.35">
      <c r="A5" s="427"/>
      <c r="B5" s="428"/>
      <c r="C5" s="428"/>
      <c r="D5" s="433"/>
      <c r="E5"/>
      <c r="F5"/>
      <c r="G5"/>
      <c r="H5" s="434"/>
      <c r="I5" s="434"/>
      <c r="J5" s="434"/>
      <c r="K5" s="434"/>
      <c r="L5" s="434"/>
      <c r="M5" s="434"/>
    </row>
    <row r="6" spans="1:13" ht="28.95" customHeight="1" thickBot="1" x14ac:dyDescent="0.35">
      <c r="A6" s="740" t="s">
        <v>396</v>
      </c>
      <c r="B6" s="741"/>
      <c r="C6" s="741"/>
      <c r="D6" s="741"/>
    </row>
    <row r="7" spans="1:13" s="378" customFormat="1" ht="9" customHeight="1" thickBot="1" x14ac:dyDescent="0.35">
      <c r="A7" s="456"/>
      <c r="B7" s="457"/>
      <c r="C7" s="457"/>
      <c r="D7" s="457"/>
      <c r="E7"/>
      <c r="F7"/>
      <c r="G7"/>
      <c r="H7" s="434"/>
      <c r="I7" s="434"/>
      <c r="J7" s="434"/>
      <c r="K7" s="434"/>
      <c r="L7" s="434"/>
      <c r="M7" s="434"/>
    </row>
    <row r="8" spans="1:13" ht="45" customHeight="1" x14ac:dyDescent="0.3">
      <c r="A8" s="467" t="s">
        <v>388</v>
      </c>
      <c r="B8" s="466"/>
      <c r="C8" s="466"/>
      <c r="D8" s="465"/>
      <c r="E8" s="658" t="s">
        <v>933</v>
      </c>
    </row>
    <row r="9" spans="1:13" s="355" customFormat="1" ht="49.8" customHeight="1" x14ac:dyDescent="0.3">
      <c r="A9" s="462">
        <v>906</v>
      </c>
      <c r="B9" s="463" t="s">
        <v>302</v>
      </c>
      <c r="C9" s="574"/>
      <c r="D9" s="494" t="str">
        <f t="shared" ref="D9:D28" si="0">IF(C9="","This Question must be answered before uploading, the report will not be processed if left blank","")</f>
        <v>This Question must be answered before uploading, the report will not be processed if left blank</v>
      </c>
      <c r="E9" s="657"/>
      <c r="F9"/>
      <c r="G9"/>
      <c r="H9" s="436"/>
      <c r="I9" s="436"/>
      <c r="J9" s="436"/>
      <c r="K9" s="436"/>
      <c r="L9" s="436"/>
      <c r="M9" s="436"/>
    </row>
    <row r="10" spans="1:13" ht="40.200000000000003" customHeight="1" x14ac:dyDescent="0.3">
      <c r="A10" s="462">
        <v>907</v>
      </c>
      <c r="B10" s="463" t="s">
        <v>580</v>
      </c>
      <c r="C10" s="574"/>
      <c r="D10" s="494" t="str">
        <f t="shared" si="0"/>
        <v>This Question must be answered before uploading, the report will not be processed if left blank</v>
      </c>
      <c r="E10" s="657"/>
      <c r="H10" s="436"/>
      <c r="I10" s="436"/>
      <c r="J10" s="436"/>
      <c r="K10" s="436"/>
      <c r="L10" s="436"/>
    </row>
    <row r="11" spans="1:13" ht="49.8" customHeight="1" x14ac:dyDescent="0.3">
      <c r="A11" s="462">
        <v>1058</v>
      </c>
      <c r="B11" s="463" t="s">
        <v>917</v>
      </c>
      <c r="C11" s="574"/>
      <c r="D11" s="494" t="str">
        <f>IF(C11="","This question must be answered before uploading. The report will not be processed if left blank.",IF(C11="Yes","Financial Performance Indicator of Concern that requires a response.  Please provide source document and page number in cell E11.",""))</f>
        <v>This question must be answered before uploading. The report will not be processed if left blank.</v>
      </c>
      <c r="E11" s="657"/>
    </row>
    <row r="12" spans="1:13" ht="75" customHeight="1" x14ac:dyDescent="0.3">
      <c r="A12" s="462">
        <v>1059</v>
      </c>
      <c r="B12" s="463" t="s">
        <v>918</v>
      </c>
      <c r="C12" s="574"/>
      <c r="D12" s="494" t="str">
        <f>IF(C12="","This question must be answered before uploading. The report will not be processed if left blank.",IF(C12="No","Please provide source document and page number in cell E12.",""))</f>
        <v>This question must be answered before uploading. The report will not be processed if left blank.</v>
      </c>
      <c r="E12" s="657"/>
      <c r="H12" s="436"/>
      <c r="I12" s="436"/>
      <c r="J12" s="436"/>
      <c r="K12" s="436"/>
      <c r="L12" s="436"/>
    </row>
    <row r="13" spans="1:13" s="119" customFormat="1" ht="75" customHeight="1" x14ac:dyDescent="0.3">
      <c r="A13" s="429">
        <v>1078</v>
      </c>
      <c r="B13" s="430" t="s">
        <v>919</v>
      </c>
      <c r="C13" s="574"/>
      <c r="D13" s="494" t="str">
        <f>IF(C13="","This question must be answered before uploading. The report will not be processed if left blank.",IF(C13="Yes","Please provide source document and page number in cell E13.",""))</f>
        <v>This question must be answered before uploading. The report will not be processed if left blank.</v>
      </c>
      <c r="E13" s="657"/>
      <c r="H13" s="436"/>
      <c r="I13" s="436"/>
      <c r="J13" s="436"/>
      <c r="K13" s="436"/>
      <c r="L13" s="436"/>
      <c r="M13" s="435"/>
    </row>
    <row r="14" spans="1:13" s="119" customFormat="1" ht="75" customHeight="1" x14ac:dyDescent="0.3">
      <c r="A14" s="429">
        <v>1067</v>
      </c>
      <c r="B14" s="431" t="s">
        <v>920</v>
      </c>
      <c r="C14" s="574"/>
      <c r="D14" s="494" t="str">
        <f>IF(C14="","This question must be answered before uploading. The report will not be processed if left blank.",IF(C14="NO","Please provide source document and page number in cell E14.",""))</f>
        <v>This question must be answered before uploading. The report will not be processed if left blank.</v>
      </c>
      <c r="E14" s="657"/>
      <c r="H14" s="436"/>
      <c r="I14" s="436"/>
      <c r="J14" s="436"/>
      <c r="K14" s="436"/>
      <c r="L14" s="436"/>
      <c r="M14" s="435"/>
    </row>
    <row r="15" spans="1:13" ht="40.200000000000003" customHeight="1" x14ac:dyDescent="0.3">
      <c r="A15" s="462">
        <v>951</v>
      </c>
      <c r="B15" s="463" t="s">
        <v>581</v>
      </c>
      <c r="C15" s="574"/>
      <c r="D15" s="494" t="str">
        <f t="shared" si="0"/>
        <v>This Question must be answered before uploading, the report will not be processed if left blank</v>
      </c>
      <c r="E15" s="657"/>
      <c r="H15" s="436"/>
      <c r="I15" s="436"/>
      <c r="J15" s="436"/>
      <c r="K15" s="436"/>
      <c r="L15" s="436"/>
    </row>
    <row r="16" spans="1:13" ht="40.200000000000003" customHeight="1" x14ac:dyDescent="0.3">
      <c r="A16" s="462">
        <v>953</v>
      </c>
      <c r="B16" s="463" t="s">
        <v>921</v>
      </c>
      <c r="C16" s="574"/>
      <c r="D16" s="494" t="str">
        <f t="shared" si="0"/>
        <v>This Question must be answered before uploading, the report will not be processed if left blank</v>
      </c>
      <c r="E16" s="657"/>
      <c r="H16" s="436"/>
      <c r="I16" s="436"/>
      <c r="J16" s="436"/>
      <c r="K16" s="436"/>
      <c r="L16" s="436"/>
    </row>
    <row r="17" spans="1:13" ht="46.8" customHeight="1" x14ac:dyDescent="0.3">
      <c r="A17" s="462">
        <v>955</v>
      </c>
      <c r="B17" s="463" t="s">
        <v>922</v>
      </c>
      <c r="C17" s="574"/>
      <c r="D17" s="656" t="str">
        <f>IF(C17="","This question must be answered before uploading. The report will not be processed if left blank.",IF(C17&gt;0,"Financial Performance Indicator of Concern that requires a response.  Please provide source document and page number in E17.",""))</f>
        <v>This question must be answered before uploading. The report will not be processed if left blank.</v>
      </c>
      <c r="E17" s="657"/>
      <c r="H17" s="436"/>
      <c r="I17" s="436"/>
      <c r="J17" s="436"/>
      <c r="K17" s="436"/>
      <c r="L17" s="436"/>
    </row>
    <row r="18" spans="1:13" ht="46.8" customHeight="1" x14ac:dyDescent="0.3">
      <c r="A18" s="462">
        <v>957</v>
      </c>
      <c r="B18" s="463" t="s">
        <v>923</v>
      </c>
      <c r="C18" s="574"/>
      <c r="D18" s="656" t="str">
        <f>IF(C18="","This question must be answered before uploading. The report will not be processed if left blank.",IF(C18&gt;0,"Financial Performance Indicator of Concern that requires a response.  Please provide source document and page number in E18.",""))</f>
        <v>This question must be answered before uploading. The report will not be processed if left blank.</v>
      </c>
      <c r="E18" s="657"/>
      <c r="H18" s="436"/>
      <c r="I18" s="436"/>
      <c r="J18" s="436"/>
      <c r="K18" s="436"/>
      <c r="L18" s="436"/>
    </row>
    <row r="19" spans="1:13" s="119" customFormat="1" ht="88.8" customHeight="1" x14ac:dyDescent="0.3">
      <c r="A19" s="462">
        <v>973</v>
      </c>
      <c r="B19" s="463" t="s">
        <v>924</v>
      </c>
      <c r="C19" s="575"/>
      <c r="D19" s="494" t="str">
        <f>IF(C19="","This Question must be answered before uploading, the report will not be processed if left blank","")</f>
        <v>This Question must be answered before uploading, the report will not be processed if left blank</v>
      </c>
      <c r="E19" s="657"/>
      <c r="F19"/>
      <c r="G19"/>
      <c r="H19" s="436"/>
      <c r="I19" s="436"/>
      <c r="J19" s="436"/>
      <c r="K19" s="436"/>
      <c r="L19" s="436"/>
      <c r="M19" s="435"/>
    </row>
    <row r="20" spans="1:13" s="119" customFormat="1" ht="60" customHeight="1" x14ac:dyDescent="0.3">
      <c r="A20" s="462">
        <v>959</v>
      </c>
      <c r="B20" s="463" t="s">
        <v>336</v>
      </c>
      <c r="C20" s="574"/>
      <c r="D20" s="494" t="str">
        <f>IF(C20="","This question must be answered before uploading. The report will not be processed if left blank.",IF(C20="Yes","Please provide source document and page number in cell E20.",""))</f>
        <v>This question must be answered before uploading. The report will not be processed if left blank.</v>
      </c>
      <c r="E20" s="657"/>
      <c r="F20"/>
      <c r="G20"/>
      <c r="H20" s="436"/>
      <c r="I20" s="436"/>
      <c r="J20" s="436"/>
      <c r="K20" s="436"/>
      <c r="L20" s="436"/>
      <c r="M20" s="435"/>
    </row>
    <row r="21" spans="1:13" ht="67.2" customHeight="1" x14ac:dyDescent="0.3">
      <c r="A21" s="462">
        <v>974</v>
      </c>
      <c r="B21" s="463" t="s">
        <v>338</v>
      </c>
      <c r="C21" s="574"/>
      <c r="D21" s="656" t="str">
        <f>IF(C21="","This question must be answered before uploading. The report will not be processed if left blank.",IF(C21="Yes","Financial Performance Indicator of Concern that requires a response.  Please provide source document and page number in cell E21.",""))</f>
        <v>This question must be answered before uploading. The report will not be processed if left blank.</v>
      </c>
      <c r="E21" s="657"/>
      <c r="H21" s="436"/>
      <c r="I21" s="436"/>
      <c r="J21" s="436"/>
      <c r="K21" s="436"/>
      <c r="L21" s="436"/>
    </row>
    <row r="22" spans="1:13" ht="40.200000000000003" customHeight="1" x14ac:dyDescent="0.3">
      <c r="A22" s="462" t="s">
        <v>322</v>
      </c>
      <c r="B22" s="463" t="s">
        <v>303</v>
      </c>
      <c r="C22" s="574"/>
      <c r="D22" s="494" t="str">
        <f>IF(C22="","This Question must be answered before uploading, the report will not be processed if left blank",IF(C22="Yes","Please submit copy via LGC File Portal.",""))</f>
        <v>This Question must be answered before uploading, the report will not be processed if left blank</v>
      </c>
      <c r="E22" s="657"/>
      <c r="H22" s="436"/>
      <c r="I22" s="436"/>
      <c r="J22" s="436"/>
      <c r="K22" s="436"/>
      <c r="L22" s="436"/>
    </row>
    <row r="23" spans="1:13" ht="40.200000000000003" customHeight="1" x14ac:dyDescent="0.3">
      <c r="A23" s="462" t="s">
        <v>323</v>
      </c>
      <c r="B23" s="463" t="s">
        <v>925</v>
      </c>
      <c r="C23" s="574"/>
      <c r="D23" s="494" t="str">
        <f t="shared" ref="D23:D24" si="1">IF(C23="","This Question must be answered before uploading, the report will not be processed if left blank",IF(C23="Yes","Please submit copy via LGC File Portal.",""))</f>
        <v>This Question must be answered before uploading, the report will not be processed if left blank</v>
      </c>
      <c r="E23" s="657"/>
      <c r="H23" s="436"/>
      <c r="I23" s="436"/>
      <c r="J23" s="436"/>
      <c r="K23" s="436"/>
      <c r="L23" s="436"/>
    </row>
    <row r="24" spans="1:13" ht="40.200000000000003" customHeight="1" x14ac:dyDescent="0.3">
      <c r="A24" s="462" t="s">
        <v>324</v>
      </c>
      <c r="B24" s="463" t="s">
        <v>926</v>
      </c>
      <c r="C24" s="574"/>
      <c r="D24" s="494" t="str">
        <f t="shared" si="1"/>
        <v>This Question must be answered before uploading, the report will not be processed if left blank</v>
      </c>
      <c r="E24" s="657"/>
      <c r="H24" s="436"/>
      <c r="I24" s="436"/>
      <c r="J24" s="436"/>
      <c r="K24" s="436"/>
      <c r="L24" s="436"/>
    </row>
    <row r="25" spans="1:13" s="119" customFormat="1" ht="40.200000000000003" customHeight="1" x14ac:dyDescent="0.3">
      <c r="A25" s="662" t="s">
        <v>943</v>
      </c>
      <c r="B25" s="663" t="s">
        <v>944</v>
      </c>
      <c r="C25" s="664">
        <v>45107</v>
      </c>
      <c r="D25" s="665" t="s">
        <v>945</v>
      </c>
      <c r="E25" s="657"/>
      <c r="H25" s="436"/>
      <c r="I25" s="436"/>
      <c r="J25" s="436"/>
      <c r="K25" s="436"/>
      <c r="L25" s="436"/>
      <c r="M25" s="435"/>
    </row>
    <row r="26" spans="1:13" ht="51" customHeight="1" x14ac:dyDescent="0.3">
      <c r="A26" s="429">
        <v>1079</v>
      </c>
      <c r="B26" s="430" t="s">
        <v>946</v>
      </c>
      <c r="C26" s="664"/>
      <c r="D26" s="666" t="str">
        <f>IF(C26="","This question must be answered before uploading. The report will not be processed if left blank.",IF(C26&gt;'Performance  Indicators Print'!N10,"Financial Performance Indicator of Concern that requires a response.",""))</f>
        <v>This question must be answered before uploading. The report will not be processed if left blank.</v>
      </c>
      <c r="E26" s="657"/>
      <c r="H26" s="436"/>
      <c r="I26" s="436"/>
      <c r="J26" s="436"/>
      <c r="K26" s="436"/>
      <c r="L26" s="436"/>
    </row>
    <row r="27" spans="1:13" ht="55.8" customHeight="1" x14ac:dyDescent="0.3">
      <c r="A27" s="462">
        <v>980</v>
      </c>
      <c r="B27" s="463" t="s">
        <v>932</v>
      </c>
      <c r="C27" s="576"/>
      <c r="D27" s="494" t="str">
        <f t="shared" si="0"/>
        <v>This Question must be answered before uploading, the report will not be processed if left blank</v>
      </c>
      <c r="E27" s="657"/>
      <c r="H27"/>
      <c r="I27"/>
      <c r="J27"/>
      <c r="K27"/>
      <c r="L27"/>
      <c r="M27"/>
    </row>
    <row r="28" spans="1:13" ht="40.200000000000003" customHeight="1" x14ac:dyDescent="0.3">
      <c r="A28" s="684">
        <v>975</v>
      </c>
      <c r="B28" s="685" t="s">
        <v>931</v>
      </c>
      <c r="C28" s="686"/>
      <c r="D28" s="687" t="str">
        <f t="shared" si="0"/>
        <v>This Question must be answered before uploading, the report will not be processed if left blank</v>
      </c>
      <c r="E28" s="657"/>
      <c r="H28" s="436"/>
      <c r="I28" s="436"/>
      <c r="J28" s="436"/>
      <c r="K28" s="436"/>
      <c r="L28" s="436"/>
    </row>
    <row r="29" spans="1:13" ht="37.200000000000003" customHeight="1" x14ac:dyDescent="0.3">
      <c r="A29" s="692" t="s">
        <v>927</v>
      </c>
      <c r="B29" s="693"/>
      <c r="C29" s="694"/>
      <c r="D29" s="695"/>
      <c r="E29" s="657"/>
    </row>
    <row r="30" spans="1:13" s="119" customFormat="1" ht="40.200000000000003" customHeight="1" x14ac:dyDescent="0.3">
      <c r="A30" s="688">
        <v>1068</v>
      </c>
      <c r="B30" s="689" t="s">
        <v>928</v>
      </c>
      <c r="C30" s="690"/>
      <c r="D30" s="691" t="str">
        <f>IF(C30="","This Question must be answered before uploading, the report will not be processed if left blank","")</f>
        <v>This Question must be answered before uploading, the report will not be processed if left blank</v>
      </c>
      <c r="E30" s="657"/>
      <c r="F30"/>
      <c r="G30"/>
      <c r="H30" s="435"/>
      <c r="I30" s="435"/>
      <c r="J30" s="435"/>
      <c r="K30" s="435"/>
      <c r="L30" s="435"/>
      <c r="M30" s="435"/>
    </row>
    <row r="31" spans="1:13" ht="40.200000000000003" customHeight="1" x14ac:dyDescent="0.3">
      <c r="A31" s="429">
        <v>1069</v>
      </c>
      <c r="B31" s="430" t="s">
        <v>929</v>
      </c>
      <c r="C31" s="575"/>
      <c r="D31" s="660" t="str">
        <f t="shared" ref="D31:D33" si="2">IF(C31="","This Question must be answered before uploading, the report will not be processed if left blank","")</f>
        <v>This Question must be answered before uploading, the report will not be processed if left blank</v>
      </c>
      <c r="E31" s="657"/>
    </row>
    <row r="32" spans="1:13" ht="40.200000000000003" customHeight="1" x14ac:dyDescent="0.3">
      <c r="A32" s="429">
        <v>1070</v>
      </c>
      <c r="B32" s="430" t="s">
        <v>930</v>
      </c>
      <c r="C32" s="575"/>
      <c r="D32" s="660" t="str">
        <f t="shared" si="2"/>
        <v>This Question must be answered before uploading, the report will not be processed if left blank</v>
      </c>
      <c r="E32" s="657"/>
    </row>
    <row r="33" spans="1:13" ht="39" customHeight="1" x14ac:dyDescent="0.3">
      <c r="A33" s="429">
        <v>1071</v>
      </c>
      <c r="B33" s="430" t="s">
        <v>957</v>
      </c>
      <c r="C33" s="659"/>
      <c r="D33" s="660" t="str">
        <f t="shared" si="2"/>
        <v>This Question must be answered before uploading, the report will not be processed if left blank</v>
      </c>
      <c r="E33" s="657"/>
    </row>
    <row r="34" spans="1:13" s="119" customFormat="1" ht="13.2" customHeight="1" x14ac:dyDescent="0.3">
      <c r="A34" s="377"/>
      <c r="B34" s="426"/>
      <c r="C34" s="378"/>
      <c r="D34" s="465"/>
      <c r="E34"/>
      <c r="F34"/>
      <c r="G34"/>
      <c r="H34" s="435"/>
      <c r="I34" s="435"/>
      <c r="J34" s="435"/>
      <c r="K34" s="435"/>
      <c r="L34" s="435"/>
      <c r="M34" s="435"/>
    </row>
    <row r="35" spans="1:13" ht="31.8" customHeight="1" x14ac:dyDescent="0.3">
      <c r="A35" s="464" t="s">
        <v>325</v>
      </c>
      <c r="B35" s="494" t="str">
        <f>IF(D35="","This Question must be answered before uploading, the report will not be processed if left blank","")</f>
        <v>This Question must be answered before uploading, the report will not be processed if left blank</v>
      </c>
      <c r="C35" s="710" t="s">
        <v>304</v>
      </c>
      <c r="D35" s="577"/>
    </row>
    <row r="36" spans="1:13" x14ac:dyDescent="0.3">
      <c r="A36" s="377"/>
      <c r="B36" s="426"/>
      <c r="C36" s="711"/>
      <c r="D36" s="465"/>
    </row>
    <row r="37" spans="1:13" ht="37.799999999999997" customHeight="1" x14ac:dyDescent="0.3">
      <c r="A37" s="464" t="s">
        <v>326</v>
      </c>
      <c r="B37" s="494" t="str">
        <f>IF(D37="","This Question must be answered before uploading, the report will not be processed if left blank","")</f>
        <v>This Question must be answered before uploading, the report will not be processed if left blank</v>
      </c>
      <c r="C37" s="710" t="s">
        <v>305</v>
      </c>
      <c r="D37" s="577"/>
    </row>
    <row r="38" spans="1:13" x14ac:dyDescent="0.3">
      <c r="A38" s="377"/>
      <c r="B38" s="426"/>
      <c r="C38" s="711"/>
      <c r="D38" s="465"/>
    </row>
    <row r="39" spans="1:13" ht="37.200000000000003" customHeight="1" x14ac:dyDescent="0.3">
      <c r="A39" s="464" t="s">
        <v>395</v>
      </c>
      <c r="B39" s="494" t="str">
        <f>IF(D39="","This Question must be answered before uploading, the report will not be processed if left blank","")</f>
        <v>This Question must be answered before uploading, the report will not be processed if left blank</v>
      </c>
      <c r="C39" s="710" t="s">
        <v>582</v>
      </c>
      <c r="D39" s="538"/>
    </row>
    <row r="43" spans="1:13" x14ac:dyDescent="0.3">
      <c r="A43" s="97">
        <f>SUM(A9:A42)</f>
        <v>20109</v>
      </c>
      <c r="B43" s="378" t="s">
        <v>306</v>
      </c>
      <c r="C43" s="718">
        <v>1.1000000000000001</v>
      </c>
      <c r="D43" s="330" t="s">
        <v>233</v>
      </c>
    </row>
    <row r="44" spans="1:13" x14ac:dyDescent="0.3">
      <c r="B44" s="378" t="s">
        <v>307</v>
      </c>
      <c r="C44" s="578">
        <v>45212</v>
      </c>
    </row>
    <row r="45" spans="1:13" x14ac:dyDescent="0.3">
      <c r="B45" s="378"/>
      <c r="C45" s="426"/>
    </row>
    <row r="50" spans="2:3" x14ac:dyDescent="0.3">
      <c r="B50" s="378"/>
      <c r="C50" s="426"/>
    </row>
  </sheetData>
  <sheetProtection algorithmName="SHA-512" hashValue="J69SBvdbJYkrOOF360VZo+XRWgGq9x3y7DGCjgkn+XaNOB6FcztplFCBwnCq+5XFAbNRzEGZp8zP5XR4SPxRCw==" saltValue="epZQ6hvHLNYHGNlroFFTCQ==" spinCount="100000" sheet="1" objects="1" scenarios="1"/>
  <mergeCells count="3">
    <mergeCell ref="A2:D2"/>
    <mergeCell ref="A4:D4"/>
    <mergeCell ref="A6:D6"/>
  </mergeCells>
  <conditionalFormatting sqref="D39">
    <cfRule type="expression" dxfId="14" priority="16">
      <formula>$T34</formula>
    </cfRule>
  </conditionalFormatting>
  <dataValidations xWindow="1117" yWindow="747" count="11">
    <dataValidation type="list" allowBlank="1" showInputMessage="1" showErrorMessage="1" prompt="Please select Yes or No from the drop down list" sqref="C16 C32 C11:C12 C14 C28:C30 C22:C24" xr:uid="{42DC82DB-0AE6-4795-B8A2-67794DECDEAD}">
      <formula1>"Yes, No"</formula1>
    </dataValidation>
    <dataValidation type="whole" operator="greaterThan" allowBlank="1" showInputMessage="1" showErrorMessage="1" prompt="Please enter a whole number.  If there are no findings please enter 0" sqref="C17:C19" xr:uid="{22039F36-BF2D-4D90-ACF3-F17B7FAD9827}">
      <formula1>-1</formula1>
    </dataValidation>
    <dataValidation type="list" allowBlank="1" showInputMessage="1" showErrorMessage="1" prompt="Please select Yes, No or N/A from the drop down list" sqref="C20:C21 C31"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9" xr:uid="{C03418DF-3B42-4CD5-A316-291388505573}">
      <formula1>45107</formula1>
    </dataValidation>
    <dataValidation type="list" allowBlank="1" showInputMessage="1" showErrorMessage="1" prompt="Please select Yes or No from the drop down list." sqref="C9:C10 C15" xr:uid="{09FCC64E-5331-4E1E-8B61-60F4B5075DD5}">
      <formula1>"Yes, No"</formula1>
    </dataValidation>
    <dataValidation type="list" allowBlank="1" showInputMessage="1" showErrorMessage="1" prompt="Please select Yes, No and N/A from the  dropdown list._x000a__x000a_" sqref="C13" xr:uid="{E14A6F9A-70AF-48C3-877C-EDEA0060475E}">
      <formula1>"Yes, No, N/A"</formula1>
    </dataValidation>
    <dataValidation type="custom" allowBlank="1" showInputMessage="1" showErrorMessage="1" error="Submit Date is equal or prior to fiscal year-end date." sqref="C26" xr:uid="{A2651645-D4DC-42AF-80C0-A645FC16452D}">
      <formula1>C25&lt;C26</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5"/>
  <sheetViews>
    <sheetView showGridLines="0" zoomScale="80" zoomScaleNormal="80" workbookViewId="0">
      <selection activeCell="F4" sqref="F4:G5"/>
    </sheetView>
  </sheetViews>
  <sheetFormatPr defaultColWidth="9.109375" defaultRowHeight="14.4" x14ac:dyDescent="0.3"/>
  <cols>
    <col min="1" max="1" width="6.33203125" style="331" customWidth="1"/>
    <col min="2" max="2" width="57.6640625" style="331" customWidth="1"/>
    <col min="3" max="4" width="14.33203125" style="331" customWidth="1"/>
    <col min="5" max="7" width="17.33203125" style="331" customWidth="1"/>
    <col min="8" max="8" width="71.44140625" style="331" customWidth="1"/>
    <col min="9" max="9" width="56.77734375" style="332" customWidth="1"/>
    <col min="10" max="10" width="46.109375" style="332" customWidth="1"/>
    <col min="11" max="11" width="9.109375" style="424" hidden="1" customWidth="1"/>
    <col min="12" max="12" width="25.88671875" style="412" hidden="1" customWidth="1"/>
    <col min="13" max="14" width="15.6640625" style="412" hidden="1" customWidth="1"/>
    <col min="15" max="15" width="56.33203125" style="412" hidden="1" customWidth="1"/>
    <col min="16" max="16" width="11.109375" style="413" customWidth="1"/>
    <col min="17" max="18" width="9.109375" style="414" customWidth="1"/>
    <col min="19" max="59" width="9.109375" style="414"/>
    <col min="60" max="16384" width="9.109375" style="331"/>
  </cols>
  <sheetData>
    <row r="1" spans="1:81" ht="40.5" customHeight="1" thickBot="1" x14ac:dyDescent="0.35">
      <c r="A1" s="389"/>
      <c r="B1" s="753" t="s">
        <v>568</v>
      </c>
      <c r="C1" s="753"/>
      <c r="D1" s="753"/>
      <c r="E1" s="753"/>
      <c r="F1" s="753"/>
      <c r="G1" s="753"/>
      <c r="H1" s="754"/>
      <c r="I1" s="751"/>
      <c r="J1" s="752"/>
      <c r="K1" s="411"/>
    </row>
    <row r="2" spans="1:81" ht="72" customHeight="1" thickBot="1" x14ac:dyDescent="0.35">
      <c r="A2" s="390"/>
      <c r="B2" s="755" t="s">
        <v>569</v>
      </c>
      <c r="C2" s="745"/>
      <c r="D2" s="745"/>
      <c r="E2" s="745"/>
      <c r="F2" s="745"/>
      <c r="G2" s="745"/>
      <c r="H2" s="742"/>
      <c r="I2" s="768" t="s">
        <v>570</v>
      </c>
      <c r="J2" s="771" t="s">
        <v>726</v>
      </c>
      <c r="K2" s="415"/>
    </row>
    <row r="3" spans="1:81" ht="15" customHeight="1" thickBot="1" x14ac:dyDescent="0.35">
      <c r="A3" s="391"/>
      <c r="B3" s="392"/>
      <c r="C3" s="393"/>
      <c r="D3" s="393"/>
      <c r="E3" s="393"/>
      <c r="F3" s="393"/>
      <c r="G3" s="394"/>
      <c r="H3" s="410"/>
      <c r="I3" s="769"/>
      <c r="J3" s="772"/>
      <c r="K3" s="415"/>
    </row>
    <row r="4" spans="1:81" ht="21.75" customHeight="1" thickBot="1" x14ac:dyDescent="0.35">
      <c r="A4" s="395"/>
      <c r="B4" s="396" t="s">
        <v>321</v>
      </c>
      <c r="C4" s="756" t="str">
        <f>'Unit Data from Audit Worksheet'!D2</f>
        <v>Select Unit Name from Drop Down List</v>
      </c>
      <c r="D4" s="757"/>
      <c r="E4" s="758"/>
      <c r="F4" s="759" t="s">
        <v>947</v>
      </c>
      <c r="G4" s="760"/>
      <c r="H4" s="763" t="s">
        <v>722</v>
      </c>
      <c r="I4" s="769"/>
      <c r="J4" s="772"/>
      <c r="K4" s="416"/>
      <c r="L4" s="417"/>
    </row>
    <row r="5" spans="1:81" ht="21.6" thickBot="1" x14ac:dyDescent="0.35">
      <c r="A5" s="397"/>
      <c r="B5" s="398" t="s">
        <v>312</v>
      </c>
      <c r="C5" s="765" t="e">
        <f>'Unit Data from Audit Worksheet'!D3</f>
        <v>#N/A</v>
      </c>
      <c r="D5" s="766"/>
      <c r="E5" s="767"/>
      <c r="F5" s="761"/>
      <c r="G5" s="762"/>
      <c r="H5" s="764"/>
      <c r="I5" s="769"/>
      <c r="J5" s="772"/>
      <c r="K5" s="418"/>
      <c r="L5" s="419" t="s">
        <v>317</v>
      </c>
    </row>
    <row r="6" spans="1:81" ht="18.75" customHeight="1" thickBot="1" x14ac:dyDescent="0.35">
      <c r="A6" s="391"/>
      <c r="B6" s="773" t="s">
        <v>577</v>
      </c>
      <c r="C6" s="774"/>
      <c r="D6" s="774"/>
      <c r="E6" s="774"/>
      <c r="F6" s="774"/>
      <c r="G6" s="774"/>
      <c r="H6" s="775"/>
      <c r="I6" s="770"/>
      <c r="J6" s="772"/>
      <c r="K6" s="418"/>
      <c r="L6" s="419"/>
    </row>
    <row r="7" spans="1:81" ht="27.75" customHeight="1" thickBot="1" x14ac:dyDescent="0.35">
      <c r="A7" s="335"/>
      <c r="B7" s="483" t="s">
        <v>389</v>
      </c>
      <c r="C7" s="484">
        <v>2020</v>
      </c>
      <c r="D7" s="484">
        <v>2021</v>
      </c>
      <c r="E7" s="484">
        <v>2023</v>
      </c>
      <c r="F7" s="482" t="s">
        <v>341</v>
      </c>
      <c r="G7" s="482" t="s">
        <v>390</v>
      </c>
      <c r="H7" s="400"/>
      <c r="I7" s="334"/>
      <c r="J7" s="401"/>
      <c r="K7" s="420"/>
      <c r="L7" s="412">
        <v>2021</v>
      </c>
      <c r="M7" s="417">
        <v>2022</v>
      </c>
      <c r="N7" s="412">
        <v>2023</v>
      </c>
      <c r="O7" s="421"/>
      <c r="P7" s="422"/>
    </row>
    <row r="8" spans="1:81" ht="155.25" customHeight="1" thickBot="1" x14ac:dyDescent="0.35">
      <c r="A8" s="399" t="s">
        <v>571</v>
      </c>
      <c r="B8" s="492" t="s">
        <v>724</v>
      </c>
      <c r="C8" s="697" t="e">
        <f>L8</f>
        <v>#N/A</v>
      </c>
      <c r="D8" s="697" t="e">
        <f>M8</f>
        <v>#N/A</v>
      </c>
      <c r="E8" s="698">
        <f>N8</f>
        <v>0</v>
      </c>
      <c r="F8" s="696" t="s">
        <v>723</v>
      </c>
      <c r="G8" s="698">
        <f>E8</f>
        <v>0</v>
      </c>
      <c r="H8" s="493" t="s">
        <v>333</v>
      </c>
      <c r="I8" s="485" t="s">
        <v>316</v>
      </c>
      <c r="J8" s="699"/>
      <c r="K8" s="413"/>
      <c r="L8" s="487" t="e">
        <f>HLOOKUP($C$5,'PY2 Data(H)'!$D$2:$CQ$399,6,FALSE)</f>
        <v>#N/A</v>
      </c>
      <c r="M8" s="487" t="e">
        <f>HLOOKUP($C$5,'PY1 Data(H)'!$D$2:$CQ$228,6,FALSE)</f>
        <v>#N/A</v>
      </c>
      <c r="N8" s="488">
        <f>Import!L50</f>
        <v>0</v>
      </c>
      <c r="O8" s="414"/>
      <c r="P8" s="414"/>
      <c r="Y8" s="412"/>
      <c r="Z8" s="423"/>
    </row>
    <row r="9" spans="1:81" s="119" customFormat="1" ht="18.600000000000001" thickBot="1" x14ac:dyDescent="0.35">
      <c r="A9" s="347"/>
      <c r="B9" s="744" t="s">
        <v>391</v>
      </c>
      <c r="C9" s="744"/>
      <c r="D9" s="744"/>
      <c r="E9" s="484">
        <v>2023</v>
      </c>
      <c r="F9" s="403" t="s">
        <v>392</v>
      </c>
      <c r="G9" s="404"/>
      <c r="H9" s="336"/>
      <c r="I9" s="345"/>
      <c r="J9" s="700"/>
      <c r="K9" s="418"/>
      <c r="L9" s="412"/>
      <c r="M9" s="412"/>
      <c r="N9" s="412"/>
      <c r="O9" s="412"/>
      <c r="P9" s="413"/>
      <c r="Q9" s="414"/>
      <c r="R9" s="414"/>
      <c r="S9" s="414"/>
      <c r="T9" s="414"/>
      <c r="U9" s="414"/>
      <c r="V9" s="414"/>
      <c r="W9" s="414"/>
      <c r="X9" s="414"/>
      <c r="Y9" s="414"/>
      <c r="Z9" s="414"/>
      <c r="AA9" s="414"/>
      <c r="AB9" s="414"/>
      <c r="AC9" s="414"/>
      <c r="AD9" s="414"/>
      <c r="AE9" s="414"/>
      <c r="AF9" s="414"/>
      <c r="AG9" s="414"/>
      <c r="AH9" s="414"/>
      <c r="AI9" s="414"/>
      <c r="AJ9" s="414"/>
      <c r="AK9" s="414"/>
      <c r="AL9" s="414"/>
      <c r="AM9" s="414"/>
      <c r="AN9" s="414"/>
      <c r="AO9" s="414"/>
      <c r="AP9" s="414"/>
      <c r="AQ9" s="414"/>
      <c r="AR9" s="414"/>
      <c r="AS9" s="414"/>
      <c r="AT9" s="414"/>
      <c r="AU9" s="414"/>
      <c r="AV9" s="414"/>
      <c r="AW9" s="414"/>
      <c r="AX9" s="414"/>
      <c r="AY9" s="414"/>
      <c r="AZ9" s="414"/>
      <c r="BA9" s="414"/>
      <c r="BB9" s="414"/>
      <c r="BC9" s="414"/>
      <c r="BD9" s="414"/>
      <c r="BE9" s="414"/>
      <c r="BF9" s="414"/>
      <c r="BG9" s="414"/>
      <c r="BH9" s="331"/>
      <c r="BI9" s="331"/>
      <c r="BJ9" s="331"/>
      <c r="BK9" s="331"/>
      <c r="BL9" s="331"/>
      <c r="BM9" s="331"/>
      <c r="BN9" s="331"/>
      <c r="BO9" s="331"/>
      <c r="BP9" s="331"/>
      <c r="BQ9" s="331"/>
      <c r="BR9" s="331"/>
      <c r="BS9" s="331"/>
      <c r="BT9" s="331"/>
      <c r="BU9" s="331"/>
      <c r="BV9" s="331"/>
      <c r="BW9" s="331"/>
      <c r="BX9" s="331"/>
      <c r="BY9" s="331"/>
      <c r="BZ9" s="331"/>
      <c r="CA9" s="331"/>
      <c r="CB9" s="331"/>
      <c r="CC9" s="331"/>
    </row>
    <row r="10" spans="1:81" s="119" customFormat="1" ht="92.25" customHeight="1" thickBot="1" x14ac:dyDescent="0.35">
      <c r="A10" s="405" t="s">
        <v>572</v>
      </c>
      <c r="B10" s="742" t="s">
        <v>946</v>
      </c>
      <c r="C10" s="743"/>
      <c r="D10" s="743"/>
      <c r="E10" s="677">
        <f>Import!L115</f>
        <v>0</v>
      </c>
      <c r="F10" s="678"/>
      <c r="G10" s="677" t="str">
        <f>IF('TD Info Completed by Auditor'!C26&gt;N10,"Late","Response Not Required")</f>
        <v>Response Not Required</v>
      </c>
      <c r="H10" s="343" t="s">
        <v>393</v>
      </c>
      <c r="I10" s="655" t="s">
        <v>916</v>
      </c>
      <c r="J10" s="699"/>
      <c r="K10" s="418"/>
      <c r="L10" s="667">
        <f>'TD Info Completed by Auditor'!C26</f>
        <v>0</v>
      </c>
      <c r="M10" s="668">
        <f>'TD Info Completed by Auditor'!C25</f>
        <v>45107</v>
      </c>
      <c r="N10" s="669">
        <f>IF(M10=DATEVALUE("6/30/2023"),N12,IF(M10=DATEVALUE("9/30/2023"),N13,IF(M10=DATEVALUE("12/31/2023"),N14,IF(M10=DATEVALUE("3/31/2024"),N15))))</f>
        <v>45291</v>
      </c>
      <c r="O10" s="412"/>
      <c r="P10" s="413"/>
      <c r="Q10" s="414"/>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4"/>
      <c r="AT10" s="414"/>
      <c r="AU10" s="414"/>
      <c r="AV10" s="414"/>
      <c r="AW10" s="414"/>
      <c r="AX10" s="414"/>
      <c r="AY10" s="414"/>
      <c r="AZ10" s="414"/>
      <c r="BA10" s="414"/>
      <c r="BB10" s="414"/>
      <c r="BC10" s="414"/>
      <c r="BD10" s="414"/>
      <c r="BE10" s="414"/>
      <c r="BF10" s="414"/>
      <c r="BG10" s="414"/>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row>
    <row r="11" spans="1:81" s="119" customFormat="1" ht="18" customHeight="1" thickBot="1" x14ac:dyDescent="0.35">
      <c r="A11" s="406"/>
      <c r="B11" s="749"/>
      <c r="C11" s="749"/>
      <c r="D11" s="750"/>
      <c r="E11" s="484">
        <v>2023</v>
      </c>
      <c r="F11" s="491" t="s">
        <v>392</v>
      </c>
      <c r="G11" s="337"/>
      <c r="H11" s="342"/>
      <c r="I11" s="346"/>
      <c r="J11" s="701"/>
      <c r="K11" s="418"/>
      <c r="L11" s="670" t="s">
        <v>948</v>
      </c>
      <c r="M11" s="412" t="s">
        <v>949</v>
      </c>
      <c r="N11" s="671"/>
      <c r="O11" s="412"/>
      <c r="P11" s="413"/>
      <c r="Q11" s="414"/>
      <c r="R11" s="414"/>
      <c r="S11" s="414"/>
      <c r="T11" s="414"/>
      <c r="U11" s="414"/>
      <c r="V11" s="414"/>
      <c r="W11" s="414"/>
      <c r="X11" s="414"/>
      <c r="Y11" s="414"/>
      <c r="Z11" s="414"/>
      <c r="AA11" s="414"/>
      <c r="AB11" s="414"/>
      <c r="AC11" s="414"/>
      <c r="AD11" s="414"/>
      <c r="AE11" s="414"/>
      <c r="AF11" s="414"/>
      <c r="AG11" s="414"/>
      <c r="AH11" s="414"/>
      <c r="AI11" s="414"/>
      <c r="AJ11" s="414"/>
      <c r="AK11" s="414"/>
      <c r="AL11" s="414"/>
      <c r="AM11" s="414"/>
      <c r="AN11" s="414"/>
      <c r="AO11" s="414"/>
      <c r="AP11" s="414"/>
      <c r="AQ11" s="414"/>
      <c r="AR11" s="414"/>
      <c r="AS11" s="414"/>
      <c r="AT11" s="414"/>
      <c r="AU11" s="414"/>
      <c r="AV11" s="414"/>
      <c r="AW11" s="414"/>
      <c r="AX11" s="414"/>
      <c r="AY11" s="414"/>
      <c r="AZ11" s="414"/>
      <c r="BA11" s="414"/>
      <c r="BB11" s="414"/>
      <c r="BC11" s="414"/>
      <c r="BD11" s="414"/>
      <c r="BE11" s="414"/>
      <c r="BF11" s="414"/>
      <c r="BG11" s="414"/>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row>
    <row r="12" spans="1:81" s="119" customFormat="1" ht="81.599999999999994" customHeight="1" thickBot="1" x14ac:dyDescent="0.35">
      <c r="A12" s="399" t="s">
        <v>573</v>
      </c>
      <c r="B12" s="745" t="s">
        <v>934</v>
      </c>
      <c r="C12" s="745"/>
      <c r="D12" s="742"/>
      <c r="E12" s="490" t="str">
        <f>IF(AND(Import!L80=2,AND(Import!L86&lt;=0,Import!L87&lt;=0)),"No","Yes")</f>
        <v>Yes</v>
      </c>
      <c r="F12" s="407"/>
      <c r="G12" s="402" t="str">
        <f>E12</f>
        <v>Yes</v>
      </c>
      <c r="H12" s="703" t="s">
        <v>942</v>
      </c>
      <c r="I12" s="489" t="s">
        <v>725</v>
      </c>
      <c r="J12" s="699"/>
      <c r="K12" s="418"/>
      <c r="L12" s="670"/>
      <c r="M12" s="672">
        <v>45107</v>
      </c>
      <c r="N12" s="673">
        <v>45291</v>
      </c>
      <c r="O12" s="412"/>
      <c r="P12" s="413"/>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4"/>
      <c r="AT12" s="414"/>
      <c r="AU12" s="414"/>
      <c r="AV12" s="414"/>
      <c r="AW12" s="414"/>
      <c r="AX12" s="414"/>
      <c r="AY12" s="414"/>
      <c r="AZ12" s="414"/>
      <c r="BA12" s="414"/>
      <c r="BB12" s="414"/>
      <c r="BC12" s="414"/>
      <c r="BD12" s="414"/>
      <c r="BE12" s="414"/>
      <c r="BF12" s="414"/>
      <c r="BG12" s="414"/>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row>
    <row r="13" spans="1:81" s="119" customFormat="1" ht="18" customHeight="1" thickBot="1" x14ac:dyDescent="0.35">
      <c r="A13" s="406"/>
      <c r="B13" s="744"/>
      <c r="C13" s="744"/>
      <c r="D13" s="746"/>
      <c r="E13" s="484">
        <v>2023</v>
      </c>
      <c r="F13" s="491" t="s">
        <v>392</v>
      </c>
      <c r="G13" s="338"/>
      <c r="H13" s="337"/>
      <c r="I13" s="344"/>
      <c r="J13" s="701"/>
      <c r="K13" s="418"/>
      <c r="L13" s="670"/>
      <c r="M13" s="672">
        <v>45199</v>
      </c>
      <c r="N13" s="673">
        <v>45382</v>
      </c>
      <c r="O13" s="412"/>
      <c r="P13" s="413"/>
      <c r="Q13" s="414"/>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414"/>
      <c r="BA13" s="414"/>
      <c r="BB13" s="414"/>
      <c r="BC13" s="414"/>
      <c r="BD13" s="414"/>
      <c r="BE13" s="414"/>
      <c r="BF13" s="414"/>
      <c r="BG13" s="414"/>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row>
    <row r="14" spans="1:81" s="119" customFormat="1" ht="73.650000000000006" customHeight="1" thickBot="1" x14ac:dyDescent="0.35">
      <c r="A14" s="399" t="s">
        <v>574</v>
      </c>
      <c r="B14" s="747" t="s">
        <v>575</v>
      </c>
      <c r="C14" s="747"/>
      <c r="D14" s="748"/>
      <c r="E14" s="490" t="str">
        <f>IF(Import!L90=1,"Yes",IF(Import!L90=2,"No",IF(Import!L90=3,"N/A",IF(Import!L90=0,"This question must be answered.  See cell C19 on TD"))))</f>
        <v>This question must be answered.  See cell C19 on TD</v>
      </c>
      <c r="F14" s="407"/>
      <c r="G14" s="402" t="str">
        <f>E14</f>
        <v>This question must be answered.  See cell C19 on TD</v>
      </c>
      <c r="H14" s="341" t="s">
        <v>394</v>
      </c>
      <c r="I14" s="486" t="s">
        <v>339</v>
      </c>
      <c r="J14" s="699"/>
      <c r="K14" s="418"/>
      <c r="L14" s="670"/>
      <c r="M14" s="672">
        <v>45291</v>
      </c>
      <c r="N14" s="673">
        <v>45473</v>
      </c>
      <c r="O14" s="412"/>
      <c r="P14" s="413"/>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4"/>
      <c r="AZ14" s="414"/>
      <c r="BA14" s="414"/>
      <c r="BB14" s="414"/>
      <c r="BC14" s="414"/>
      <c r="BD14" s="414"/>
      <c r="BE14" s="414"/>
      <c r="BF14" s="414"/>
      <c r="BG14" s="414"/>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row>
    <row r="15" spans="1:81" s="332" customFormat="1" x14ac:dyDescent="0.3">
      <c r="A15" s="408"/>
      <c r="B15" s="339"/>
      <c r="C15" s="339"/>
      <c r="D15" s="339"/>
      <c r="E15" s="339"/>
      <c r="F15" s="339"/>
      <c r="G15" s="339"/>
      <c r="H15" s="339"/>
      <c r="I15" s="340"/>
      <c r="J15" s="340"/>
      <c r="K15" s="424"/>
      <c r="L15" s="674"/>
      <c r="M15" s="675">
        <v>45382</v>
      </c>
      <c r="N15" s="676">
        <v>45565</v>
      </c>
      <c r="O15" s="412"/>
      <c r="P15" s="413"/>
      <c r="Q15" s="414"/>
      <c r="R15" s="414"/>
      <c r="S15" s="414"/>
      <c r="T15" s="414"/>
      <c r="U15" s="414"/>
      <c r="V15" s="414"/>
      <c r="W15" s="414"/>
      <c r="X15" s="414"/>
      <c r="Y15" s="414"/>
      <c r="Z15" s="414"/>
      <c r="AA15" s="414"/>
      <c r="AB15" s="414"/>
      <c r="AC15" s="414"/>
      <c r="AD15" s="414"/>
      <c r="AE15" s="414"/>
      <c r="AF15" s="414"/>
      <c r="AG15" s="414"/>
      <c r="AH15" s="414"/>
      <c r="AI15" s="414"/>
      <c r="AJ15" s="414"/>
      <c r="AK15" s="414"/>
      <c r="AL15" s="414"/>
      <c r="AM15" s="414"/>
      <c r="AN15" s="414"/>
      <c r="AO15" s="414"/>
      <c r="AP15" s="414"/>
      <c r="AQ15" s="414"/>
      <c r="AR15" s="414"/>
      <c r="AS15" s="414"/>
      <c r="AT15" s="414"/>
      <c r="AU15" s="414"/>
      <c r="AV15" s="414"/>
      <c r="AW15" s="414"/>
      <c r="AX15" s="414"/>
      <c r="AY15" s="414"/>
      <c r="AZ15" s="414"/>
      <c r="BA15" s="414"/>
      <c r="BB15" s="414"/>
      <c r="BC15" s="414"/>
      <c r="BD15" s="414"/>
      <c r="BE15" s="414"/>
      <c r="BF15" s="414"/>
      <c r="BG15" s="414"/>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row>
  </sheetData>
  <sheetProtection algorithmName="SHA-512" hashValue="ztFriCpUFgJ7zqrz0Cl9sM/bga9qA8AtsJVh7Qne6IAiI6ShSitxA0dUPMk9PSDkgHJH57RRgvXOSbk0op0HVw==" saltValue="80zS7E+NMt+cpps6ql9RKw==" spinCount="100000" sheet="1" objects="1" scenarios="1"/>
  <mergeCells count="16">
    <mergeCell ref="I1:J1"/>
    <mergeCell ref="B1:H1"/>
    <mergeCell ref="B2:H2"/>
    <mergeCell ref="C4:E4"/>
    <mergeCell ref="F4:G5"/>
    <mergeCell ref="H4:H5"/>
    <mergeCell ref="C5:E5"/>
    <mergeCell ref="I2:I6"/>
    <mergeCell ref="J2:J6"/>
    <mergeCell ref="B6:H6"/>
    <mergeCell ref="B10:D10"/>
    <mergeCell ref="B9:D9"/>
    <mergeCell ref="B12:D12"/>
    <mergeCell ref="B13:D13"/>
    <mergeCell ref="B14:D14"/>
    <mergeCell ref="B11:D11"/>
  </mergeCells>
  <conditionalFormatting sqref="G12">
    <cfRule type="cellIs" dxfId="13" priority="26" operator="equal">
      <formula>"Yes"</formula>
    </cfRule>
  </conditionalFormatting>
  <conditionalFormatting sqref="G14">
    <cfRule type="cellIs" dxfId="12" priority="25" operator="equal">
      <formula>"Yes"</formula>
    </cfRule>
  </conditionalFormatting>
  <conditionalFormatting sqref="G8">
    <cfRule type="cellIs" dxfId="11" priority="15" operator="lessThan">
      <formula>0</formula>
    </cfRule>
  </conditionalFormatting>
  <conditionalFormatting sqref="E14 G14">
    <cfRule type="containsText" dxfId="10" priority="8" operator="containsText" text="This question must be answered">
      <formula>NOT(ISERROR(SEARCH("This question must be answered",E14)))</formula>
    </cfRule>
  </conditionalFormatting>
  <conditionalFormatting sqref="G10">
    <cfRule type="cellIs" dxfId="9" priority="4" operator="equal">
      <formula>"Late"</formula>
    </cfRule>
  </conditionalFormatting>
  <conditionalFormatting sqref="E10 G10">
    <cfRule type="containsText" dxfId="8" priority="3" operator="containsText" text="This question must be answered">
      <formula>NOT(ISERROR(SEARCH("This question must be answered",E10)))</formula>
    </cfRule>
  </conditionalFormatting>
  <pageMargins left="0.25" right="0.25" top="0.05" bottom="0.25" header="0.3" footer="0.25"/>
  <pageSetup scale="61" fitToHeight="0" orientation="landscape" r:id="rId1"/>
  <headerFooter>
    <oddFooter>&amp;C&amp;12&amp;P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CBE27-B4E2-486C-87CB-9EAD0621FB64}">
  <dimension ref="A2:K43"/>
  <sheetViews>
    <sheetView workbookViewId="0">
      <selection activeCell="C31" sqref="C31"/>
    </sheetView>
  </sheetViews>
  <sheetFormatPr defaultColWidth="9.109375" defaultRowHeight="14.4" x14ac:dyDescent="0.3"/>
  <cols>
    <col min="1" max="1" width="4.77734375" style="119" customWidth="1"/>
    <col min="2" max="2" width="77.21875" style="119" customWidth="1"/>
    <col min="3" max="3" width="20.21875" style="119" customWidth="1"/>
    <col min="4" max="4" width="3.6640625" style="119" customWidth="1"/>
    <col min="5" max="5" width="20.21875" style="119" customWidth="1"/>
    <col min="6" max="6" width="6.21875" style="119" customWidth="1"/>
    <col min="7" max="7" width="17.33203125" style="119" customWidth="1"/>
    <col min="8" max="8" width="34.77734375" style="119" customWidth="1"/>
    <col min="9" max="9" width="15" style="97" customWidth="1"/>
    <col min="10" max="10" width="56.5546875" style="119" customWidth="1"/>
    <col min="11" max="11" width="18.33203125" style="119" customWidth="1"/>
    <col min="12" max="12" width="19.88671875" style="119" customWidth="1"/>
    <col min="13" max="13" width="17.77734375" style="119" customWidth="1"/>
    <col min="14" max="16384" width="9.109375" style="119"/>
  </cols>
  <sheetData>
    <row r="2" spans="1:11" ht="14.4" customHeight="1" x14ac:dyDescent="0.3">
      <c r="B2" s="776" t="s">
        <v>746</v>
      </c>
      <c r="C2" s="776"/>
      <c r="D2" s="776"/>
      <c r="E2" s="776"/>
      <c r="F2" s="582"/>
      <c r="G2" s="583"/>
    </row>
    <row r="4" spans="1:11" ht="15.6" x14ac:dyDescent="0.3">
      <c r="A4" s="583"/>
      <c r="B4" s="584" t="str">
        <f>'Unit Data from Audit Worksheet'!D2</f>
        <v>Select Unit Name from Drop Down List</v>
      </c>
      <c r="C4" s="585">
        <f>'Unit Data from Audit Worksheet'!F5</f>
        <v>2023</v>
      </c>
      <c r="E4" s="586">
        <f>'Unit Data from Audit Worksheet'!F5</f>
        <v>2023</v>
      </c>
    </row>
    <row r="5" spans="1:11" ht="27.6" x14ac:dyDescent="0.4">
      <c r="A5" s="587"/>
      <c r="B5" s="588" t="s">
        <v>747</v>
      </c>
      <c r="C5" s="589" t="s">
        <v>748</v>
      </c>
      <c r="D5" s="587"/>
      <c r="E5" s="590" t="s">
        <v>749</v>
      </c>
      <c r="G5" s="97"/>
      <c r="I5" s="119"/>
    </row>
    <row r="6" spans="1:11" x14ac:dyDescent="0.3">
      <c r="A6" s="583"/>
      <c r="B6" s="591" t="s">
        <v>750</v>
      </c>
      <c r="C6" s="592"/>
      <c r="D6" s="592"/>
      <c r="E6" s="592"/>
      <c r="G6" s="97"/>
      <c r="I6" s="119"/>
    </row>
    <row r="7" spans="1:11" x14ac:dyDescent="0.3">
      <c r="A7" s="583"/>
      <c r="B7" s="593" t="s">
        <v>751</v>
      </c>
      <c r="C7" s="594">
        <f>Import!L39</f>
        <v>0</v>
      </c>
      <c r="D7" s="595"/>
      <c r="E7" s="594">
        <f>C7</f>
        <v>0</v>
      </c>
      <c r="G7" s="596">
        <v>506</v>
      </c>
      <c r="H7" s="597" t="s">
        <v>97</v>
      </c>
      <c r="I7" s="119"/>
    </row>
    <row r="8" spans="1:11" x14ac:dyDescent="0.3">
      <c r="A8" s="583"/>
      <c r="B8" s="593" t="s">
        <v>752</v>
      </c>
      <c r="C8" s="598">
        <f>Import!L40</f>
        <v>0</v>
      </c>
      <c r="D8" s="599"/>
      <c r="E8" s="599"/>
      <c r="G8" s="596">
        <v>536</v>
      </c>
      <c r="H8" s="597" t="s">
        <v>98</v>
      </c>
      <c r="I8" s="119"/>
    </row>
    <row r="9" spans="1:11" x14ac:dyDescent="0.3">
      <c r="A9" s="583"/>
      <c r="B9" s="593" t="s">
        <v>753</v>
      </c>
      <c r="C9" s="600">
        <f>Import!L43</f>
        <v>0</v>
      </c>
      <c r="D9" s="599"/>
      <c r="E9" s="600">
        <f>C9</f>
        <v>0</v>
      </c>
      <c r="G9" s="596">
        <v>4</v>
      </c>
      <c r="H9" s="597" t="s">
        <v>48</v>
      </c>
      <c r="I9" s="119"/>
    </row>
    <row r="10" spans="1:11" x14ac:dyDescent="0.3">
      <c r="A10" s="583"/>
      <c r="B10" s="593" t="s">
        <v>754</v>
      </c>
      <c r="C10" s="601">
        <f>Import!L77</f>
        <v>0</v>
      </c>
      <c r="D10" s="599"/>
      <c r="E10" s="600">
        <f>C10</f>
        <v>0</v>
      </c>
      <c r="G10" s="596">
        <v>6</v>
      </c>
      <c r="H10" s="597" t="s">
        <v>155</v>
      </c>
      <c r="I10" s="119"/>
    </row>
    <row r="11" spans="1:11" x14ac:dyDescent="0.3">
      <c r="A11" s="583"/>
      <c r="B11" s="593" t="s">
        <v>755</v>
      </c>
      <c r="C11" s="602">
        <f>Import!L44</f>
        <v>0</v>
      </c>
      <c r="D11" s="603"/>
      <c r="E11" s="600">
        <f>C11</f>
        <v>0</v>
      </c>
      <c r="G11" s="596">
        <v>5</v>
      </c>
      <c r="H11" s="597" t="s">
        <v>49</v>
      </c>
      <c r="I11" s="119"/>
    </row>
    <row r="12" spans="1:11" x14ac:dyDescent="0.3">
      <c r="A12" s="604"/>
      <c r="B12" s="593" t="s">
        <v>756</v>
      </c>
      <c r="C12" s="605">
        <f>C7+C8-SUM(C9:C11)</f>
        <v>0</v>
      </c>
      <c r="E12" s="605">
        <f>E7-SUM(E9:E11)</f>
        <v>0</v>
      </c>
      <c r="G12" s="596" t="s">
        <v>757</v>
      </c>
      <c r="H12" s="606" t="s">
        <v>780</v>
      </c>
      <c r="I12" s="119" t="s">
        <v>758</v>
      </c>
      <c r="J12" s="606" t="s">
        <v>759</v>
      </c>
      <c r="K12" s="607"/>
    </row>
    <row r="13" spans="1:11" x14ac:dyDescent="0.3">
      <c r="A13" s="583"/>
      <c r="B13" s="583"/>
      <c r="C13" s="592"/>
      <c r="D13" s="592"/>
      <c r="E13" s="592"/>
      <c r="G13" s="596"/>
      <c r="H13" s="597"/>
      <c r="I13" s="119"/>
    </row>
    <row r="14" spans="1:11" x14ac:dyDescent="0.3">
      <c r="A14" s="583"/>
      <c r="B14" s="593" t="s">
        <v>760</v>
      </c>
      <c r="C14" s="608">
        <f>Import!L50</f>
        <v>0</v>
      </c>
      <c r="D14" s="592"/>
      <c r="E14" s="592"/>
      <c r="G14" s="596">
        <v>9</v>
      </c>
      <c r="H14" s="597" t="s">
        <v>103</v>
      </c>
      <c r="I14" s="119"/>
    </row>
    <row r="15" spans="1:11" x14ac:dyDescent="0.3">
      <c r="A15" s="583"/>
      <c r="B15" s="593" t="s">
        <v>761</v>
      </c>
      <c r="C15" s="609">
        <f>C14-C12</f>
        <v>0</v>
      </c>
      <c r="D15" s="592"/>
      <c r="E15" s="592"/>
      <c r="G15" s="596" t="s">
        <v>757</v>
      </c>
      <c r="H15" s="606" t="s">
        <v>781</v>
      </c>
      <c r="I15" s="610"/>
    </row>
    <row r="16" spans="1:11" x14ac:dyDescent="0.3">
      <c r="A16" s="583"/>
      <c r="B16" s="611" t="s">
        <v>762</v>
      </c>
      <c r="C16" s="592"/>
      <c r="D16" s="592"/>
      <c r="E16" s="592"/>
      <c r="G16" s="596"/>
      <c r="H16" s="597"/>
      <c r="I16" s="119"/>
    </row>
    <row r="17" spans="1:9" x14ac:dyDescent="0.3">
      <c r="A17" s="612" t="s">
        <v>763</v>
      </c>
      <c r="B17" s="593" t="s">
        <v>764</v>
      </c>
      <c r="C17" s="609">
        <f>Import!L47</f>
        <v>0</v>
      </c>
      <c r="D17" s="592"/>
      <c r="E17" s="592"/>
      <c r="G17" s="596">
        <v>7</v>
      </c>
      <c r="H17" s="597" t="s">
        <v>101</v>
      </c>
      <c r="I17" s="119"/>
    </row>
    <row r="18" spans="1:9" ht="15" thickBot="1" x14ac:dyDescent="0.35">
      <c r="B18" s="593" t="s">
        <v>765</v>
      </c>
      <c r="C18" s="613">
        <f>(C15-SUM(C17:C17))</f>
        <v>0</v>
      </c>
      <c r="D18" s="592"/>
      <c r="E18" s="592"/>
      <c r="G18" s="596" t="s">
        <v>757</v>
      </c>
      <c r="H18" s="606" t="s">
        <v>782</v>
      </c>
      <c r="I18" s="119"/>
    </row>
    <row r="19" spans="1:9" ht="15" thickTop="1" x14ac:dyDescent="0.3">
      <c r="B19" s="583"/>
      <c r="C19" s="592"/>
      <c r="D19" s="592"/>
      <c r="E19" s="592"/>
      <c r="G19" s="596"/>
      <c r="H19" s="597"/>
      <c r="I19" s="119"/>
    </row>
    <row r="20" spans="1:9" ht="15" thickBot="1" x14ac:dyDescent="0.35">
      <c r="B20" s="593" t="s">
        <v>766</v>
      </c>
      <c r="C20" s="614">
        <f>Import!L46</f>
        <v>0</v>
      </c>
      <c r="D20" s="592"/>
      <c r="E20" s="592"/>
      <c r="G20" s="596">
        <v>391</v>
      </c>
      <c r="H20" s="597" t="s">
        <v>100</v>
      </c>
      <c r="I20" s="119"/>
    </row>
    <row r="21" spans="1:9" ht="15.6" thickTop="1" thickBot="1" x14ac:dyDescent="0.35">
      <c r="B21" s="615"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616">
        <f>ABS(C18-C20)</f>
        <v>0</v>
      </c>
      <c r="D21" s="592"/>
      <c r="E21" s="592"/>
      <c r="G21" s="97"/>
      <c r="I21" s="119"/>
    </row>
    <row r="22" spans="1:9" ht="42" customHeight="1" thickTop="1" x14ac:dyDescent="0.3">
      <c r="B22" s="617" t="str">
        <f>IF(C18&gt;C20,"Since Restricted-Stabilization by State Statute was understated, verfiy that the unit did not appropriate fund balance in excess of legal amount available in row 12 above.","")</f>
        <v/>
      </c>
      <c r="C22" s="617"/>
      <c r="D22" s="617"/>
      <c r="E22" s="617"/>
      <c r="F22" s="592"/>
      <c r="G22" s="592"/>
    </row>
    <row r="23" spans="1:9" x14ac:dyDescent="0.3">
      <c r="B23" s="611" t="s">
        <v>767</v>
      </c>
      <c r="C23" s="592"/>
      <c r="D23" s="592"/>
      <c r="E23" s="618" t="s">
        <v>768</v>
      </c>
      <c r="G23" s="97"/>
      <c r="I23" s="119"/>
    </row>
    <row r="24" spans="1:9" x14ac:dyDescent="0.3">
      <c r="B24" s="611"/>
      <c r="C24" s="589" t="s">
        <v>769</v>
      </c>
      <c r="D24" s="592"/>
      <c r="E24" s="589" t="s">
        <v>770</v>
      </c>
      <c r="G24" s="97"/>
      <c r="I24" s="119"/>
    </row>
    <row r="25" spans="1:9" x14ac:dyDescent="0.3">
      <c r="B25" s="591" t="s">
        <v>771</v>
      </c>
      <c r="C25" s="592"/>
      <c r="D25" s="592"/>
      <c r="E25" s="592"/>
      <c r="G25" s="97"/>
      <c r="I25" s="119"/>
    </row>
    <row r="26" spans="1:9" x14ac:dyDescent="0.3">
      <c r="B26" s="593" t="s">
        <v>772</v>
      </c>
      <c r="C26" s="594">
        <f>Import!L53</f>
        <v>0</v>
      </c>
      <c r="D26" s="595"/>
      <c r="E26" s="594">
        <f>C26</f>
        <v>0</v>
      </c>
      <c r="G26" s="619">
        <v>532</v>
      </c>
      <c r="H26" s="620" t="s">
        <v>729</v>
      </c>
      <c r="I26" s="119"/>
    </row>
    <row r="27" spans="1:9" x14ac:dyDescent="0.3">
      <c r="B27" s="591" t="s">
        <v>773</v>
      </c>
      <c r="C27" s="592"/>
      <c r="D27" s="592"/>
      <c r="E27" s="592"/>
      <c r="G27" s="97"/>
      <c r="H27" s="597"/>
      <c r="I27" s="119"/>
    </row>
    <row r="28" spans="1:9" x14ac:dyDescent="0.3">
      <c r="B28" s="593" t="s">
        <v>774</v>
      </c>
      <c r="C28" s="598">
        <f>Import!L55</f>
        <v>0</v>
      </c>
      <c r="D28" s="599"/>
      <c r="E28" s="598">
        <f>C28</f>
        <v>0</v>
      </c>
      <c r="G28" s="619">
        <v>20</v>
      </c>
      <c r="H28" s="597" t="s">
        <v>108</v>
      </c>
      <c r="I28" s="119"/>
    </row>
    <row r="29" spans="1:9" ht="41.4" x14ac:dyDescent="0.3">
      <c r="B29" s="593" t="s">
        <v>775</v>
      </c>
      <c r="C29" s="598">
        <f>Import!L58</f>
        <v>0</v>
      </c>
      <c r="D29" s="599"/>
      <c r="E29" s="598">
        <f>C29</f>
        <v>0</v>
      </c>
      <c r="G29" s="619">
        <v>509</v>
      </c>
      <c r="H29" s="621" t="s">
        <v>188</v>
      </c>
      <c r="I29" s="119"/>
    </row>
    <row r="30" spans="1:9" x14ac:dyDescent="0.3">
      <c r="B30" s="593" t="s">
        <v>776</v>
      </c>
      <c r="C30" s="598">
        <f>Import!L88</f>
        <v>0</v>
      </c>
      <c r="D30" s="599"/>
      <c r="E30" s="598">
        <f>C30</f>
        <v>0</v>
      </c>
      <c r="G30" s="619">
        <v>533</v>
      </c>
      <c r="H30" s="597" t="s">
        <v>107</v>
      </c>
      <c r="I30" s="119"/>
    </row>
    <row r="31" spans="1:9" ht="41.4" x14ac:dyDescent="0.3">
      <c r="B31" s="593" t="s">
        <v>777</v>
      </c>
      <c r="C31" s="598">
        <f>Import!L57</f>
        <v>0</v>
      </c>
      <c r="D31" s="599"/>
      <c r="E31" s="598">
        <f>C31</f>
        <v>0</v>
      </c>
      <c r="G31" s="619">
        <v>508</v>
      </c>
      <c r="H31" s="621" t="s">
        <v>190</v>
      </c>
      <c r="I31" s="119"/>
    </row>
    <row r="32" spans="1:9" ht="15" thickBot="1" x14ac:dyDescent="0.35">
      <c r="B32" s="622" t="s">
        <v>778</v>
      </c>
      <c r="C32" s="627">
        <f>SUM(C26:C28)-C30</f>
        <v>0</v>
      </c>
      <c r="D32" s="595"/>
      <c r="E32" s="627">
        <f>SUM(E26:E28)-E30</f>
        <v>0</v>
      </c>
      <c r="G32" s="596" t="s">
        <v>757</v>
      </c>
      <c r="H32" s="607" t="s">
        <v>783</v>
      </c>
      <c r="I32" s="119"/>
    </row>
    <row r="33" spans="1:9" ht="15" thickTop="1" x14ac:dyDescent="0.3">
      <c r="B33" s="592"/>
      <c r="C33" s="592"/>
      <c r="D33" s="592"/>
      <c r="E33" s="592"/>
      <c r="G33" s="97"/>
      <c r="I33" s="119"/>
    </row>
    <row r="34" spans="1:9" ht="15" thickBot="1" x14ac:dyDescent="0.35">
      <c r="B34" s="622" t="s">
        <v>779</v>
      </c>
      <c r="C34" s="623" t="e">
        <f>C12/C32</f>
        <v>#DIV/0!</v>
      </c>
      <c r="D34" s="592"/>
      <c r="E34" s="623" t="e">
        <f>E12/E32</f>
        <v>#DIV/0!</v>
      </c>
      <c r="G34" s="97"/>
      <c r="I34" s="119"/>
    </row>
    <row r="35" spans="1:9" ht="15" thickTop="1" x14ac:dyDescent="0.3">
      <c r="C35" s="592"/>
      <c r="D35" s="592"/>
      <c r="E35" s="592"/>
      <c r="G35" s="97"/>
      <c r="I35" s="119"/>
    </row>
    <row r="36" spans="1:9" ht="15.6" x14ac:dyDescent="0.3">
      <c r="A36" s="624"/>
    </row>
    <row r="38" spans="1:9" x14ac:dyDescent="0.3">
      <c r="E38" s="625"/>
    </row>
    <row r="39" spans="1:9" x14ac:dyDescent="0.3">
      <c r="E39" s="626"/>
    </row>
    <row r="40" spans="1:9" x14ac:dyDescent="0.3">
      <c r="E40" s="626"/>
    </row>
    <row r="41" spans="1:9" x14ac:dyDescent="0.3">
      <c r="E41" s="626"/>
    </row>
    <row r="42" spans="1:9" x14ac:dyDescent="0.3">
      <c r="E42" s="626"/>
    </row>
    <row r="43" spans="1:9" x14ac:dyDescent="0.3">
      <c r="E43" s="626"/>
    </row>
  </sheetData>
  <sheetProtection algorithmName="SHA-512" hashValue="xmWMzr5u886lN8GnmTt245dAYRmLfEJbYFnfnGWWfBrjytj3pYbxBnIv9ixnw+oXdwrqPCLGSyxPlaDwsjAxEA==" saltValue="rrl1Dvhm9GLewgy9E7Bs9A==" spinCount="100000" sheet="1" objects="1" scenarios="1"/>
  <mergeCells count="1">
    <mergeCell ref="B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7AD2C-DD2B-4842-8F8D-7255D527100F}">
  <dimension ref="A1:S83"/>
  <sheetViews>
    <sheetView workbookViewId="0">
      <selection activeCell="C1" sqref="C1"/>
    </sheetView>
  </sheetViews>
  <sheetFormatPr defaultRowHeight="14.4" x14ac:dyDescent="0.3"/>
  <cols>
    <col min="4" max="19" width="20.77734375" customWidth="1"/>
  </cols>
  <sheetData>
    <row r="1" spans="1:19" x14ac:dyDescent="0.3">
      <c r="D1" t="s">
        <v>600</v>
      </c>
      <c r="E1" t="s">
        <v>601</v>
      </c>
      <c r="F1" t="s">
        <v>602</v>
      </c>
      <c r="G1" t="s">
        <v>603</v>
      </c>
      <c r="H1" t="s">
        <v>604</v>
      </c>
      <c r="I1" t="s">
        <v>605</v>
      </c>
      <c r="J1" t="s">
        <v>606</v>
      </c>
      <c r="K1" t="s">
        <v>607</v>
      </c>
      <c r="L1" t="s">
        <v>608</v>
      </c>
      <c r="M1" t="s">
        <v>609</v>
      </c>
      <c r="N1" t="s">
        <v>610</v>
      </c>
      <c r="O1" t="s">
        <v>611</v>
      </c>
      <c r="P1" t="s">
        <v>612</v>
      </c>
      <c r="Q1" t="s">
        <v>613</v>
      </c>
      <c r="R1" t="s">
        <v>614</v>
      </c>
      <c r="S1" t="s">
        <v>615</v>
      </c>
    </row>
    <row r="2" spans="1:19" x14ac:dyDescent="0.3">
      <c r="D2">
        <v>551100</v>
      </c>
      <c r="E2">
        <v>551101</v>
      </c>
      <c r="F2">
        <v>551102</v>
      </c>
      <c r="G2">
        <v>551103</v>
      </c>
      <c r="H2">
        <v>551113</v>
      </c>
      <c r="I2">
        <v>551104</v>
      </c>
      <c r="J2">
        <v>551105</v>
      </c>
      <c r="K2">
        <v>551106</v>
      </c>
      <c r="L2">
        <v>551107</v>
      </c>
      <c r="M2">
        <v>551108</v>
      </c>
      <c r="N2">
        <v>551109</v>
      </c>
      <c r="O2">
        <v>551112</v>
      </c>
      <c r="P2">
        <v>551115</v>
      </c>
      <c r="Q2">
        <v>551116</v>
      </c>
      <c r="R2">
        <v>551114</v>
      </c>
      <c r="S2">
        <v>551117</v>
      </c>
    </row>
    <row r="3" spans="1:19" x14ac:dyDescent="0.3">
      <c r="A3">
        <v>333</v>
      </c>
      <c r="D3">
        <v>1386789</v>
      </c>
      <c r="E3">
        <v>667744</v>
      </c>
      <c r="F3">
        <v>822707</v>
      </c>
      <c r="G3">
        <v>0</v>
      </c>
      <c r="H3">
        <v>1118408</v>
      </c>
      <c r="I3">
        <v>1443156</v>
      </c>
      <c r="J3">
        <v>3247764</v>
      </c>
      <c r="K3">
        <v>478120</v>
      </c>
      <c r="L3">
        <v>417316</v>
      </c>
      <c r="M3">
        <v>943748</v>
      </c>
      <c r="N3">
        <v>0</v>
      </c>
      <c r="O3">
        <v>4720765</v>
      </c>
      <c r="P3">
        <v>234861</v>
      </c>
      <c r="Q3">
        <v>1786624</v>
      </c>
      <c r="R3">
        <v>190272</v>
      </c>
      <c r="S3">
        <v>1711800</v>
      </c>
    </row>
    <row r="4" spans="1:19" x14ac:dyDescent="0.3">
      <c r="A4">
        <v>500</v>
      </c>
      <c r="D4">
        <v>310598</v>
      </c>
      <c r="E4">
        <v>0</v>
      </c>
      <c r="F4">
        <v>0</v>
      </c>
      <c r="G4">
        <v>0</v>
      </c>
      <c r="H4">
        <v>0</v>
      </c>
      <c r="I4">
        <v>0</v>
      </c>
      <c r="J4">
        <v>0</v>
      </c>
      <c r="K4">
        <v>0</v>
      </c>
      <c r="L4">
        <v>0</v>
      </c>
      <c r="M4">
        <v>0</v>
      </c>
      <c r="N4">
        <v>0</v>
      </c>
      <c r="O4">
        <v>0</v>
      </c>
      <c r="P4">
        <v>930556</v>
      </c>
      <c r="Q4">
        <v>0</v>
      </c>
      <c r="R4">
        <v>0</v>
      </c>
      <c r="S4">
        <v>462336</v>
      </c>
    </row>
    <row r="5" spans="1:19" x14ac:dyDescent="0.3">
      <c r="A5">
        <v>385</v>
      </c>
      <c r="D5">
        <v>3500330</v>
      </c>
      <c r="E5">
        <v>3168903</v>
      </c>
      <c r="F5">
        <v>6391076</v>
      </c>
      <c r="G5">
        <v>0</v>
      </c>
      <c r="H5">
        <v>3759532</v>
      </c>
      <c r="I5">
        <v>4824780</v>
      </c>
      <c r="J5">
        <v>8366447</v>
      </c>
      <c r="K5">
        <v>3349219</v>
      </c>
      <c r="L5">
        <v>2071677</v>
      </c>
      <c r="M5">
        <v>3349917</v>
      </c>
      <c r="N5">
        <v>0</v>
      </c>
      <c r="O5">
        <v>15075152</v>
      </c>
      <c r="P5">
        <v>4507020</v>
      </c>
      <c r="Q5">
        <v>6910265</v>
      </c>
      <c r="R5">
        <v>2781546</v>
      </c>
      <c r="S5">
        <v>8331808</v>
      </c>
    </row>
    <row r="6" spans="1:19" x14ac:dyDescent="0.3">
      <c r="A6">
        <v>575</v>
      </c>
      <c r="D6">
        <v>0</v>
      </c>
      <c r="E6">
        <v>0</v>
      </c>
      <c r="F6">
        <v>0</v>
      </c>
      <c r="G6">
        <v>0</v>
      </c>
      <c r="H6">
        <v>0</v>
      </c>
      <c r="I6">
        <v>0</v>
      </c>
      <c r="J6">
        <v>0</v>
      </c>
      <c r="K6">
        <v>0</v>
      </c>
      <c r="L6">
        <v>0</v>
      </c>
      <c r="M6">
        <v>0</v>
      </c>
      <c r="N6">
        <v>0</v>
      </c>
      <c r="O6">
        <v>0</v>
      </c>
      <c r="P6">
        <v>0</v>
      </c>
      <c r="Q6">
        <v>0</v>
      </c>
      <c r="R6">
        <v>0</v>
      </c>
      <c r="S6">
        <v>0</v>
      </c>
    </row>
    <row r="7" spans="1:19" x14ac:dyDescent="0.3">
      <c r="A7">
        <v>576</v>
      </c>
      <c r="D7">
        <v>0</v>
      </c>
      <c r="E7">
        <v>0</v>
      </c>
      <c r="F7">
        <v>0</v>
      </c>
      <c r="G7">
        <v>0</v>
      </c>
      <c r="H7">
        <v>0</v>
      </c>
      <c r="I7">
        <v>0</v>
      </c>
      <c r="J7">
        <v>0</v>
      </c>
      <c r="K7">
        <v>0</v>
      </c>
      <c r="L7">
        <v>0</v>
      </c>
      <c r="M7">
        <v>0</v>
      </c>
      <c r="N7">
        <v>0</v>
      </c>
      <c r="O7">
        <v>0</v>
      </c>
      <c r="P7">
        <v>0</v>
      </c>
      <c r="Q7">
        <v>0</v>
      </c>
      <c r="R7">
        <v>0</v>
      </c>
      <c r="S7">
        <v>0</v>
      </c>
    </row>
    <row r="8" spans="1:19" x14ac:dyDescent="0.3">
      <c r="A8">
        <v>626</v>
      </c>
      <c r="D8">
        <v>405766</v>
      </c>
      <c r="E8">
        <v>1995940</v>
      </c>
      <c r="F8">
        <v>4320736</v>
      </c>
      <c r="G8">
        <v>0</v>
      </c>
      <c r="H8">
        <v>755423</v>
      </c>
      <c r="I8">
        <v>1421411</v>
      </c>
      <c r="J8">
        <v>2371525</v>
      </c>
      <c r="K8">
        <v>1316005</v>
      </c>
      <c r="L8">
        <v>1147609</v>
      </c>
      <c r="M8">
        <v>2236450</v>
      </c>
      <c r="N8">
        <v>0</v>
      </c>
      <c r="O8">
        <v>5603754</v>
      </c>
      <c r="P8">
        <v>810738</v>
      </c>
      <c r="Q8">
        <v>4096252</v>
      </c>
      <c r="R8">
        <v>862973</v>
      </c>
      <c r="S8">
        <v>1700511</v>
      </c>
    </row>
    <row r="9" spans="1:19" x14ac:dyDescent="0.3">
      <c r="A9">
        <v>627</v>
      </c>
      <c r="D9">
        <v>0</v>
      </c>
      <c r="E9">
        <v>0</v>
      </c>
      <c r="F9">
        <v>0</v>
      </c>
      <c r="G9">
        <v>0</v>
      </c>
      <c r="H9">
        <v>0</v>
      </c>
      <c r="I9">
        <v>0</v>
      </c>
      <c r="J9">
        <v>0</v>
      </c>
      <c r="K9">
        <v>0</v>
      </c>
      <c r="L9">
        <v>0</v>
      </c>
      <c r="M9">
        <v>0</v>
      </c>
      <c r="N9">
        <v>0</v>
      </c>
      <c r="O9">
        <v>0</v>
      </c>
      <c r="P9">
        <v>0</v>
      </c>
      <c r="Q9">
        <v>0</v>
      </c>
      <c r="R9">
        <v>0</v>
      </c>
      <c r="S9">
        <v>0</v>
      </c>
    </row>
    <row r="10" spans="1:19" x14ac:dyDescent="0.3">
      <c r="A10">
        <v>628</v>
      </c>
      <c r="D10">
        <v>0</v>
      </c>
      <c r="E10">
        <v>0</v>
      </c>
      <c r="F10">
        <v>276249</v>
      </c>
      <c r="G10">
        <v>0</v>
      </c>
      <c r="H10">
        <v>41491</v>
      </c>
      <c r="I10">
        <v>44158</v>
      </c>
      <c r="J10">
        <v>107684</v>
      </c>
      <c r="K10">
        <v>0</v>
      </c>
      <c r="L10">
        <v>0</v>
      </c>
      <c r="M10">
        <v>0</v>
      </c>
      <c r="N10">
        <v>0</v>
      </c>
      <c r="O10">
        <v>46322</v>
      </c>
      <c r="P10">
        <v>30402</v>
      </c>
      <c r="Q10">
        <v>0</v>
      </c>
      <c r="R10">
        <v>0</v>
      </c>
      <c r="S10">
        <v>275852</v>
      </c>
    </row>
    <row r="11" spans="1:19" x14ac:dyDescent="0.3">
      <c r="A11">
        <v>629</v>
      </c>
      <c r="D11">
        <v>0</v>
      </c>
      <c r="E11">
        <v>0</v>
      </c>
      <c r="F11">
        <v>0</v>
      </c>
      <c r="G11">
        <v>0</v>
      </c>
      <c r="H11">
        <v>0</v>
      </c>
      <c r="I11">
        <v>0</v>
      </c>
      <c r="J11">
        <v>0</v>
      </c>
      <c r="K11">
        <v>0</v>
      </c>
      <c r="L11">
        <v>0</v>
      </c>
      <c r="M11">
        <v>0</v>
      </c>
      <c r="N11">
        <v>0</v>
      </c>
      <c r="O11">
        <v>0</v>
      </c>
      <c r="P11">
        <v>0</v>
      </c>
      <c r="Q11">
        <v>0</v>
      </c>
      <c r="R11">
        <v>0</v>
      </c>
      <c r="S11">
        <v>0</v>
      </c>
    </row>
    <row r="12" spans="1:19" x14ac:dyDescent="0.3">
      <c r="A12">
        <v>630</v>
      </c>
      <c r="D12">
        <v>0</v>
      </c>
      <c r="E12">
        <v>0</v>
      </c>
      <c r="F12">
        <v>0</v>
      </c>
      <c r="G12">
        <v>0</v>
      </c>
      <c r="H12">
        <v>0</v>
      </c>
      <c r="I12">
        <v>0</v>
      </c>
      <c r="J12">
        <v>0</v>
      </c>
      <c r="K12">
        <v>0</v>
      </c>
      <c r="L12">
        <v>0</v>
      </c>
      <c r="M12">
        <v>0</v>
      </c>
      <c r="N12">
        <v>0</v>
      </c>
      <c r="O12">
        <v>0</v>
      </c>
      <c r="P12">
        <v>0</v>
      </c>
      <c r="Q12">
        <v>0</v>
      </c>
      <c r="R12">
        <v>0</v>
      </c>
      <c r="S12">
        <v>91192</v>
      </c>
    </row>
    <row r="13" spans="1:19" x14ac:dyDescent="0.3">
      <c r="A13">
        <v>631</v>
      </c>
      <c r="D13">
        <v>0</v>
      </c>
      <c r="E13">
        <v>0</v>
      </c>
      <c r="F13">
        <v>0</v>
      </c>
      <c r="G13">
        <v>0</v>
      </c>
      <c r="H13">
        <v>0</v>
      </c>
      <c r="I13">
        <v>0</v>
      </c>
      <c r="J13">
        <v>0</v>
      </c>
      <c r="K13">
        <v>0</v>
      </c>
      <c r="L13">
        <v>0</v>
      </c>
      <c r="M13">
        <v>0</v>
      </c>
      <c r="N13">
        <v>0</v>
      </c>
      <c r="O13">
        <v>0</v>
      </c>
      <c r="P13">
        <v>0</v>
      </c>
      <c r="Q13">
        <v>0</v>
      </c>
      <c r="R13">
        <v>0</v>
      </c>
      <c r="S13">
        <v>0</v>
      </c>
    </row>
    <row r="14" spans="1:19" x14ac:dyDescent="0.3">
      <c r="A14">
        <v>632</v>
      </c>
      <c r="D14">
        <v>0</v>
      </c>
      <c r="E14">
        <v>0</v>
      </c>
      <c r="F14">
        <v>0</v>
      </c>
      <c r="G14">
        <v>0</v>
      </c>
      <c r="H14">
        <v>0</v>
      </c>
      <c r="I14">
        <v>0</v>
      </c>
      <c r="J14">
        <v>0</v>
      </c>
      <c r="K14">
        <v>0</v>
      </c>
      <c r="L14">
        <v>0</v>
      </c>
      <c r="M14">
        <v>0</v>
      </c>
      <c r="N14">
        <v>0</v>
      </c>
      <c r="O14">
        <v>0</v>
      </c>
      <c r="P14">
        <v>0</v>
      </c>
      <c r="Q14">
        <v>0</v>
      </c>
      <c r="R14">
        <v>0</v>
      </c>
      <c r="S14">
        <v>0</v>
      </c>
    </row>
    <row r="15" spans="1:19" x14ac:dyDescent="0.3">
      <c r="A15">
        <v>338</v>
      </c>
      <c r="D15">
        <v>1201989</v>
      </c>
      <c r="E15">
        <v>2628892</v>
      </c>
      <c r="F15">
        <v>6358123</v>
      </c>
      <c r="G15">
        <v>0</v>
      </c>
      <c r="H15">
        <v>2306944</v>
      </c>
      <c r="I15">
        <v>3645968</v>
      </c>
      <c r="J15">
        <v>4891941</v>
      </c>
      <c r="K15">
        <v>2620896</v>
      </c>
      <c r="L15">
        <v>1476885</v>
      </c>
      <c r="M15">
        <v>3105464</v>
      </c>
      <c r="N15">
        <v>0</v>
      </c>
      <c r="O15">
        <v>9189857</v>
      </c>
      <c r="P15">
        <v>1294850</v>
      </c>
      <c r="Q15">
        <v>7680334</v>
      </c>
      <c r="R15">
        <v>1847643</v>
      </c>
      <c r="S15">
        <v>6116520</v>
      </c>
    </row>
    <row r="16" spans="1:19" x14ac:dyDescent="0.3">
      <c r="A16">
        <v>335</v>
      </c>
      <c r="D16">
        <v>0</v>
      </c>
      <c r="E16">
        <v>229005</v>
      </c>
      <c r="F16">
        <v>0</v>
      </c>
      <c r="G16">
        <v>0</v>
      </c>
      <c r="H16">
        <v>0</v>
      </c>
      <c r="I16">
        <v>304441</v>
      </c>
      <c r="J16">
        <v>367394</v>
      </c>
      <c r="K16">
        <v>0</v>
      </c>
      <c r="L16">
        <v>0</v>
      </c>
      <c r="M16">
        <v>0</v>
      </c>
      <c r="N16">
        <v>0</v>
      </c>
      <c r="O16">
        <v>852197</v>
      </c>
      <c r="P16">
        <v>225920</v>
      </c>
      <c r="Q16">
        <v>298388</v>
      </c>
      <c r="R16">
        <v>0</v>
      </c>
      <c r="S16">
        <v>0</v>
      </c>
    </row>
    <row r="17" spans="1:19" x14ac:dyDescent="0.3">
      <c r="A17">
        <v>252</v>
      </c>
      <c r="D17">
        <v>101276</v>
      </c>
      <c r="E17">
        <v>3471</v>
      </c>
      <c r="F17">
        <v>66360</v>
      </c>
      <c r="G17">
        <v>0</v>
      </c>
      <c r="H17">
        <v>388772</v>
      </c>
      <c r="I17">
        <v>0</v>
      </c>
      <c r="J17">
        <v>-190221</v>
      </c>
      <c r="K17">
        <v>311857</v>
      </c>
      <c r="L17">
        <v>4424</v>
      </c>
      <c r="M17">
        <v>54801</v>
      </c>
      <c r="N17">
        <v>0</v>
      </c>
      <c r="O17">
        <v>1092065</v>
      </c>
      <c r="P17">
        <v>2517</v>
      </c>
      <c r="Q17">
        <v>13334</v>
      </c>
      <c r="R17">
        <v>28668</v>
      </c>
      <c r="S17">
        <v>64555</v>
      </c>
    </row>
    <row r="18" spans="1:19" x14ac:dyDescent="0.3">
      <c r="A18">
        <v>253</v>
      </c>
      <c r="D18">
        <v>895982</v>
      </c>
      <c r="E18">
        <v>2191851</v>
      </c>
      <c r="F18">
        <v>1512412</v>
      </c>
      <c r="G18">
        <v>0</v>
      </c>
      <c r="H18">
        <v>360862</v>
      </c>
      <c r="I18">
        <v>1501318</v>
      </c>
      <c r="J18">
        <v>3479197</v>
      </c>
      <c r="K18">
        <v>1459161</v>
      </c>
      <c r="L18">
        <v>1618954</v>
      </c>
      <c r="M18">
        <v>2375326</v>
      </c>
      <c r="N18">
        <v>0</v>
      </c>
      <c r="O18">
        <v>2511301</v>
      </c>
      <c r="P18">
        <v>3931141</v>
      </c>
      <c r="Q18">
        <v>4073447</v>
      </c>
      <c r="R18">
        <v>768068</v>
      </c>
      <c r="S18">
        <v>3684096</v>
      </c>
    </row>
    <row r="19" spans="1:19" x14ac:dyDescent="0.3">
      <c r="A19">
        <v>254</v>
      </c>
      <c r="D19">
        <v>1301083</v>
      </c>
      <c r="E19">
        <v>-1655311</v>
      </c>
      <c r="F19">
        <v>-1545819</v>
      </c>
      <c r="G19">
        <v>0</v>
      </c>
      <c r="H19">
        <v>702954</v>
      </c>
      <c r="I19">
        <v>-322506</v>
      </c>
      <c r="J19">
        <v>185530</v>
      </c>
      <c r="K19">
        <v>-1042695</v>
      </c>
      <c r="L19">
        <v>-1028586</v>
      </c>
      <c r="M19">
        <v>-2185674</v>
      </c>
      <c r="N19">
        <v>0</v>
      </c>
      <c r="O19">
        <v>2281929</v>
      </c>
      <c r="P19">
        <v>-721488</v>
      </c>
      <c r="Q19">
        <v>-4856850</v>
      </c>
      <c r="R19">
        <v>137167</v>
      </c>
      <c r="S19">
        <v>-1533363</v>
      </c>
    </row>
    <row r="20" spans="1:19" x14ac:dyDescent="0.3">
      <c r="D20" t="e">
        <v>#N/A</v>
      </c>
      <c r="E20" t="e">
        <v>#N/A</v>
      </c>
      <c r="F20" t="e">
        <v>#N/A</v>
      </c>
      <c r="G20" t="e">
        <v>#N/A</v>
      </c>
      <c r="H20" t="e">
        <v>#N/A</v>
      </c>
      <c r="I20" t="e">
        <v>#N/A</v>
      </c>
      <c r="J20" t="e">
        <v>#N/A</v>
      </c>
      <c r="K20" t="e">
        <v>#N/A</v>
      </c>
      <c r="L20" t="e">
        <v>#N/A</v>
      </c>
      <c r="M20" t="e">
        <v>#N/A</v>
      </c>
      <c r="N20" t="e">
        <v>#N/A</v>
      </c>
      <c r="O20" t="e">
        <v>#N/A</v>
      </c>
      <c r="P20" t="e">
        <v>#N/A</v>
      </c>
      <c r="Q20" t="e">
        <v>#N/A</v>
      </c>
      <c r="R20" t="e">
        <v>#N/A</v>
      </c>
      <c r="S20" t="e">
        <v>#N/A</v>
      </c>
    </row>
    <row r="21" spans="1:19" x14ac:dyDescent="0.3">
      <c r="A21">
        <v>502</v>
      </c>
      <c r="D21">
        <v>0</v>
      </c>
      <c r="E21">
        <v>0</v>
      </c>
      <c r="F21">
        <v>0</v>
      </c>
      <c r="G21">
        <v>0</v>
      </c>
      <c r="H21">
        <v>0</v>
      </c>
      <c r="I21">
        <v>0</v>
      </c>
      <c r="J21">
        <v>0</v>
      </c>
      <c r="K21">
        <v>614193</v>
      </c>
      <c r="L21">
        <v>0</v>
      </c>
      <c r="M21">
        <v>453385</v>
      </c>
      <c r="N21">
        <v>0</v>
      </c>
      <c r="O21">
        <v>0</v>
      </c>
      <c r="P21">
        <v>0</v>
      </c>
      <c r="Q21">
        <v>0</v>
      </c>
      <c r="R21">
        <v>0</v>
      </c>
      <c r="S21">
        <v>0</v>
      </c>
    </row>
    <row r="22" spans="1:19" x14ac:dyDescent="0.3">
      <c r="A22">
        <v>503</v>
      </c>
      <c r="D22">
        <v>0</v>
      </c>
      <c r="E22">
        <v>0</v>
      </c>
      <c r="F22">
        <v>0</v>
      </c>
      <c r="G22">
        <v>0</v>
      </c>
      <c r="H22">
        <v>0</v>
      </c>
      <c r="I22">
        <v>0</v>
      </c>
      <c r="J22">
        <v>0</v>
      </c>
      <c r="K22">
        <v>954</v>
      </c>
      <c r="L22">
        <v>0</v>
      </c>
      <c r="M22">
        <v>14724</v>
      </c>
      <c r="N22">
        <v>0</v>
      </c>
      <c r="O22">
        <v>0</v>
      </c>
      <c r="P22">
        <v>0</v>
      </c>
      <c r="Q22">
        <v>0</v>
      </c>
      <c r="R22">
        <v>0</v>
      </c>
      <c r="S22">
        <v>0</v>
      </c>
    </row>
    <row r="23" spans="1:19" x14ac:dyDescent="0.3">
      <c r="D23" t="e">
        <v>#N/A</v>
      </c>
      <c r="E23" t="e">
        <v>#N/A</v>
      </c>
      <c r="F23" t="e">
        <v>#N/A</v>
      </c>
      <c r="G23" t="e">
        <v>#N/A</v>
      </c>
      <c r="H23" t="e">
        <v>#N/A</v>
      </c>
      <c r="I23" t="e">
        <v>#N/A</v>
      </c>
      <c r="J23" t="e">
        <v>#N/A</v>
      </c>
      <c r="K23" t="e">
        <v>#N/A</v>
      </c>
      <c r="L23" t="e">
        <v>#N/A</v>
      </c>
      <c r="M23" t="e">
        <v>#N/A</v>
      </c>
      <c r="N23" t="e">
        <v>#N/A</v>
      </c>
      <c r="O23" t="e">
        <v>#N/A</v>
      </c>
      <c r="P23" t="e">
        <v>#N/A</v>
      </c>
      <c r="Q23" t="e">
        <v>#N/A</v>
      </c>
      <c r="R23" t="e">
        <v>#N/A</v>
      </c>
      <c r="S23" t="e">
        <v>#N/A</v>
      </c>
    </row>
    <row r="24" spans="1:19" x14ac:dyDescent="0.3">
      <c r="A24">
        <v>388</v>
      </c>
      <c r="D24">
        <v>6463779</v>
      </c>
      <c r="E24">
        <v>10590266</v>
      </c>
      <c r="F24">
        <v>22094931</v>
      </c>
      <c r="G24">
        <v>0</v>
      </c>
      <c r="H24">
        <v>5686563</v>
      </c>
      <c r="I24">
        <v>6454712</v>
      </c>
      <c r="J24">
        <v>11239168</v>
      </c>
      <c r="K24">
        <v>8472609</v>
      </c>
      <c r="L24">
        <v>5695443</v>
      </c>
      <c r="M24">
        <v>8079803</v>
      </c>
      <c r="N24">
        <v>0</v>
      </c>
      <c r="O24">
        <v>33694691</v>
      </c>
      <c r="P24">
        <v>6192251</v>
      </c>
      <c r="Q24">
        <v>18966462</v>
      </c>
      <c r="R24">
        <v>10025356</v>
      </c>
      <c r="S24">
        <v>17071109</v>
      </c>
    </row>
    <row r="25" spans="1:19" x14ac:dyDescent="0.3">
      <c r="A25">
        <v>339</v>
      </c>
      <c r="D25">
        <v>504643</v>
      </c>
      <c r="E25">
        <v>393668</v>
      </c>
      <c r="F25">
        <v>3105150</v>
      </c>
      <c r="G25">
        <v>0</v>
      </c>
      <c r="H25">
        <v>0</v>
      </c>
      <c r="I25">
        <v>453841</v>
      </c>
      <c r="J25">
        <v>1083855</v>
      </c>
      <c r="K25">
        <v>745292</v>
      </c>
      <c r="L25">
        <v>590654</v>
      </c>
      <c r="M25">
        <v>834723</v>
      </c>
      <c r="N25">
        <v>0</v>
      </c>
      <c r="O25">
        <v>2589130</v>
      </c>
      <c r="P25">
        <v>138145</v>
      </c>
      <c r="Q25">
        <v>1556445</v>
      </c>
      <c r="R25">
        <v>626687</v>
      </c>
      <c r="S25">
        <v>2059319</v>
      </c>
    </row>
    <row r="26" spans="1:19" x14ac:dyDescent="0.3">
      <c r="A26">
        <v>504</v>
      </c>
      <c r="D26">
        <v>5953841</v>
      </c>
      <c r="E26">
        <v>10027199</v>
      </c>
      <c r="F26">
        <v>18351198</v>
      </c>
      <c r="G26">
        <v>0</v>
      </c>
      <c r="H26">
        <v>5562055</v>
      </c>
      <c r="I26">
        <v>6248216</v>
      </c>
      <c r="J26">
        <v>10390652</v>
      </c>
      <c r="K26">
        <v>7853921</v>
      </c>
      <c r="L26">
        <v>4810310</v>
      </c>
      <c r="M26">
        <v>7033989</v>
      </c>
      <c r="N26">
        <v>0</v>
      </c>
      <c r="O26">
        <v>31438542</v>
      </c>
      <c r="P26">
        <v>6914891</v>
      </c>
      <c r="Q26">
        <v>15988809</v>
      </c>
      <c r="R26">
        <v>9361830</v>
      </c>
      <c r="S26">
        <v>14825792</v>
      </c>
    </row>
    <row r="27" spans="1:19" x14ac:dyDescent="0.3">
      <c r="A27">
        <v>505</v>
      </c>
      <c r="D27">
        <v>0</v>
      </c>
      <c r="E27">
        <v>0</v>
      </c>
      <c r="F27">
        <v>0</v>
      </c>
      <c r="G27">
        <v>0</v>
      </c>
      <c r="H27">
        <v>0</v>
      </c>
      <c r="I27">
        <v>0</v>
      </c>
      <c r="J27">
        <v>0</v>
      </c>
      <c r="K27">
        <v>0</v>
      </c>
      <c r="L27">
        <v>0</v>
      </c>
      <c r="M27">
        <v>0</v>
      </c>
      <c r="N27">
        <v>0</v>
      </c>
      <c r="O27">
        <v>0</v>
      </c>
      <c r="P27">
        <v>0</v>
      </c>
      <c r="Q27">
        <v>0</v>
      </c>
      <c r="R27">
        <v>0</v>
      </c>
      <c r="S27">
        <v>0</v>
      </c>
    </row>
    <row r="28" spans="1:19" x14ac:dyDescent="0.3">
      <c r="A28">
        <v>341</v>
      </c>
      <c r="D28">
        <v>14413</v>
      </c>
      <c r="E28">
        <v>222389</v>
      </c>
      <c r="F28">
        <v>898124</v>
      </c>
      <c r="G28">
        <v>0</v>
      </c>
      <c r="H28">
        <v>221017</v>
      </c>
      <c r="I28">
        <v>170311</v>
      </c>
      <c r="J28">
        <v>195215</v>
      </c>
      <c r="K28">
        <v>0</v>
      </c>
      <c r="L28">
        <v>149138</v>
      </c>
      <c r="M28">
        <v>10555</v>
      </c>
      <c r="N28">
        <v>0</v>
      </c>
      <c r="O28">
        <v>6835</v>
      </c>
      <c r="P28">
        <v>225341</v>
      </c>
      <c r="Q28">
        <v>1126261</v>
      </c>
      <c r="R28">
        <v>228713</v>
      </c>
      <c r="S28">
        <v>298288</v>
      </c>
    </row>
    <row r="29" spans="1:19" x14ac:dyDescent="0.3">
      <c r="A29">
        <v>386</v>
      </c>
      <c r="D29">
        <v>0</v>
      </c>
      <c r="E29">
        <v>0</v>
      </c>
      <c r="F29">
        <v>0</v>
      </c>
      <c r="G29">
        <v>0</v>
      </c>
      <c r="H29">
        <v>0</v>
      </c>
      <c r="I29">
        <v>0</v>
      </c>
      <c r="J29">
        <v>0</v>
      </c>
      <c r="K29">
        <v>0</v>
      </c>
      <c r="L29">
        <v>0</v>
      </c>
      <c r="M29">
        <v>0</v>
      </c>
      <c r="N29">
        <v>0</v>
      </c>
      <c r="O29">
        <v>0</v>
      </c>
      <c r="P29">
        <v>0</v>
      </c>
      <c r="Q29">
        <v>0</v>
      </c>
      <c r="R29">
        <v>0</v>
      </c>
      <c r="S29">
        <v>0</v>
      </c>
    </row>
    <row r="30" spans="1:19" x14ac:dyDescent="0.3">
      <c r="A30">
        <v>387</v>
      </c>
      <c r="D30">
        <v>0</v>
      </c>
      <c r="E30">
        <v>0</v>
      </c>
      <c r="F30">
        <v>0</v>
      </c>
      <c r="G30">
        <v>0</v>
      </c>
      <c r="H30">
        <v>0</v>
      </c>
      <c r="I30">
        <v>0</v>
      </c>
      <c r="J30">
        <v>0</v>
      </c>
      <c r="K30">
        <v>0</v>
      </c>
      <c r="L30">
        <v>0</v>
      </c>
      <c r="M30">
        <v>0</v>
      </c>
      <c r="N30">
        <v>0</v>
      </c>
      <c r="O30">
        <v>0</v>
      </c>
      <c r="P30">
        <v>0</v>
      </c>
      <c r="Q30">
        <v>0</v>
      </c>
      <c r="R30">
        <v>0</v>
      </c>
      <c r="S30">
        <v>0</v>
      </c>
    </row>
    <row r="31" spans="1:19" x14ac:dyDescent="0.3">
      <c r="A31">
        <v>389</v>
      </c>
      <c r="D31">
        <v>0</v>
      </c>
      <c r="E31">
        <v>0</v>
      </c>
      <c r="F31">
        <v>0</v>
      </c>
      <c r="G31">
        <v>0</v>
      </c>
      <c r="H31">
        <v>0</v>
      </c>
      <c r="I31">
        <v>0</v>
      </c>
      <c r="J31">
        <v>0</v>
      </c>
      <c r="K31">
        <v>0</v>
      </c>
      <c r="L31">
        <v>0</v>
      </c>
      <c r="M31">
        <v>0</v>
      </c>
      <c r="N31">
        <v>0</v>
      </c>
      <c r="O31">
        <v>0</v>
      </c>
      <c r="P31">
        <v>0</v>
      </c>
      <c r="Q31">
        <v>0</v>
      </c>
      <c r="R31">
        <v>-14498</v>
      </c>
      <c r="S31">
        <v>0</v>
      </c>
    </row>
    <row r="32" spans="1:19" x14ac:dyDescent="0.3">
      <c r="A32">
        <v>255</v>
      </c>
      <c r="D32">
        <v>9118</v>
      </c>
      <c r="E32">
        <v>52990</v>
      </c>
      <c r="F32">
        <v>259541</v>
      </c>
      <c r="G32">
        <v>0</v>
      </c>
      <c r="H32">
        <v>96509</v>
      </c>
      <c r="I32">
        <v>417656</v>
      </c>
      <c r="J32">
        <v>430554</v>
      </c>
      <c r="K32">
        <v>126604</v>
      </c>
      <c r="L32">
        <v>-145341</v>
      </c>
      <c r="M32">
        <v>-200536</v>
      </c>
      <c r="N32">
        <v>0</v>
      </c>
      <c r="O32">
        <v>339816</v>
      </c>
      <c r="P32">
        <v>1086126</v>
      </c>
      <c r="Q32">
        <v>-294947</v>
      </c>
      <c r="R32">
        <v>177376</v>
      </c>
      <c r="S32">
        <v>112290</v>
      </c>
    </row>
    <row r="33" spans="1:19" x14ac:dyDescent="0.3">
      <c r="A33">
        <v>376</v>
      </c>
      <c r="D33">
        <v>0</v>
      </c>
      <c r="E33">
        <v>0</v>
      </c>
      <c r="F33">
        <v>0</v>
      </c>
      <c r="G33">
        <v>0</v>
      </c>
      <c r="H33">
        <v>0</v>
      </c>
      <c r="I33">
        <v>0</v>
      </c>
      <c r="J33">
        <v>0</v>
      </c>
      <c r="K33">
        <v>0</v>
      </c>
      <c r="L33">
        <v>0</v>
      </c>
      <c r="M33">
        <v>0</v>
      </c>
      <c r="N33">
        <v>0</v>
      </c>
      <c r="O33">
        <v>0</v>
      </c>
      <c r="P33">
        <v>0</v>
      </c>
      <c r="Q33">
        <v>0</v>
      </c>
      <c r="R33">
        <v>0</v>
      </c>
      <c r="S33">
        <v>0</v>
      </c>
    </row>
    <row r="34" spans="1:19" x14ac:dyDescent="0.3">
      <c r="D34" t="e">
        <v>#N/A</v>
      </c>
      <c r="E34" t="e">
        <v>#N/A</v>
      </c>
      <c r="F34" t="e">
        <v>#N/A</v>
      </c>
      <c r="G34" t="e">
        <v>#N/A</v>
      </c>
      <c r="H34" t="e">
        <v>#N/A</v>
      </c>
      <c r="I34" t="e">
        <v>#N/A</v>
      </c>
      <c r="J34" t="e">
        <v>#N/A</v>
      </c>
      <c r="K34" t="e">
        <v>#N/A</v>
      </c>
      <c r="L34" t="e">
        <v>#N/A</v>
      </c>
      <c r="M34" t="e">
        <v>#N/A</v>
      </c>
      <c r="N34" t="e">
        <v>#N/A</v>
      </c>
      <c r="O34" t="e">
        <v>#N/A</v>
      </c>
      <c r="P34" t="e">
        <v>#N/A</v>
      </c>
      <c r="Q34" t="e">
        <v>#N/A</v>
      </c>
      <c r="R34" t="e">
        <v>#N/A</v>
      </c>
      <c r="S34" t="e">
        <v>#N/A</v>
      </c>
    </row>
    <row r="35" spans="1:19" x14ac:dyDescent="0.3">
      <c r="A35">
        <v>592</v>
      </c>
      <c r="D35">
        <v>0</v>
      </c>
      <c r="E35">
        <v>0</v>
      </c>
      <c r="F35">
        <v>0</v>
      </c>
      <c r="G35">
        <v>0</v>
      </c>
      <c r="H35">
        <v>0</v>
      </c>
      <c r="I35">
        <v>0</v>
      </c>
      <c r="J35">
        <v>0</v>
      </c>
      <c r="K35">
        <v>-20850</v>
      </c>
      <c r="L35">
        <v>0</v>
      </c>
      <c r="M35">
        <v>-3906</v>
      </c>
      <c r="N35">
        <v>0</v>
      </c>
      <c r="O35">
        <v>0</v>
      </c>
      <c r="P35">
        <v>0</v>
      </c>
      <c r="Q35">
        <v>0</v>
      </c>
      <c r="R35">
        <v>0</v>
      </c>
      <c r="S35">
        <v>0</v>
      </c>
    </row>
    <row r="36" spans="1:19" x14ac:dyDescent="0.3">
      <c r="A36">
        <v>591</v>
      </c>
      <c r="D36">
        <v>0</v>
      </c>
      <c r="E36">
        <v>0</v>
      </c>
      <c r="F36">
        <v>0</v>
      </c>
      <c r="G36">
        <v>0</v>
      </c>
      <c r="H36">
        <v>0</v>
      </c>
      <c r="I36">
        <v>0</v>
      </c>
      <c r="J36">
        <v>0</v>
      </c>
      <c r="K36">
        <v>157063</v>
      </c>
      <c r="L36">
        <v>0</v>
      </c>
      <c r="M36">
        <v>320783</v>
      </c>
      <c r="N36">
        <v>0</v>
      </c>
      <c r="O36">
        <v>0</v>
      </c>
      <c r="P36">
        <v>0</v>
      </c>
      <c r="Q36">
        <v>0</v>
      </c>
      <c r="R36">
        <v>0</v>
      </c>
      <c r="S36">
        <v>0</v>
      </c>
    </row>
    <row r="37" spans="1:19" x14ac:dyDescent="0.3">
      <c r="D37" t="e">
        <v>#N/A</v>
      </c>
      <c r="E37" t="e">
        <v>#N/A</v>
      </c>
      <c r="F37" t="e">
        <v>#N/A</v>
      </c>
      <c r="G37" t="e">
        <v>#N/A</v>
      </c>
      <c r="H37" t="e">
        <v>#N/A</v>
      </c>
      <c r="I37" t="e">
        <v>#N/A</v>
      </c>
      <c r="J37" t="e">
        <v>#N/A</v>
      </c>
      <c r="K37" t="e">
        <v>#N/A</v>
      </c>
      <c r="L37" t="e">
        <v>#N/A</v>
      </c>
      <c r="M37" t="e">
        <v>#N/A</v>
      </c>
      <c r="N37" t="e">
        <v>#N/A</v>
      </c>
      <c r="O37" t="e">
        <v>#N/A</v>
      </c>
      <c r="P37" t="e">
        <v>#N/A</v>
      </c>
      <c r="Q37" t="e">
        <v>#N/A</v>
      </c>
      <c r="R37" t="e">
        <v>#N/A</v>
      </c>
      <c r="S37" t="e">
        <v>#N/A</v>
      </c>
    </row>
    <row r="38" spans="1:19" x14ac:dyDescent="0.3">
      <c r="A38">
        <v>506</v>
      </c>
      <c r="D38">
        <v>785828</v>
      </c>
      <c r="E38">
        <v>667744</v>
      </c>
      <c r="F38">
        <v>822707</v>
      </c>
      <c r="G38">
        <v>0</v>
      </c>
      <c r="H38">
        <v>1104148</v>
      </c>
      <c r="I38">
        <v>538429</v>
      </c>
      <c r="J38">
        <v>3247764</v>
      </c>
      <c r="K38">
        <v>478120</v>
      </c>
      <c r="L38">
        <v>272299</v>
      </c>
      <c r="M38">
        <v>0</v>
      </c>
      <c r="N38">
        <v>0</v>
      </c>
      <c r="O38">
        <v>3251469</v>
      </c>
      <c r="P38">
        <v>234861</v>
      </c>
      <c r="Q38">
        <v>1786624</v>
      </c>
      <c r="R38">
        <v>190272</v>
      </c>
      <c r="S38">
        <v>591675</v>
      </c>
    </row>
    <row r="39" spans="1:19" x14ac:dyDescent="0.3">
      <c r="A39">
        <v>536</v>
      </c>
      <c r="D39">
        <v>0</v>
      </c>
      <c r="E39">
        <v>0</v>
      </c>
      <c r="F39">
        <v>0</v>
      </c>
      <c r="G39">
        <v>0</v>
      </c>
      <c r="H39">
        <v>0</v>
      </c>
      <c r="I39">
        <v>0</v>
      </c>
      <c r="J39">
        <v>0</v>
      </c>
      <c r="K39">
        <v>0</v>
      </c>
      <c r="L39">
        <v>0</v>
      </c>
      <c r="M39">
        <v>0</v>
      </c>
      <c r="N39">
        <v>0</v>
      </c>
      <c r="O39">
        <v>0</v>
      </c>
      <c r="P39">
        <v>0</v>
      </c>
      <c r="Q39">
        <v>0</v>
      </c>
      <c r="R39">
        <v>0</v>
      </c>
      <c r="S39">
        <v>203775</v>
      </c>
    </row>
    <row r="40" spans="1:19" x14ac:dyDescent="0.3">
      <c r="A40">
        <v>586</v>
      </c>
      <c r="D40">
        <v>0</v>
      </c>
      <c r="E40">
        <v>0</v>
      </c>
      <c r="F40">
        <v>0</v>
      </c>
      <c r="G40">
        <v>0</v>
      </c>
      <c r="H40">
        <v>0</v>
      </c>
      <c r="I40">
        <v>0</v>
      </c>
      <c r="J40">
        <v>0</v>
      </c>
      <c r="K40">
        <v>0</v>
      </c>
      <c r="L40">
        <v>0</v>
      </c>
      <c r="M40">
        <v>0</v>
      </c>
      <c r="N40">
        <v>0</v>
      </c>
      <c r="O40">
        <v>0</v>
      </c>
      <c r="P40">
        <v>0</v>
      </c>
      <c r="Q40">
        <v>0</v>
      </c>
      <c r="R40">
        <v>0</v>
      </c>
      <c r="S40">
        <v>0</v>
      </c>
    </row>
    <row r="41" spans="1:19" x14ac:dyDescent="0.3">
      <c r="A41">
        <v>379</v>
      </c>
      <c r="D41">
        <v>1111991</v>
      </c>
      <c r="E41">
        <v>714761</v>
      </c>
      <c r="F41">
        <v>2397369</v>
      </c>
      <c r="G41">
        <v>0</v>
      </c>
      <c r="H41">
        <v>1465010</v>
      </c>
      <c r="I41">
        <v>1058050</v>
      </c>
      <c r="J41">
        <v>6748066</v>
      </c>
      <c r="K41">
        <v>1984004</v>
      </c>
      <c r="L41">
        <v>1751281</v>
      </c>
      <c r="M41">
        <v>387265</v>
      </c>
      <c r="N41">
        <v>0</v>
      </c>
      <c r="O41">
        <v>3338359</v>
      </c>
      <c r="P41">
        <v>1086451</v>
      </c>
      <c r="Q41">
        <v>5860071</v>
      </c>
      <c r="R41">
        <v>314787</v>
      </c>
      <c r="S41">
        <v>2579480</v>
      </c>
    </row>
    <row r="42" spans="1:19" x14ac:dyDescent="0.3">
      <c r="A42">
        <v>4</v>
      </c>
      <c r="D42">
        <v>44581</v>
      </c>
      <c r="E42">
        <v>42508</v>
      </c>
      <c r="F42">
        <v>1026045</v>
      </c>
      <c r="G42">
        <v>0</v>
      </c>
      <c r="H42">
        <v>79464</v>
      </c>
      <c r="I42">
        <v>394066</v>
      </c>
      <c r="J42">
        <v>2371525</v>
      </c>
      <c r="K42">
        <v>1233239</v>
      </c>
      <c r="L42">
        <v>1147609</v>
      </c>
      <c r="M42">
        <v>2325</v>
      </c>
      <c r="N42">
        <v>0</v>
      </c>
      <c r="O42">
        <v>9807</v>
      </c>
      <c r="P42">
        <v>775088</v>
      </c>
      <c r="Q42">
        <v>4096252</v>
      </c>
      <c r="R42">
        <v>14719</v>
      </c>
      <c r="S42">
        <v>437766</v>
      </c>
    </row>
    <row r="43" spans="1:19" x14ac:dyDescent="0.3">
      <c r="A43">
        <v>5</v>
      </c>
      <c r="D43">
        <v>1200</v>
      </c>
      <c r="E43">
        <v>4090</v>
      </c>
      <c r="F43">
        <v>444</v>
      </c>
      <c r="G43">
        <v>0</v>
      </c>
      <c r="H43">
        <v>2425</v>
      </c>
      <c r="I43">
        <v>0</v>
      </c>
      <c r="J43">
        <v>983613</v>
      </c>
      <c r="K43">
        <v>49153</v>
      </c>
      <c r="L43">
        <v>0</v>
      </c>
      <c r="M43">
        <v>0</v>
      </c>
      <c r="N43">
        <v>0</v>
      </c>
      <c r="O43">
        <v>0</v>
      </c>
      <c r="P43">
        <v>0</v>
      </c>
      <c r="Q43">
        <v>105721</v>
      </c>
      <c r="R43">
        <v>804</v>
      </c>
      <c r="S43">
        <v>0</v>
      </c>
    </row>
    <row r="44" spans="1:19" x14ac:dyDescent="0.3">
      <c r="A44">
        <v>380</v>
      </c>
      <c r="D44">
        <v>0</v>
      </c>
      <c r="E44">
        <v>0</v>
      </c>
      <c r="F44">
        <v>0</v>
      </c>
      <c r="G44">
        <v>0</v>
      </c>
      <c r="H44">
        <v>0</v>
      </c>
      <c r="I44">
        <v>0</v>
      </c>
      <c r="J44">
        <v>0</v>
      </c>
      <c r="K44">
        <v>0</v>
      </c>
      <c r="L44">
        <v>0</v>
      </c>
      <c r="M44">
        <v>0</v>
      </c>
      <c r="N44">
        <v>0</v>
      </c>
      <c r="O44">
        <v>0</v>
      </c>
      <c r="P44">
        <v>0</v>
      </c>
      <c r="Q44">
        <v>0</v>
      </c>
      <c r="R44">
        <v>0</v>
      </c>
      <c r="S44">
        <v>208095</v>
      </c>
    </row>
    <row r="45" spans="1:19" x14ac:dyDescent="0.3">
      <c r="A45">
        <v>391</v>
      </c>
      <c r="D45">
        <v>326163</v>
      </c>
      <c r="E45">
        <v>28700</v>
      </c>
      <c r="F45">
        <v>1512412</v>
      </c>
      <c r="G45">
        <v>0</v>
      </c>
      <c r="H45">
        <v>360862</v>
      </c>
      <c r="I45">
        <v>518788</v>
      </c>
      <c r="J45">
        <v>2495584</v>
      </c>
      <c r="K45">
        <v>1456161</v>
      </c>
      <c r="L45">
        <v>1478982</v>
      </c>
      <c r="M45">
        <v>387265</v>
      </c>
      <c r="N45">
        <v>0</v>
      </c>
      <c r="O45">
        <v>86890</v>
      </c>
      <c r="P45">
        <v>851591</v>
      </c>
      <c r="Q45">
        <v>4073447</v>
      </c>
      <c r="R45">
        <v>107597</v>
      </c>
      <c r="S45">
        <v>1497131</v>
      </c>
    </row>
    <row r="46" spans="1:19" x14ac:dyDescent="0.3">
      <c r="A46">
        <v>7</v>
      </c>
      <c r="D46">
        <v>0</v>
      </c>
      <c r="E46">
        <v>18317</v>
      </c>
      <c r="F46">
        <v>62250</v>
      </c>
      <c r="G46">
        <v>0</v>
      </c>
      <c r="H46">
        <v>0</v>
      </c>
      <c r="I46">
        <v>833</v>
      </c>
      <c r="J46">
        <v>21105</v>
      </c>
      <c r="K46">
        <v>46723</v>
      </c>
      <c r="L46">
        <v>0</v>
      </c>
      <c r="M46">
        <v>0</v>
      </c>
      <c r="N46">
        <v>0</v>
      </c>
      <c r="O46">
        <v>0</v>
      </c>
      <c r="P46">
        <v>0</v>
      </c>
      <c r="Q46">
        <v>7373</v>
      </c>
      <c r="R46">
        <v>16918</v>
      </c>
      <c r="S46">
        <v>78804</v>
      </c>
    </row>
    <row r="47" spans="1:19" x14ac:dyDescent="0.3">
      <c r="A47">
        <v>645</v>
      </c>
      <c r="D47">
        <v>49636</v>
      </c>
      <c r="E47">
        <v>0</v>
      </c>
      <c r="F47">
        <v>0</v>
      </c>
      <c r="G47">
        <v>0</v>
      </c>
      <c r="H47">
        <v>0</v>
      </c>
      <c r="I47">
        <v>0</v>
      </c>
      <c r="J47">
        <v>247492</v>
      </c>
      <c r="K47">
        <v>0</v>
      </c>
      <c r="L47">
        <v>0</v>
      </c>
      <c r="M47">
        <v>0</v>
      </c>
      <c r="N47">
        <v>0</v>
      </c>
      <c r="O47">
        <v>0</v>
      </c>
      <c r="P47">
        <v>0</v>
      </c>
      <c r="Q47">
        <v>780922</v>
      </c>
      <c r="R47">
        <v>0</v>
      </c>
      <c r="S47">
        <v>58485</v>
      </c>
    </row>
    <row r="48" spans="1:19" x14ac:dyDescent="0.3">
      <c r="A48">
        <v>646</v>
      </c>
      <c r="D48">
        <v>568497</v>
      </c>
      <c r="E48">
        <v>621146</v>
      </c>
      <c r="F48">
        <v>-203782</v>
      </c>
      <c r="G48">
        <v>0</v>
      </c>
      <c r="H48">
        <v>1022259</v>
      </c>
      <c r="I48">
        <v>144363</v>
      </c>
      <c r="J48">
        <v>628747</v>
      </c>
      <c r="K48">
        <v>-804272</v>
      </c>
      <c r="L48">
        <v>-875310</v>
      </c>
      <c r="M48">
        <v>-2325</v>
      </c>
      <c r="N48">
        <v>0</v>
      </c>
      <c r="O48">
        <v>3241662</v>
      </c>
      <c r="P48">
        <v>-552026</v>
      </c>
      <c r="Q48">
        <v>-3243122</v>
      </c>
      <c r="R48">
        <v>174749</v>
      </c>
      <c r="S48">
        <v>3350</v>
      </c>
    </row>
    <row r="49" spans="1:19" x14ac:dyDescent="0.3">
      <c r="A49">
        <v>9</v>
      </c>
      <c r="D49">
        <v>1066210</v>
      </c>
      <c r="E49">
        <v>668163</v>
      </c>
      <c r="F49">
        <v>1370880</v>
      </c>
      <c r="G49">
        <v>0</v>
      </c>
      <c r="H49">
        <v>1383121</v>
      </c>
      <c r="I49">
        <v>663984</v>
      </c>
      <c r="J49">
        <v>3392928</v>
      </c>
      <c r="K49">
        <v>701612</v>
      </c>
      <c r="L49">
        <v>603672</v>
      </c>
      <c r="M49">
        <v>384940</v>
      </c>
      <c r="N49">
        <v>0</v>
      </c>
      <c r="O49">
        <v>3328552</v>
      </c>
      <c r="P49">
        <v>311363</v>
      </c>
      <c r="Q49">
        <v>1658098</v>
      </c>
      <c r="R49">
        <v>299264</v>
      </c>
      <c r="S49">
        <v>1933619</v>
      </c>
    </row>
    <row r="50" spans="1:19" x14ac:dyDescent="0.3">
      <c r="A50">
        <v>1052</v>
      </c>
      <c r="D50" t="e">
        <v>#N/A</v>
      </c>
      <c r="E50" t="e">
        <v>#N/A</v>
      </c>
      <c r="F50" t="e">
        <v>#N/A</v>
      </c>
      <c r="G50" t="e">
        <v>#N/A</v>
      </c>
      <c r="H50" t="e">
        <v>#N/A</v>
      </c>
      <c r="I50" t="e">
        <v>#N/A</v>
      </c>
      <c r="J50" t="e">
        <v>#N/A</v>
      </c>
      <c r="K50" t="e">
        <v>#N/A</v>
      </c>
      <c r="L50" t="e">
        <v>#N/A</v>
      </c>
      <c r="M50" t="e">
        <v>#N/A</v>
      </c>
      <c r="N50" t="e">
        <v>#N/A</v>
      </c>
      <c r="O50" t="e">
        <v>#N/A</v>
      </c>
      <c r="P50" t="e">
        <v>#N/A</v>
      </c>
      <c r="Q50" t="e">
        <v>#N/A</v>
      </c>
      <c r="R50" t="e">
        <v>#N/A</v>
      </c>
      <c r="S50" t="e">
        <v>#N/A</v>
      </c>
    </row>
    <row r="51" spans="1:19" x14ac:dyDescent="0.3">
      <c r="D51" t="e">
        <v>#N/A</v>
      </c>
      <c r="E51" t="e">
        <v>#N/A</v>
      </c>
      <c r="F51" t="e">
        <v>#N/A</v>
      </c>
      <c r="G51" t="e">
        <v>#N/A</v>
      </c>
      <c r="H51" t="e">
        <v>#N/A</v>
      </c>
      <c r="I51" t="e">
        <v>#N/A</v>
      </c>
      <c r="J51" t="e">
        <v>#N/A</v>
      </c>
      <c r="K51" t="e">
        <v>#N/A</v>
      </c>
      <c r="L51" t="e">
        <v>#N/A</v>
      </c>
      <c r="M51" t="e">
        <v>#N/A</v>
      </c>
      <c r="N51" t="e">
        <v>#N/A</v>
      </c>
      <c r="O51" t="e">
        <v>#N/A</v>
      </c>
      <c r="P51" t="e">
        <v>#N/A</v>
      </c>
      <c r="Q51" t="e">
        <v>#N/A</v>
      </c>
      <c r="R51" t="e">
        <v>#N/A</v>
      </c>
      <c r="S51" t="e">
        <v>#N/A</v>
      </c>
    </row>
    <row r="52" spans="1:19" x14ac:dyDescent="0.3">
      <c r="A52">
        <v>16</v>
      </c>
      <c r="D52">
        <v>611012</v>
      </c>
      <c r="E52">
        <v>144366</v>
      </c>
      <c r="F52">
        <v>8132175</v>
      </c>
      <c r="G52">
        <v>0</v>
      </c>
      <c r="H52">
        <v>221017</v>
      </c>
      <c r="I52">
        <v>2928474</v>
      </c>
      <c r="J52">
        <v>11669721</v>
      </c>
      <c r="K52">
        <v>8599213</v>
      </c>
      <c r="L52">
        <v>5410291</v>
      </c>
      <c r="M52">
        <v>164922</v>
      </c>
      <c r="N52">
        <v>0</v>
      </c>
      <c r="O52">
        <v>594820</v>
      </c>
      <c r="P52">
        <v>6112974</v>
      </c>
      <c r="Q52">
        <v>18628563</v>
      </c>
      <c r="R52">
        <v>222217</v>
      </c>
      <c r="S52">
        <v>6504804</v>
      </c>
    </row>
    <row r="53" spans="1:19" x14ac:dyDescent="0.3">
      <c r="A53">
        <v>532</v>
      </c>
      <c r="D53">
        <v>481293</v>
      </c>
      <c r="E53">
        <v>3852</v>
      </c>
      <c r="F53">
        <v>7665001</v>
      </c>
      <c r="G53">
        <v>0</v>
      </c>
      <c r="H53">
        <v>145564</v>
      </c>
      <c r="I53">
        <v>2722565</v>
      </c>
      <c r="J53">
        <v>11075757</v>
      </c>
      <c r="K53">
        <v>8443904</v>
      </c>
      <c r="L53">
        <v>5482655</v>
      </c>
      <c r="M53">
        <v>62997</v>
      </c>
      <c r="N53">
        <v>0</v>
      </c>
      <c r="O53">
        <v>200338</v>
      </c>
      <c r="P53">
        <v>6128228</v>
      </c>
      <c r="Q53">
        <v>18586610</v>
      </c>
      <c r="R53">
        <v>960</v>
      </c>
      <c r="S53">
        <v>6186579</v>
      </c>
    </row>
    <row r="54" spans="1:19" x14ac:dyDescent="0.3">
      <c r="A54">
        <v>17</v>
      </c>
      <c r="D54">
        <v>0</v>
      </c>
      <c r="E54">
        <v>0</v>
      </c>
      <c r="F54">
        <v>0</v>
      </c>
      <c r="G54">
        <v>0</v>
      </c>
      <c r="H54">
        <v>0</v>
      </c>
      <c r="I54">
        <v>14641</v>
      </c>
      <c r="J54">
        <v>0</v>
      </c>
      <c r="K54">
        <v>0</v>
      </c>
      <c r="L54">
        <v>0</v>
      </c>
      <c r="M54">
        <v>0</v>
      </c>
      <c r="N54">
        <v>0</v>
      </c>
      <c r="O54">
        <v>0</v>
      </c>
      <c r="P54">
        <v>46247</v>
      </c>
      <c r="Q54">
        <v>0</v>
      </c>
      <c r="R54">
        <v>0</v>
      </c>
      <c r="S54">
        <v>10328</v>
      </c>
    </row>
    <row r="55" spans="1:19" x14ac:dyDescent="0.3">
      <c r="A55">
        <v>20</v>
      </c>
      <c r="D55">
        <v>80343</v>
      </c>
      <c r="E55">
        <v>3581</v>
      </c>
      <c r="F55">
        <v>0</v>
      </c>
      <c r="G55">
        <v>0</v>
      </c>
      <c r="H55">
        <v>0</v>
      </c>
      <c r="I55">
        <v>0</v>
      </c>
      <c r="J55">
        <v>0</v>
      </c>
      <c r="K55">
        <v>0</v>
      </c>
      <c r="L55">
        <v>0</v>
      </c>
      <c r="M55">
        <v>98243</v>
      </c>
      <c r="N55">
        <v>0</v>
      </c>
      <c r="O55">
        <v>0</v>
      </c>
      <c r="P55">
        <v>0</v>
      </c>
      <c r="Q55">
        <v>0</v>
      </c>
      <c r="R55">
        <v>169910</v>
      </c>
      <c r="S55">
        <v>148647</v>
      </c>
    </row>
    <row r="56" spans="1:19" x14ac:dyDescent="0.3">
      <c r="A56">
        <v>533</v>
      </c>
      <c r="D56">
        <v>0</v>
      </c>
      <c r="E56">
        <v>0</v>
      </c>
      <c r="F56">
        <v>0</v>
      </c>
      <c r="G56">
        <v>0</v>
      </c>
      <c r="H56">
        <v>0</v>
      </c>
      <c r="I56">
        <v>0</v>
      </c>
      <c r="J56">
        <v>0</v>
      </c>
      <c r="K56">
        <v>0</v>
      </c>
      <c r="L56">
        <v>0</v>
      </c>
      <c r="M56">
        <v>0</v>
      </c>
      <c r="N56">
        <v>0</v>
      </c>
      <c r="O56">
        <v>0</v>
      </c>
      <c r="P56">
        <v>0</v>
      </c>
      <c r="Q56">
        <v>0</v>
      </c>
      <c r="R56">
        <v>0</v>
      </c>
      <c r="S56">
        <v>0</v>
      </c>
    </row>
    <row r="57" spans="1:19" x14ac:dyDescent="0.3">
      <c r="A57">
        <v>508</v>
      </c>
      <c r="D57">
        <v>0</v>
      </c>
      <c r="E57">
        <v>0</v>
      </c>
      <c r="F57">
        <v>0</v>
      </c>
      <c r="G57">
        <v>0</v>
      </c>
      <c r="H57">
        <v>0</v>
      </c>
      <c r="I57">
        <v>0</v>
      </c>
      <c r="J57">
        <v>0</v>
      </c>
      <c r="K57">
        <v>0</v>
      </c>
      <c r="L57">
        <v>0</v>
      </c>
      <c r="M57">
        <v>0</v>
      </c>
      <c r="N57">
        <v>0</v>
      </c>
      <c r="O57">
        <v>0</v>
      </c>
      <c r="P57">
        <v>0</v>
      </c>
      <c r="Q57">
        <v>0</v>
      </c>
      <c r="R57">
        <v>0</v>
      </c>
      <c r="S57">
        <v>0</v>
      </c>
    </row>
    <row r="58" spans="1:19" x14ac:dyDescent="0.3">
      <c r="A58">
        <v>509</v>
      </c>
      <c r="D58">
        <v>0</v>
      </c>
      <c r="E58">
        <v>0</v>
      </c>
      <c r="F58">
        <v>0</v>
      </c>
      <c r="G58">
        <v>0</v>
      </c>
      <c r="H58">
        <v>0</v>
      </c>
      <c r="I58">
        <v>0</v>
      </c>
      <c r="J58">
        <v>0</v>
      </c>
      <c r="K58">
        <v>0</v>
      </c>
      <c r="L58">
        <v>0</v>
      </c>
      <c r="M58">
        <v>0</v>
      </c>
      <c r="N58">
        <v>0</v>
      </c>
      <c r="O58">
        <v>0</v>
      </c>
      <c r="P58">
        <v>0</v>
      </c>
      <c r="Q58">
        <v>0</v>
      </c>
      <c r="R58">
        <v>0</v>
      </c>
      <c r="S58">
        <v>0</v>
      </c>
    </row>
    <row r="59" spans="1:19" x14ac:dyDescent="0.3">
      <c r="A59">
        <v>22</v>
      </c>
      <c r="D59">
        <v>0</v>
      </c>
      <c r="E59">
        <v>0</v>
      </c>
      <c r="F59">
        <v>0</v>
      </c>
      <c r="G59">
        <v>0</v>
      </c>
      <c r="H59">
        <v>0</v>
      </c>
      <c r="I59">
        <v>0</v>
      </c>
      <c r="J59">
        <v>0</v>
      </c>
      <c r="K59">
        <v>0</v>
      </c>
      <c r="L59">
        <v>0</v>
      </c>
      <c r="M59">
        <v>0</v>
      </c>
      <c r="N59">
        <v>0</v>
      </c>
      <c r="O59">
        <v>0</v>
      </c>
      <c r="P59">
        <v>0</v>
      </c>
      <c r="Q59">
        <v>0</v>
      </c>
      <c r="R59">
        <v>0</v>
      </c>
      <c r="S59">
        <v>0</v>
      </c>
    </row>
    <row r="60" spans="1:19" x14ac:dyDescent="0.3">
      <c r="A60">
        <v>23</v>
      </c>
      <c r="D60">
        <v>49376</v>
      </c>
      <c r="E60">
        <v>136933</v>
      </c>
      <c r="F60">
        <v>467174</v>
      </c>
      <c r="G60">
        <v>0</v>
      </c>
      <c r="H60">
        <v>75453</v>
      </c>
      <c r="I60">
        <v>220550</v>
      </c>
      <c r="J60">
        <v>593964</v>
      </c>
      <c r="K60">
        <v>155309</v>
      </c>
      <c r="L60">
        <v>-72364</v>
      </c>
      <c r="M60">
        <v>3682</v>
      </c>
      <c r="N60">
        <v>0</v>
      </c>
      <c r="O60">
        <v>394482</v>
      </c>
      <c r="P60">
        <v>30993</v>
      </c>
      <c r="Q60">
        <v>41953</v>
      </c>
      <c r="R60">
        <v>51347</v>
      </c>
      <c r="S60">
        <v>179906</v>
      </c>
    </row>
    <row r="61" spans="1:19" x14ac:dyDescent="0.3">
      <c r="A61">
        <v>507</v>
      </c>
      <c r="D61">
        <v>0</v>
      </c>
      <c r="E61">
        <v>0</v>
      </c>
      <c r="F61">
        <v>0</v>
      </c>
      <c r="G61">
        <v>0</v>
      </c>
      <c r="H61">
        <v>0</v>
      </c>
      <c r="I61">
        <v>0</v>
      </c>
      <c r="J61">
        <v>0</v>
      </c>
      <c r="K61">
        <v>0</v>
      </c>
      <c r="L61">
        <v>0</v>
      </c>
      <c r="M61">
        <v>0</v>
      </c>
      <c r="N61">
        <v>0</v>
      </c>
      <c r="O61">
        <v>0</v>
      </c>
      <c r="P61">
        <v>0</v>
      </c>
      <c r="Q61">
        <v>0</v>
      </c>
      <c r="R61">
        <v>0</v>
      </c>
      <c r="S61">
        <v>0</v>
      </c>
    </row>
    <row r="62" spans="1:19" x14ac:dyDescent="0.3">
      <c r="A62">
        <v>647</v>
      </c>
      <c r="D62">
        <v>0</v>
      </c>
      <c r="E62">
        <v>0</v>
      </c>
      <c r="F62">
        <v>0</v>
      </c>
      <c r="G62">
        <v>0</v>
      </c>
      <c r="H62">
        <v>0</v>
      </c>
      <c r="I62">
        <v>0</v>
      </c>
      <c r="J62">
        <v>0</v>
      </c>
      <c r="K62">
        <v>0</v>
      </c>
      <c r="L62">
        <v>0</v>
      </c>
      <c r="M62">
        <v>0</v>
      </c>
      <c r="N62">
        <v>0</v>
      </c>
      <c r="O62">
        <v>0</v>
      </c>
      <c r="P62">
        <v>0</v>
      </c>
      <c r="Q62">
        <v>0</v>
      </c>
      <c r="R62">
        <v>0</v>
      </c>
      <c r="S62">
        <v>0</v>
      </c>
    </row>
    <row r="63" spans="1:19" x14ac:dyDescent="0.3">
      <c r="D63" t="e">
        <v>#N/A</v>
      </c>
      <c r="E63" t="e">
        <v>#N/A</v>
      </c>
      <c r="F63" t="e">
        <v>#N/A</v>
      </c>
      <c r="G63" t="e">
        <v>#N/A</v>
      </c>
      <c r="H63" t="e">
        <v>#N/A</v>
      </c>
      <c r="I63" t="e">
        <v>#N/A</v>
      </c>
      <c r="J63" t="e">
        <v>#N/A</v>
      </c>
      <c r="K63" t="e">
        <v>#N/A</v>
      </c>
      <c r="L63" t="e">
        <v>#N/A</v>
      </c>
      <c r="M63" t="e">
        <v>#N/A</v>
      </c>
      <c r="N63" t="e">
        <v>#N/A</v>
      </c>
      <c r="O63" t="e">
        <v>#N/A</v>
      </c>
      <c r="P63" t="e">
        <v>#N/A</v>
      </c>
      <c r="Q63" t="e">
        <v>#N/A</v>
      </c>
      <c r="R63" t="e">
        <v>#N/A</v>
      </c>
      <c r="S63" t="e">
        <v>#N/A</v>
      </c>
    </row>
    <row r="64" spans="1:19" x14ac:dyDescent="0.3">
      <c r="A64">
        <v>534</v>
      </c>
      <c r="D64">
        <v>0</v>
      </c>
      <c r="E64">
        <v>0</v>
      </c>
      <c r="F64">
        <v>0</v>
      </c>
      <c r="G64">
        <v>0</v>
      </c>
      <c r="H64">
        <v>0</v>
      </c>
      <c r="I64">
        <v>0</v>
      </c>
      <c r="J64">
        <v>0</v>
      </c>
      <c r="K64">
        <v>1455</v>
      </c>
      <c r="L64">
        <v>0</v>
      </c>
      <c r="M64">
        <v>2670</v>
      </c>
      <c r="N64">
        <v>0</v>
      </c>
      <c r="O64">
        <v>0</v>
      </c>
      <c r="P64">
        <v>0</v>
      </c>
      <c r="Q64">
        <v>0</v>
      </c>
      <c r="R64">
        <v>0</v>
      </c>
      <c r="S64">
        <v>0</v>
      </c>
    </row>
    <row r="65" spans="1:19" x14ac:dyDescent="0.3">
      <c r="A65">
        <v>13</v>
      </c>
      <c r="D65">
        <v>0</v>
      </c>
      <c r="E65">
        <v>0</v>
      </c>
      <c r="F65">
        <v>0</v>
      </c>
      <c r="G65">
        <v>0</v>
      </c>
      <c r="H65">
        <v>0</v>
      </c>
      <c r="I65">
        <v>0</v>
      </c>
      <c r="J65">
        <v>0</v>
      </c>
      <c r="K65">
        <v>628548</v>
      </c>
      <c r="L65">
        <v>0</v>
      </c>
      <c r="M65">
        <v>493794</v>
      </c>
      <c r="N65">
        <v>0</v>
      </c>
      <c r="O65">
        <v>0</v>
      </c>
      <c r="P65">
        <v>0</v>
      </c>
      <c r="Q65">
        <v>0</v>
      </c>
      <c r="R65">
        <v>0</v>
      </c>
      <c r="S65">
        <v>0</v>
      </c>
    </row>
    <row r="66" spans="1:19" x14ac:dyDescent="0.3">
      <c r="A66">
        <v>14</v>
      </c>
      <c r="D66">
        <v>0</v>
      </c>
      <c r="E66">
        <v>0</v>
      </c>
      <c r="F66">
        <v>0</v>
      </c>
      <c r="G66">
        <v>0</v>
      </c>
      <c r="H66">
        <v>0</v>
      </c>
      <c r="I66">
        <v>0</v>
      </c>
      <c r="J66">
        <v>0</v>
      </c>
      <c r="K66">
        <v>22083</v>
      </c>
      <c r="L66">
        <v>0</v>
      </c>
      <c r="M66">
        <v>96069</v>
      </c>
      <c r="N66">
        <v>0</v>
      </c>
      <c r="O66">
        <v>0</v>
      </c>
      <c r="P66">
        <v>0</v>
      </c>
      <c r="Q66">
        <v>0</v>
      </c>
      <c r="R66">
        <v>0</v>
      </c>
      <c r="S66">
        <v>0</v>
      </c>
    </row>
    <row r="67" spans="1:19" x14ac:dyDescent="0.3">
      <c r="A67">
        <v>32</v>
      </c>
      <c r="D67">
        <v>0</v>
      </c>
      <c r="E67">
        <v>0</v>
      </c>
      <c r="F67">
        <v>0</v>
      </c>
      <c r="G67">
        <v>0</v>
      </c>
      <c r="H67">
        <v>0</v>
      </c>
      <c r="I67">
        <v>0</v>
      </c>
      <c r="J67">
        <v>0</v>
      </c>
      <c r="K67">
        <v>10541</v>
      </c>
      <c r="L67">
        <v>0</v>
      </c>
      <c r="M67">
        <v>52668</v>
      </c>
      <c r="N67">
        <v>0</v>
      </c>
      <c r="O67">
        <v>0</v>
      </c>
      <c r="P67">
        <v>0</v>
      </c>
      <c r="Q67">
        <v>0</v>
      </c>
      <c r="R67">
        <v>0</v>
      </c>
      <c r="S67">
        <v>0</v>
      </c>
    </row>
    <row r="68" spans="1:19" x14ac:dyDescent="0.3">
      <c r="A68">
        <v>31</v>
      </c>
      <c r="D68">
        <v>0</v>
      </c>
      <c r="E68">
        <v>0</v>
      </c>
      <c r="F68">
        <v>0</v>
      </c>
      <c r="G68">
        <v>0</v>
      </c>
      <c r="H68">
        <v>0</v>
      </c>
      <c r="I68">
        <v>0</v>
      </c>
      <c r="J68">
        <v>0</v>
      </c>
      <c r="K68">
        <v>-20850</v>
      </c>
      <c r="L68">
        <v>0</v>
      </c>
      <c r="M68">
        <v>-3906</v>
      </c>
      <c r="N68">
        <v>0</v>
      </c>
      <c r="O68">
        <v>0</v>
      </c>
      <c r="P68">
        <v>0</v>
      </c>
      <c r="Q68">
        <v>0</v>
      </c>
      <c r="R68">
        <v>0</v>
      </c>
      <c r="S68">
        <v>0</v>
      </c>
    </row>
    <row r="69" spans="1:19" x14ac:dyDescent="0.3">
      <c r="A69">
        <v>193</v>
      </c>
      <c r="D69">
        <v>0</v>
      </c>
      <c r="E69">
        <v>0</v>
      </c>
      <c r="F69">
        <v>0</v>
      </c>
      <c r="G69">
        <v>0</v>
      </c>
      <c r="H69">
        <v>0</v>
      </c>
      <c r="I69">
        <v>0</v>
      </c>
      <c r="J69">
        <v>0</v>
      </c>
      <c r="K69">
        <v>0</v>
      </c>
      <c r="L69">
        <v>0</v>
      </c>
      <c r="M69">
        <v>0</v>
      </c>
      <c r="N69">
        <v>0</v>
      </c>
      <c r="O69">
        <v>0</v>
      </c>
      <c r="P69">
        <v>0</v>
      </c>
      <c r="Q69">
        <v>0</v>
      </c>
      <c r="R69">
        <v>0</v>
      </c>
      <c r="S69">
        <v>0</v>
      </c>
    </row>
    <row r="70" spans="1:19" x14ac:dyDescent="0.3">
      <c r="A70">
        <v>33</v>
      </c>
      <c r="D70">
        <v>0</v>
      </c>
      <c r="E70">
        <v>0</v>
      </c>
      <c r="F70">
        <v>0</v>
      </c>
      <c r="G70">
        <v>0</v>
      </c>
      <c r="H70">
        <v>0</v>
      </c>
      <c r="I70">
        <v>0</v>
      </c>
      <c r="J70">
        <v>0</v>
      </c>
      <c r="K70">
        <v>-584710</v>
      </c>
      <c r="L70">
        <v>0</v>
      </c>
      <c r="M70">
        <v>-25502</v>
      </c>
      <c r="N70">
        <v>0</v>
      </c>
      <c r="O70">
        <v>0</v>
      </c>
      <c r="P70">
        <v>0</v>
      </c>
      <c r="Q70">
        <v>0</v>
      </c>
      <c r="R70">
        <v>0</v>
      </c>
      <c r="S70">
        <v>0</v>
      </c>
    </row>
    <row r="71" spans="1:19" x14ac:dyDescent="0.3">
      <c r="D71" t="e">
        <v>#N/A</v>
      </c>
      <c r="E71" t="e">
        <v>#N/A</v>
      </c>
      <c r="F71" t="e">
        <v>#N/A</v>
      </c>
      <c r="G71" t="e">
        <v>#N/A</v>
      </c>
      <c r="H71" t="e">
        <v>#N/A</v>
      </c>
      <c r="I71" t="e">
        <v>#N/A</v>
      </c>
      <c r="J71" t="e">
        <v>#N/A</v>
      </c>
      <c r="K71" t="e">
        <v>#N/A</v>
      </c>
      <c r="L71" t="e">
        <v>#N/A</v>
      </c>
      <c r="M71" t="e">
        <v>#N/A</v>
      </c>
      <c r="N71" t="e">
        <v>#N/A</v>
      </c>
      <c r="O71" t="e">
        <v>#N/A</v>
      </c>
      <c r="P71" t="e">
        <v>#N/A</v>
      </c>
      <c r="Q71" t="e">
        <v>#N/A</v>
      </c>
      <c r="R71" t="e">
        <v>#N/A</v>
      </c>
      <c r="S71" t="e">
        <v>#N/A</v>
      </c>
    </row>
    <row r="72" spans="1:19" x14ac:dyDescent="0.3">
      <c r="A72">
        <v>512</v>
      </c>
      <c r="D72">
        <v>0</v>
      </c>
      <c r="E72">
        <v>0</v>
      </c>
      <c r="F72">
        <v>0</v>
      </c>
      <c r="G72">
        <v>0</v>
      </c>
      <c r="H72">
        <v>0</v>
      </c>
      <c r="I72">
        <v>10479</v>
      </c>
      <c r="J72">
        <v>45999</v>
      </c>
      <c r="K72">
        <v>0</v>
      </c>
      <c r="L72">
        <v>0</v>
      </c>
      <c r="M72">
        <v>0</v>
      </c>
      <c r="N72">
        <v>0</v>
      </c>
      <c r="O72">
        <v>0</v>
      </c>
      <c r="P72">
        <v>0</v>
      </c>
      <c r="Q72">
        <v>264356</v>
      </c>
      <c r="R72">
        <v>0</v>
      </c>
      <c r="S72">
        <v>230393</v>
      </c>
    </row>
    <row r="73" spans="1:19" x14ac:dyDescent="0.3">
      <c r="D73" t="e">
        <v>#N/A</v>
      </c>
      <c r="E73" t="e">
        <v>#N/A</v>
      </c>
      <c r="F73" t="e">
        <v>#N/A</v>
      </c>
      <c r="G73" t="e">
        <v>#N/A</v>
      </c>
      <c r="H73" t="e">
        <v>#N/A</v>
      </c>
      <c r="I73" t="e">
        <v>#N/A</v>
      </c>
      <c r="J73" t="e">
        <v>#N/A</v>
      </c>
      <c r="K73" t="e">
        <v>#N/A</v>
      </c>
      <c r="L73" t="e">
        <v>#N/A</v>
      </c>
      <c r="M73" t="e">
        <v>#N/A</v>
      </c>
      <c r="N73" t="e">
        <v>#N/A</v>
      </c>
      <c r="O73" t="e">
        <v>#N/A</v>
      </c>
      <c r="P73" t="e">
        <v>#N/A</v>
      </c>
      <c r="Q73" t="e">
        <v>#N/A</v>
      </c>
      <c r="R73" t="e">
        <v>#N/A</v>
      </c>
      <c r="S73" t="e">
        <v>#N/A</v>
      </c>
    </row>
    <row r="74" spans="1:19" x14ac:dyDescent="0.3">
      <c r="A74">
        <v>622</v>
      </c>
      <c r="D74">
        <v>656081</v>
      </c>
      <c r="E74">
        <v>551380</v>
      </c>
      <c r="F74">
        <v>1362905</v>
      </c>
      <c r="G74">
        <v>0</v>
      </c>
      <c r="H74">
        <v>539945</v>
      </c>
      <c r="I74">
        <v>407013</v>
      </c>
      <c r="J74">
        <v>1007349</v>
      </c>
      <c r="K74">
        <v>567460</v>
      </c>
      <c r="L74">
        <v>252999</v>
      </c>
      <c r="M74">
        <v>508141</v>
      </c>
      <c r="N74">
        <v>0</v>
      </c>
      <c r="O74">
        <v>1785284</v>
      </c>
      <c r="P74">
        <v>437745</v>
      </c>
      <c r="Q74">
        <v>921587</v>
      </c>
      <c r="R74">
        <v>595690</v>
      </c>
      <c r="S74">
        <v>1509415</v>
      </c>
    </row>
    <row r="75" spans="1:19" x14ac:dyDescent="0.3">
      <c r="A75">
        <v>577</v>
      </c>
      <c r="D75">
        <v>2</v>
      </c>
      <c r="E75">
        <v>2</v>
      </c>
      <c r="F75">
        <v>2</v>
      </c>
      <c r="G75">
        <v>0</v>
      </c>
      <c r="H75">
        <v>2</v>
      </c>
      <c r="I75">
        <v>2</v>
      </c>
      <c r="J75">
        <v>2</v>
      </c>
      <c r="K75">
        <v>2</v>
      </c>
      <c r="L75">
        <v>0</v>
      </c>
      <c r="M75">
        <v>2</v>
      </c>
      <c r="N75">
        <v>0</v>
      </c>
      <c r="O75">
        <v>2</v>
      </c>
      <c r="P75">
        <v>2</v>
      </c>
      <c r="Q75">
        <v>2</v>
      </c>
      <c r="R75">
        <v>2</v>
      </c>
      <c r="S75">
        <v>2</v>
      </c>
    </row>
    <row r="76" spans="1:19" x14ac:dyDescent="0.3">
      <c r="D76" t="e">
        <v>#N/A</v>
      </c>
      <c r="E76" t="e">
        <v>#N/A</v>
      </c>
      <c r="F76" t="e">
        <v>#N/A</v>
      </c>
      <c r="G76" t="e">
        <v>#N/A</v>
      </c>
      <c r="H76" t="e">
        <v>#N/A</v>
      </c>
      <c r="I76" t="e">
        <v>#N/A</v>
      </c>
      <c r="J76" t="e">
        <v>#N/A</v>
      </c>
      <c r="K76" t="e">
        <v>#N/A</v>
      </c>
      <c r="L76" t="e">
        <v>#N/A</v>
      </c>
      <c r="M76" t="e">
        <v>#N/A</v>
      </c>
      <c r="N76" t="e">
        <v>#N/A</v>
      </c>
      <c r="O76" t="e">
        <v>#N/A</v>
      </c>
      <c r="P76" t="e">
        <v>#N/A</v>
      </c>
      <c r="Q76" t="e">
        <v>#N/A</v>
      </c>
      <c r="R76" t="e">
        <v>#N/A</v>
      </c>
      <c r="S76" t="e">
        <v>#N/A</v>
      </c>
    </row>
    <row r="77" spans="1:19" x14ac:dyDescent="0.3">
      <c r="A77">
        <v>547</v>
      </c>
      <c r="D77">
        <v>1</v>
      </c>
      <c r="E77">
        <v>2</v>
      </c>
      <c r="F77">
        <v>3</v>
      </c>
      <c r="G77">
        <v>0</v>
      </c>
      <c r="H77">
        <v>3</v>
      </c>
      <c r="I77">
        <v>1</v>
      </c>
      <c r="J77">
        <v>4</v>
      </c>
      <c r="K77">
        <v>2</v>
      </c>
      <c r="L77">
        <v>1</v>
      </c>
      <c r="M77">
        <v>3</v>
      </c>
      <c r="N77">
        <v>0</v>
      </c>
      <c r="O77">
        <v>2</v>
      </c>
      <c r="P77">
        <v>2</v>
      </c>
      <c r="Q77">
        <v>3</v>
      </c>
      <c r="R77">
        <v>2</v>
      </c>
      <c r="S77">
        <v>3</v>
      </c>
    </row>
    <row r="78" spans="1:19" x14ac:dyDescent="0.3">
      <c r="A78">
        <v>659</v>
      </c>
      <c r="D78">
        <v>0</v>
      </c>
      <c r="E78">
        <v>0</v>
      </c>
      <c r="F78">
        <v>334215</v>
      </c>
      <c r="G78">
        <v>0</v>
      </c>
      <c r="H78">
        <v>250202</v>
      </c>
      <c r="I78">
        <v>1745998</v>
      </c>
      <c r="J78">
        <v>0</v>
      </c>
      <c r="K78">
        <v>0</v>
      </c>
      <c r="L78">
        <v>0</v>
      </c>
      <c r="M78">
        <v>345988</v>
      </c>
      <c r="N78">
        <v>0</v>
      </c>
      <c r="O78">
        <v>0</v>
      </c>
      <c r="P78">
        <v>0</v>
      </c>
      <c r="Q78">
        <v>2560170</v>
      </c>
      <c r="R78">
        <v>0</v>
      </c>
      <c r="S78">
        <v>379056</v>
      </c>
    </row>
    <row r="79" spans="1:19" x14ac:dyDescent="0.3">
      <c r="A79">
        <v>660</v>
      </c>
      <c r="D79">
        <v>0</v>
      </c>
      <c r="E79">
        <v>0</v>
      </c>
      <c r="F79">
        <v>0</v>
      </c>
      <c r="G79">
        <v>0</v>
      </c>
      <c r="H79">
        <v>0</v>
      </c>
      <c r="I79">
        <v>10479</v>
      </c>
      <c r="J79">
        <v>0</v>
      </c>
      <c r="K79">
        <v>0</v>
      </c>
      <c r="L79">
        <v>0</v>
      </c>
      <c r="M79">
        <v>0</v>
      </c>
      <c r="N79">
        <v>0</v>
      </c>
      <c r="O79">
        <v>0</v>
      </c>
      <c r="P79">
        <v>0</v>
      </c>
      <c r="Q79">
        <v>264356</v>
      </c>
      <c r="R79">
        <v>0</v>
      </c>
      <c r="S79">
        <v>172921</v>
      </c>
    </row>
    <row r="80" spans="1:19" x14ac:dyDescent="0.3">
      <c r="A80">
        <v>661</v>
      </c>
      <c r="D80">
        <v>0</v>
      </c>
      <c r="E80">
        <v>0</v>
      </c>
      <c r="F80">
        <v>0</v>
      </c>
      <c r="G80">
        <v>0</v>
      </c>
      <c r="H80">
        <v>0</v>
      </c>
      <c r="I80">
        <v>0.6</v>
      </c>
      <c r="J80">
        <v>0</v>
      </c>
      <c r="K80">
        <v>0</v>
      </c>
      <c r="L80">
        <v>0</v>
      </c>
      <c r="M80">
        <v>0</v>
      </c>
      <c r="N80">
        <v>0</v>
      </c>
      <c r="O80">
        <v>0</v>
      </c>
      <c r="P80">
        <v>0</v>
      </c>
      <c r="Q80">
        <v>10.3</v>
      </c>
      <c r="R80">
        <v>0</v>
      </c>
      <c r="S80">
        <v>45.6</v>
      </c>
    </row>
    <row r="81" spans="1:19" x14ac:dyDescent="0.3">
      <c r="D81" t="e">
        <v>#N/A</v>
      </c>
      <c r="E81" t="e">
        <v>#N/A</v>
      </c>
      <c r="F81" t="e">
        <v>#N/A</v>
      </c>
      <c r="G81" t="e">
        <v>#N/A</v>
      </c>
      <c r="H81" t="e">
        <v>#N/A</v>
      </c>
      <c r="I81" t="e">
        <v>#N/A</v>
      </c>
      <c r="J81" t="e">
        <v>#N/A</v>
      </c>
      <c r="K81" t="e">
        <v>#N/A</v>
      </c>
      <c r="L81" t="e">
        <v>#N/A</v>
      </c>
      <c r="M81" t="e">
        <v>#N/A</v>
      </c>
      <c r="N81" t="e">
        <v>#N/A</v>
      </c>
      <c r="O81" t="e">
        <v>#N/A</v>
      </c>
      <c r="P81" t="e">
        <v>#N/A</v>
      </c>
      <c r="Q81" t="e">
        <v>#N/A</v>
      </c>
      <c r="R81" t="e">
        <v>#N/A</v>
      </c>
      <c r="S81" t="e">
        <v>#N/A</v>
      </c>
    </row>
    <row r="82" spans="1:19" x14ac:dyDescent="0.3">
      <c r="D82" t="e">
        <v>#N/A</v>
      </c>
      <c r="E82" t="e">
        <v>#N/A</v>
      </c>
      <c r="F82" t="e">
        <v>#N/A</v>
      </c>
      <c r="G82" t="e">
        <v>#N/A</v>
      </c>
      <c r="H82" t="e">
        <v>#N/A</v>
      </c>
      <c r="I82" t="e">
        <v>#N/A</v>
      </c>
      <c r="J82" t="e">
        <v>#N/A</v>
      </c>
      <c r="K82" t="e">
        <v>#N/A</v>
      </c>
      <c r="L82" t="e">
        <v>#N/A</v>
      </c>
      <c r="M82" t="e">
        <v>#N/A</v>
      </c>
      <c r="N82" t="e">
        <v>#N/A</v>
      </c>
      <c r="O82" t="e">
        <v>#N/A</v>
      </c>
      <c r="P82" t="e">
        <v>#N/A</v>
      </c>
      <c r="Q82" t="e">
        <v>#N/A</v>
      </c>
      <c r="R82" t="e">
        <v>#N/A</v>
      </c>
      <c r="S82" t="e">
        <v>#N/A</v>
      </c>
    </row>
    <row r="83" spans="1:19" x14ac:dyDescent="0.3">
      <c r="A83">
        <v>6</v>
      </c>
      <c r="D83">
        <v>0</v>
      </c>
      <c r="E83">
        <v>0</v>
      </c>
      <c r="F83">
        <v>0</v>
      </c>
      <c r="G83">
        <v>0</v>
      </c>
      <c r="H83">
        <v>0</v>
      </c>
      <c r="I83">
        <v>0</v>
      </c>
      <c r="J83">
        <v>0</v>
      </c>
      <c r="K83">
        <v>0</v>
      </c>
      <c r="L83">
        <v>0</v>
      </c>
      <c r="M83">
        <v>0</v>
      </c>
      <c r="N83">
        <v>0</v>
      </c>
      <c r="O83">
        <v>0</v>
      </c>
      <c r="P83">
        <v>0</v>
      </c>
      <c r="Q83">
        <v>0</v>
      </c>
      <c r="R83">
        <v>0</v>
      </c>
      <c r="S83">
        <v>0</v>
      </c>
    </row>
  </sheetData>
  <sheetProtection algorithmName="SHA-512" hashValue="4KstOhNX4O0fpSVZ4p+AyQ9/6w4o36BJWeUcMmdirser+E23pL0ThHfoOhU/VoaKr7H3jYDeR1Ogp+xCv6mUaA==" saltValue="WDKRumQwAjFG6Xkt9Bgff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9989C-5348-4819-9A5C-ED51D564E340}">
  <dimension ref="A1:S83"/>
  <sheetViews>
    <sheetView workbookViewId="0">
      <selection activeCell="C1" sqref="C1"/>
    </sheetView>
  </sheetViews>
  <sheetFormatPr defaultRowHeight="14.4" x14ac:dyDescent="0.3"/>
  <cols>
    <col min="4" max="19" width="20.77734375" customWidth="1"/>
  </cols>
  <sheetData>
    <row r="1" spans="1:19" x14ac:dyDescent="0.3">
      <c r="D1" t="s">
        <v>600</v>
      </c>
      <c r="E1" t="s">
        <v>601</v>
      </c>
      <c r="F1" t="s">
        <v>602</v>
      </c>
      <c r="G1" t="s">
        <v>603</v>
      </c>
      <c r="H1" t="s">
        <v>604</v>
      </c>
      <c r="I1" t="s">
        <v>605</v>
      </c>
      <c r="J1" t="s">
        <v>606</v>
      </c>
      <c r="K1" t="s">
        <v>607</v>
      </c>
      <c r="L1" t="s">
        <v>608</v>
      </c>
      <c r="M1" t="s">
        <v>609</v>
      </c>
      <c r="N1" t="s">
        <v>610</v>
      </c>
      <c r="O1" t="s">
        <v>611</v>
      </c>
      <c r="P1" t="s">
        <v>612</v>
      </c>
      <c r="Q1" t="s">
        <v>613</v>
      </c>
      <c r="R1" t="s">
        <v>614</v>
      </c>
      <c r="S1" t="s">
        <v>615</v>
      </c>
    </row>
    <row r="2" spans="1:19" x14ac:dyDescent="0.3">
      <c r="D2">
        <v>551100</v>
      </c>
      <c r="E2">
        <v>551101</v>
      </c>
      <c r="F2">
        <v>551102</v>
      </c>
      <c r="G2">
        <v>551103</v>
      </c>
      <c r="H2">
        <v>551113</v>
      </c>
      <c r="I2">
        <v>551104</v>
      </c>
      <c r="J2">
        <v>551105</v>
      </c>
      <c r="K2">
        <v>551106</v>
      </c>
      <c r="L2">
        <v>551107</v>
      </c>
      <c r="M2">
        <v>551108</v>
      </c>
      <c r="N2">
        <v>551109</v>
      </c>
      <c r="O2">
        <v>551112</v>
      </c>
      <c r="P2">
        <v>551115</v>
      </c>
      <c r="Q2">
        <v>551116</v>
      </c>
      <c r="R2">
        <v>551114</v>
      </c>
      <c r="S2">
        <v>551117</v>
      </c>
    </row>
    <row r="3" spans="1:19" x14ac:dyDescent="0.3">
      <c r="A3">
        <v>333</v>
      </c>
      <c r="D3" cm="1">
        <f t="array" ref="D3">_xlfn.XLOOKUP(D$1,'PY1 Data(H)'!$A$1:$BR$1,_xlfn.XLOOKUP($A3,'PY1 Data(H)'!$A$1:$A$135,'PY1 Data(H)'!$A$1:$BR$135))</f>
        <v>1784195</v>
      </c>
      <c r="E3" s="119" cm="1">
        <f t="array" ref="E3">_xlfn.XLOOKUP(E$1,'PY1 Data(H)'!$A$1:$BR$1,_xlfn.XLOOKUP($A3,'PY1 Data(H)'!$A$1:$A$135,'PY1 Data(H)'!$A$1:$BR$135))</f>
        <v>1365078</v>
      </c>
      <c r="F3" s="119" cm="1">
        <f t="array" ref="F3">_xlfn.XLOOKUP(F$1,'PY1 Data(H)'!$A$1:$BR$1,_xlfn.XLOOKUP($A3,'PY1 Data(H)'!$A$1:$A$135,'PY1 Data(H)'!$A$1:$BR$135))</f>
        <v>2462504</v>
      </c>
      <c r="G3" s="119" cm="1">
        <f t="array" ref="G3">_xlfn.XLOOKUP(G$1,'PY1 Data(H)'!$A$1:$BR$1,_xlfn.XLOOKUP($A3,'PY1 Data(H)'!$A$1:$A$135,'PY1 Data(H)'!$A$1:$BR$135))</f>
        <v>665417</v>
      </c>
      <c r="H3" s="119" cm="1">
        <f t="array" ref="H3">_xlfn.XLOOKUP(H$1,'PY1 Data(H)'!$A$1:$BR$1,_xlfn.XLOOKUP($A3,'PY1 Data(H)'!$A$1:$A$135,'PY1 Data(H)'!$A$1:$BR$135))</f>
        <v>1657004</v>
      </c>
      <c r="I3" s="119" cm="1">
        <f t="array" ref="I3">_xlfn.XLOOKUP(I$1,'PY1 Data(H)'!$A$1:$BR$1,_xlfn.XLOOKUP($A3,'PY1 Data(H)'!$A$1:$A$135,'PY1 Data(H)'!$A$1:$BR$135))</f>
        <v>1578919</v>
      </c>
      <c r="J3" s="119" cm="1">
        <f t="array" ref="J3">_xlfn.XLOOKUP(J$1,'PY1 Data(H)'!$A$1:$BR$1,_xlfn.XLOOKUP($A3,'PY1 Data(H)'!$A$1:$A$135,'PY1 Data(H)'!$A$1:$BR$135))</f>
        <v>5724727</v>
      </c>
      <c r="K3" s="119" cm="1">
        <f t="array" ref="K3">_xlfn.XLOOKUP(K$1,'PY1 Data(H)'!$A$1:$BR$1,_xlfn.XLOOKUP($A3,'PY1 Data(H)'!$A$1:$A$135,'PY1 Data(H)'!$A$1:$BR$135))</f>
        <v>270296</v>
      </c>
      <c r="L3" s="119" cm="1">
        <f t="array" ref="L3">_xlfn.XLOOKUP(L$1,'PY1 Data(H)'!$A$1:$BR$1,_xlfn.XLOOKUP($A3,'PY1 Data(H)'!$A$1:$A$135,'PY1 Data(H)'!$A$1:$BR$135))</f>
        <v>452254</v>
      </c>
      <c r="M3" s="119" cm="1">
        <f t="array" ref="M3">_xlfn.XLOOKUP(M$1,'PY1 Data(H)'!$A$1:$BR$1,_xlfn.XLOOKUP($A3,'PY1 Data(H)'!$A$1:$A$135,'PY1 Data(H)'!$A$1:$BR$135))</f>
        <v>1599713</v>
      </c>
      <c r="N3" s="119" cm="1">
        <f t="array" ref="N3">_xlfn.XLOOKUP(N$1,'PY1 Data(H)'!$A$1:$BR$1,_xlfn.XLOOKUP($A3,'PY1 Data(H)'!$A$1:$A$135,'PY1 Data(H)'!$A$1:$BR$135))</f>
        <v>0</v>
      </c>
      <c r="O3" s="119" t="e" cm="1">
        <f t="array" ref="O3">_xlfn.XLOOKUP(O$1,'PY1 Data(H)'!$A$1:$BR$1,_xlfn.XLOOKUP($A3,'PY1 Data(H)'!$A$1:$A$135,'PY1 Data(H)'!$A$1:$BR$135))</f>
        <v>#N/A</v>
      </c>
      <c r="P3" s="119" cm="1">
        <f t="array" ref="P3">_xlfn.XLOOKUP(P$1,'PY1 Data(H)'!$A$1:$BR$1,_xlfn.XLOOKUP($A3,'PY1 Data(H)'!$A$1:$A$135,'PY1 Data(H)'!$A$1:$BR$135))</f>
        <v>1829603</v>
      </c>
      <c r="Q3" s="119" cm="1">
        <f t="array" ref="Q3">_xlfn.XLOOKUP(Q$1,'PY1 Data(H)'!$A$1:$BR$1,_xlfn.XLOOKUP($A3,'PY1 Data(H)'!$A$1:$A$135,'PY1 Data(H)'!$A$1:$BR$135))</f>
        <v>9990845</v>
      </c>
      <c r="R3" s="119" cm="1">
        <f t="array" ref="R3">_xlfn.XLOOKUP(R$1,'PY1 Data(H)'!$A$1:$BR$1,_xlfn.XLOOKUP($A3,'PY1 Data(H)'!$A$1:$A$135,'PY1 Data(H)'!$A$1:$BR$135))</f>
        <v>839045</v>
      </c>
      <c r="S3" s="119" cm="1">
        <f t="array" ref="S3">_xlfn.XLOOKUP(S$1,'PY1 Data(H)'!$A$1:$BR$1,_xlfn.XLOOKUP($A3,'PY1 Data(H)'!$A$1:$A$135,'PY1 Data(H)'!$A$1:$BR$135))</f>
        <v>2289638</v>
      </c>
    </row>
    <row r="4" spans="1:19" x14ac:dyDescent="0.3">
      <c r="A4">
        <v>500</v>
      </c>
      <c r="D4" s="119" cm="1">
        <f t="array" ref="D4">_xlfn.XLOOKUP(D$1,'PY1 Data(H)'!$A$1:$BR$1,_xlfn.XLOOKUP($A4,'PY1 Data(H)'!$A$1:$A$135,'PY1 Data(H)'!$A$1:$BR$135))</f>
        <v>152998</v>
      </c>
      <c r="E4" s="119" cm="1">
        <f t="array" ref="E4">_xlfn.XLOOKUP(E$1,'PY1 Data(H)'!$A$1:$BR$1,_xlfn.XLOOKUP($A4,'PY1 Data(H)'!$A$1:$A$135,'PY1 Data(H)'!$A$1:$BR$135))</f>
        <v>0</v>
      </c>
      <c r="F4" s="119" cm="1">
        <f t="array" ref="F4">_xlfn.XLOOKUP(F$1,'PY1 Data(H)'!$A$1:$BR$1,_xlfn.XLOOKUP($A4,'PY1 Data(H)'!$A$1:$A$135,'PY1 Data(H)'!$A$1:$BR$135))</f>
        <v>0</v>
      </c>
      <c r="G4" s="119" cm="1">
        <f t="array" ref="G4">_xlfn.XLOOKUP(G$1,'PY1 Data(H)'!$A$1:$BR$1,_xlfn.XLOOKUP($A4,'PY1 Data(H)'!$A$1:$A$135,'PY1 Data(H)'!$A$1:$BR$135))</f>
        <v>663504</v>
      </c>
      <c r="H4" s="119" cm="1">
        <f t="array" ref="H4">_xlfn.XLOOKUP(H$1,'PY1 Data(H)'!$A$1:$BR$1,_xlfn.XLOOKUP($A4,'PY1 Data(H)'!$A$1:$A$135,'PY1 Data(H)'!$A$1:$BR$135))</f>
        <v>0</v>
      </c>
      <c r="I4" s="119" cm="1">
        <f t="array" ref="I4">_xlfn.XLOOKUP(I$1,'PY1 Data(H)'!$A$1:$BR$1,_xlfn.XLOOKUP($A4,'PY1 Data(H)'!$A$1:$A$135,'PY1 Data(H)'!$A$1:$BR$135))</f>
        <v>0</v>
      </c>
      <c r="J4" s="119" cm="1">
        <f t="array" ref="J4">_xlfn.XLOOKUP(J$1,'PY1 Data(H)'!$A$1:$BR$1,_xlfn.XLOOKUP($A4,'PY1 Data(H)'!$A$1:$A$135,'PY1 Data(H)'!$A$1:$BR$135))</f>
        <v>0</v>
      </c>
      <c r="K4" s="119" cm="1">
        <f t="array" ref="K4">_xlfn.XLOOKUP(K$1,'PY1 Data(H)'!$A$1:$BR$1,_xlfn.XLOOKUP($A4,'PY1 Data(H)'!$A$1:$A$135,'PY1 Data(H)'!$A$1:$BR$135))</f>
        <v>0</v>
      </c>
      <c r="L4" s="119" cm="1">
        <f t="array" ref="L4">_xlfn.XLOOKUP(L$1,'PY1 Data(H)'!$A$1:$BR$1,_xlfn.XLOOKUP($A4,'PY1 Data(H)'!$A$1:$A$135,'PY1 Data(H)'!$A$1:$BR$135))</f>
        <v>0</v>
      </c>
      <c r="M4" s="119" cm="1">
        <f t="array" ref="M4">_xlfn.XLOOKUP(M$1,'PY1 Data(H)'!$A$1:$BR$1,_xlfn.XLOOKUP($A4,'PY1 Data(H)'!$A$1:$A$135,'PY1 Data(H)'!$A$1:$BR$135))</f>
        <v>0</v>
      </c>
      <c r="N4" s="119" cm="1">
        <f t="array" ref="N4">_xlfn.XLOOKUP(N$1,'PY1 Data(H)'!$A$1:$BR$1,_xlfn.XLOOKUP($A4,'PY1 Data(H)'!$A$1:$A$135,'PY1 Data(H)'!$A$1:$BR$135))</f>
        <v>0</v>
      </c>
      <c r="O4" s="119" t="e" cm="1">
        <f t="array" ref="O4">_xlfn.XLOOKUP(O$1,'PY1 Data(H)'!$A$1:$BR$1,_xlfn.XLOOKUP($A4,'PY1 Data(H)'!$A$1:$A$135,'PY1 Data(H)'!$A$1:$BR$135))</f>
        <v>#N/A</v>
      </c>
      <c r="P4" s="119" cm="1">
        <f t="array" ref="P4">_xlfn.XLOOKUP(P$1,'PY1 Data(H)'!$A$1:$BR$1,_xlfn.XLOOKUP($A4,'PY1 Data(H)'!$A$1:$A$135,'PY1 Data(H)'!$A$1:$BR$135))</f>
        <v>1004604</v>
      </c>
      <c r="Q4" s="119" cm="1">
        <f t="array" ref="Q4">_xlfn.XLOOKUP(Q$1,'PY1 Data(H)'!$A$1:$BR$1,_xlfn.XLOOKUP($A4,'PY1 Data(H)'!$A$1:$A$135,'PY1 Data(H)'!$A$1:$BR$135))</f>
        <v>0</v>
      </c>
      <c r="R4" s="119" cm="1">
        <f t="array" ref="R4">_xlfn.XLOOKUP(R$1,'PY1 Data(H)'!$A$1:$BR$1,_xlfn.XLOOKUP($A4,'PY1 Data(H)'!$A$1:$A$135,'PY1 Data(H)'!$A$1:$BR$135))</f>
        <v>0</v>
      </c>
      <c r="S4" s="119" cm="1">
        <f t="array" ref="S4">_xlfn.XLOOKUP(S$1,'PY1 Data(H)'!$A$1:$BR$1,_xlfn.XLOOKUP($A4,'PY1 Data(H)'!$A$1:$A$135,'PY1 Data(H)'!$A$1:$BR$135))</f>
        <v>878436</v>
      </c>
    </row>
    <row r="5" spans="1:19" x14ac:dyDescent="0.3">
      <c r="A5">
        <v>385</v>
      </c>
      <c r="D5" s="119" cm="1">
        <f t="array" ref="D5">_xlfn.XLOOKUP(D$1,'PY1 Data(H)'!$A$1:$BR$1,_xlfn.XLOOKUP($A5,'PY1 Data(H)'!$A$1:$A$135,'PY1 Data(H)'!$A$1:$BR$135))</f>
        <v>3631541</v>
      </c>
      <c r="E5" s="119" cm="1">
        <f t="array" ref="E5">_xlfn.XLOOKUP(E$1,'PY1 Data(H)'!$A$1:$BR$1,_xlfn.XLOOKUP($A5,'PY1 Data(H)'!$A$1:$A$135,'PY1 Data(H)'!$A$1:$BR$135))</f>
        <v>3812496</v>
      </c>
      <c r="F5" s="119" cm="1">
        <f t="array" ref="F5">_xlfn.XLOOKUP(F$1,'PY1 Data(H)'!$A$1:$BR$1,_xlfn.XLOOKUP($A5,'PY1 Data(H)'!$A$1:$A$135,'PY1 Data(H)'!$A$1:$BR$135))</f>
        <v>8532772</v>
      </c>
      <c r="G5" s="119" cm="1">
        <f t="array" ref="G5">_xlfn.XLOOKUP(G$1,'PY1 Data(H)'!$A$1:$BR$1,_xlfn.XLOOKUP($A5,'PY1 Data(H)'!$A$1:$A$135,'PY1 Data(H)'!$A$1:$BR$135))</f>
        <v>3566790</v>
      </c>
      <c r="H5" s="119" cm="1">
        <f t="array" ref="H5">_xlfn.XLOOKUP(H$1,'PY1 Data(H)'!$A$1:$BR$1,_xlfn.XLOOKUP($A5,'PY1 Data(H)'!$A$1:$A$135,'PY1 Data(H)'!$A$1:$BR$135))</f>
        <v>3985729</v>
      </c>
      <c r="I5" s="119" cm="1">
        <f t="array" ref="I5">_xlfn.XLOOKUP(I$1,'PY1 Data(H)'!$A$1:$BR$1,_xlfn.XLOOKUP($A5,'PY1 Data(H)'!$A$1:$A$135,'PY1 Data(H)'!$A$1:$BR$135))</f>
        <v>4919207</v>
      </c>
      <c r="J5" s="119" cm="1">
        <f t="array" ref="J5">_xlfn.XLOOKUP(J$1,'PY1 Data(H)'!$A$1:$BR$1,_xlfn.XLOOKUP($A5,'PY1 Data(H)'!$A$1:$A$135,'PY1 Data(H)'!$A$1:$BR$135))</f>
        <v>10306204</v>
      </c>
      <c r="K5" s="119" cm="1">
        <f t="array" ref="K5">_xlfn.XLOOKUP(K$1,'PY1 Data(H)'!$A$1:$BR$1,_xlfn.XLOOKUP($A5,'PY1 Data(H)'!$A$1:$A$135,'PY1 Data(H)'!$A$1:$BR$135))</f>
        <v>3179352</v>
      </c>
      <c r="L5" s="119" cm="1">
        <f t="array" ref="L5">_xlfn.XLOOKUP(L$1,'PY1 Data(H)'!$A$1:$BR$1,_xlfn.XLOOKUP($A5,'PY1 Data(H)'!$A$1:$A$135,'PY1 Data(H)'!$A$1:$BR$135))</f>
        <v>2696616</v>
      </c>
      <c r="M5" s="119" cm="1">
        <f t="array" ref="M5">_xlfn.XLOOKUP(M$1,'PY1 Data(H)'!$A$1:$BR$1,_xlfn.XLOOKUP($A5,'PY1 Data(H)'!$A$1:$A$135,'PY1 Data(H)'!$A$1:$BR$135))</f>
        <v>3889790</v>
      </c>
      <c r="N5" s="119" cm="1">
        <f t="array" ref="N5">_xlfn.XLOOKUP(N$1,'PY1 Data(H)'!$A$1:$BR$1,_xlfn.XLOOKUP($A5,'PY1 Data(H)'!$A$1:$A$135,'PY1 Data(H)'!$A$1:$BR$135))</f>
        <v>0</v>
      </c>
      <c r="O5" s="119" t="e" cm="1">
        <f t="array" ref="O5">_xlfn.XLOOKUP(O$1,'PY1 Data(H)'!$A$1:$BR$1,_xlfn.XLOOKUP($A5,'PY1 Data(H)'!$A$1:$A$135,'PY1 Data(H)'!$A$1:$BR$135))</f>
        <v>#N/A</v>
      </c>
      <c r="P5" s="119" cm="1">
        <f t="array" ref="P5">_xlfn.XLOOKUP(P$1,'PY1 Data(H)'!$A$1:$BR$1,_xlfn.XLOOKUP($A5,'PY1 Data(H)'!$A$1:$A$135,'PY1 Data(H)'!$A$1:$BR$135))</f>
        <v>7107115</v>
      </c>
      <c r="Q5" s="119" cm="1">
        <f t="array" ref="Q5">_xlfn.XLOOKUP(Q$1,'PY1 Data(H)'!$A$1:$BR$1,_xlfn.XLOOKUP($A5,'PY1 Data(H)'!$A$1:$A$135,'PY1 Data(H)'!$A$1:$BR$135))</f>
        <v>14725426</v>
      </c>
      <c r="R5" s="119" cm="1">
        <f t="array" ref="R5">_xlfn.XLOOKUP(R$1,'PY1 Data(H)'!$A$1:$BR$1,_xlfn.XLOOKUP($A5,'PY1 Data(H)'!$A$1:$A$135,'PY1 Data(H)'!$A$1:$BR$135))</f>
        <v>3166280</v>
      </c>
      <c r="S5" s="119" cm="1">
        <f t="array" ref="S5">_xlfn.XLOOKUP(S$1,'PY1 Data(H)'!$A$1:$BR$1,_xlfn.XLOOKUP($A5,'PY1 Data(H)'!$A$1:$A$135,'PY1 Data(H)'!$A$1:$BR$135))</f>
        <v>9074422</v>
      </c>
    </row>
    <row r="6" spans="1:19" x14ac:dyDescent="0.3">
      <c r="A6">
        <v>575</v>
      </c>
      <c r="D6" s="119" cm="1">
        <f t="array" ref="D6">_xlfn.XLOOKUP(D$1,'PY1 Data(H)'!$A$1:$BR$1,_xlfn.XLOOKUP($A6,'PY1 Data(H)'!$A$1:$A$135,'PY1 Data(H)'!$A$1:$BR$135))</f>
        <v>0</v>
      </c>
      <c r="E6" s="119" cm="1">
        <f t="array" ref="E6">_xlfn.XLOOKUP(E$1,'PY1 Data(H)'!$A$1:$BR$1,_xlfn.XLOOKUP($A6,'PY1 Data(H)'!$A$1:$A$135,'PY1 Data(H)'!$A$1:$BR$135))</f>
        <v>0</v>
      </c>
      <c r="F6" s="119" cm="1">
        <f t="array" ref="F6">_xlfn.XLOOKUP(F$1,'PY1 Data(H)'!$A$1:$BR$1,_xlfn.XLOOKUP($A6,'PY1 Data(H)'!$A$1:$A$135,'PY1 Data(H)'!$A$1:$BR$135))</f>
        <v>0</v>
      </c>
      <c r="G6" s="119" cm="1">
        <f t="array" ref="G6">_xlfn.XLOOKUP(G$1,'PY1 Data(H)'!$A$1:$BR$1,_xlfn.XLOOKUP($A6,'PY1 Data(H)'!$A$1:$A$135,'PY1 Data(H)'!$A$1:$BR$135))</f>
        <v>0</v>
      </c>
      <c r="H6" s="119" cm="1">
        <f t="array" ref="H6">_xlfn.XLOOKUP(H$1,'PY1 Data(H)'!$A$1:$BR$1,_xlfn.XLOOKUP($A6,'PY1 Data(H)'!$A$1:$A$135,'PY1 Data(H)'!$A$1:$BR$135))</f>
        <v>0</v>
      </c>
      <c r="I6" s="119" cm="1">
        <f t="array" ref="I6">_xlfn.XLOOKUP(I$1,'PY1 Data(H)'!$A$1:$BR$1,_xlfn.XLOOKUP($A6,'PY1 Data(H)'!$A$1:$A$135,'PY1 Data(H)'!$A$1:$BR$135))</f>
        <v>0</v>
      </c>
      <c r="J6" s="119" cm="1">
        <f t="array" ref="J6">_xlfn.XLOOKUP(J$1,'PY1 Data(H)'!$A$1:$BR$1,_xlfn.XLOOKUP($A6,'PY1 Data(H)'!$A$1:$A$135,'PY1 Data(H)'!$A$1:$BR$135))</f>
        <v>0</v>
      </c>
      <c r="K6" s="119" cm="1">
        <f t="array" ref="K6">_xlfn.XLOOKUP(K$1,'PY1 Data(H)'!$A$1:$BR$1,_xlfn.XLOOKUP($A6,'PY1 Data(H)'!$A$1:$A$135,'PY1 Data(H)'!$A$1:$BR$135))</f>
        <v>0</v>
      </c>
      <c r="L6" s="119" cm="1">
        <f t="array" ref="L6">_xlfn.XLOOKUP(L$1,'PY1 Data(H)'!$A$1:$BR$1,_xlfn.XLOOKUP($A6,'PY1 Data(H)'!$A$1:$A$135,'PY1 Data(H)'!$A$1:$BR$135))</f>
        <v>0</v>
      </c>
      <c r="M6" s="119" cm="1">
        <f t="array" ref="M6">_xlfn.XLOOKUP(M$1,'PY1 Data(H)'!$A$1:$BR$1,_xlfn.XLOOKUP($A6,'PY1 Data(H)'!$A$1:$A$135,'PY1 Data(H)'!$A$1:$BR$135))</f>
        <v>0</v>
      </c>
      <c r="N6" s="119" cm="1">
        <f t="array" ref="N6">_xlfn.XLOOKUP(N$1,'PY1 Data(H)'!$A$1:$BR$1,_xlfn.XLOOKUP($A6,'PY1 Data(H)'!$A$1:$A$135,'PY1 Data(H)'!$A$1:$BR$135))</f>
        <v>0</v>
      </c>
      <c r="O6" s="119" t="e" cm="1">
        <f t="array" ref="O6">_xlfn.XLOOKUP(O$1,'PY1 Data(H)'!$A$1:$BR$1,_xlfn.XLOOKUP($A6,'PY1 Data(H)'!$A$1:$A$135,'PY1 Data(H)'!$A$1:$BR$135))</f>
        <v>#N/A</v>
      </c>
      <c r="P6" s="119" cm="1">
        <f t="array" ref="P6">_xlfn.XLOOKUP(P$1,'PY1 Data(H)'!$A$1:$BR$1,_xlfn.XLOOKUP($A6,'PY1 Data(H)'!$A$1:$A$135,'PY1 Data(H)'!$A$1:$BR$135))</f>
        <v>0</v>
      </c>
      <c r="Q6" s="119" cm="1">
        <f t="array" ref="Q6">_xlfn.XLOOKUP(Q$1,'PY1 Data(H)'!$A$1:$BR$1,_xlfn.XLOOKUP($A6,'PY1 Data(H)'!$A$1:$A$135,'PY1 Data(H)'!$A$1:$BR$135))</f>
        <v>0</v>
      </c>
      <c r="R6" s="119" cm="1">
        <f t="array" ref="R6">_xlfn.XLOOKUP(R$1,'PY1 Data(H)'!$A$1:$BR$1,_xlfn.XLOOKUP($A6,'PY1 Data(H)'!$A$1:$A$135,'PY1 Data(H)'!$A$1:$BR$135))</f>
        <v>0</v>
      </c>
      <c r="S6" s="119" cm="1">
        <f t="array" ref="S6">_xlfn.XLOOKUP(S$1,'PY1 Data(H)'!$A$1:$BR$1,_xlfn.XLOOKUP($A6,'PY1 Data(H)'!$A$1:$A$135,'PY1 Data(H)'!$A$1:$BR$135))</f>
        <v>0</v>
      </c>
    </row>
    <row r="7" spans="1:19" x14ac:dyDescent="0.3">
      <c r="A7">
        <v>576</v>
      </c>
      <c r="D7" s="119" cm="1">
        <f t="array" ref="D7">_xlfn.XLOOKUP(D$1,'PY1 Data(H)'!$A$1:$BR$1,_xlfn.XLOOKUP($A7,'PY1 Data(H)'!$A$1:$A$135,'PY1 Data(H)'!$A$1:$BR$135))</f>
        <v>0</v>
      </c>
      <c r="E7" s="119" cm="1">
        <f t="array" ref="E7">_xlfn.XLOOKUP(E$1,'PY1 Data(H)'!$A$1:$BR$1,_xlfn.XLOOKUP($A7,'PY1 Data(H)'!$A$1:$A$135,'PY1 Data(H)'!$A$1:$BR$135))</f>
        <v>0</v>
      </c>
      <c r="F7" s="119" cm="1">
        <f t="array" ref="F7">_xlfn.XLOOKUP(F$1,'PY1 Data(H)'!$A$1:$BR$1,_xlfn.XLOOKUP($A7,'PY1 Data(H)'!$A$1:$A$135,'PY1 Data(H)'!$A$1:$BR$135))</f>
        <v>0</v>
      </c>
      <c r="G7" s="119" cm="1">
        <f t="array" ref="G7">_xlfn.XLOOKUP(G$1,'PY1 Data(H)'!$A$1:$BR$1,_xlfn.XLOOKUP($A7,'PY1 Data(H)'!$A$1:$A$135,'PY1 Data(H)'!$A$1:$BR$135))</f>
        <v>0</v>
      </c>
      <c r="H7" s="119" cm="1">
        <f t="array" ref="H7">_xlfn.XLOOKUP(H$1,'PY1 Data(H)'!$A$1:$BR$1,_xlfn.XLOOKUP($A7,'PY1 Data(H)'!$A$1:$A$135,'PY1 Data(H)'!$A$1:$BR$135))</f>
        <v>0</v>
      </c>
      <c r="I7" s="119" cm="1">
        <f t="array" ref="I7">_xlfn.XLOOKUP(I$1,'PY1 Data(H)'!$A$1:$BR$1,_xlfn.XLOOKUP($A7,'PY1 Data(H)'!$A$1:$A$135,'PY1 Data(H)'!$A$1:$BR$135))</f>
        <v>0</v>
      </c>
      <c r="J7" s="119" cm="1">
        <f t="array" ref="J7">_xlfn.XLOOKUP(J$1,'PY1 Data(H)'!$A$1:$BR$1,_xlfn.XLOOKUP($A7,'PY1 Data(H)'!$A$1:$A$135,'PY1 Data(H)'!$A$1:$BR$135))</f>
        <v>0</v>
      </c>
      <c r="K7" s="119" cm="1">
        <f t="array" ref="K7">_xlfn.XLOOKUP(K$1,'PY1 Data(H)'!$A$1:$BR$1,_xlfn.XLOOKUP($A7,'PY1 Data(H)'!$A$1:$A$135,'PY1 Data(H)'!$A$1:$BR$135))</f>
        <v>0</v>
      </c>
      <c r="L7" s="119" cm="1">
        <f t="array" ref="L7">_xlfn.XLOOKUP(L$1,'PY1 Data(H)'!$A$1:$BR$1,_xlfn.XLOOKUP($A7,'PY1 Data(H)'!$A$1:$A$135,'PY1 Data(H)'!$A$1:$BR$135))</f>
        <v>0</v>
      </c>
      <c r="M7" s="119" cm="1">
        <f t="array" ref="M7">_xlfn.XLOOKUP(M$1,'PY1 Data(H)'!$A$1:$BR$1,_xlfn.XLOOKUP($A7,'PY1 Data(H)'!$A$1:$A$135,'PY1 Data(H)'!$A$1:$BR$135))</f>
        <v>0</v>
      </c>
      <c r="N7" s="119" cm="1">
        <f t="array" ref="N7">_xlfn.XLOOKUP(N$1,'PY1 Data(H)'!$A$1:$BR$1,_xlfn.XLOOKUP($A7,'PY1 Data(H)'!$A$1:$A$135,'PY1 Data(H)'!$A$1:$BR$135))</f>
        <v>0</v>
      </c>
      <c r="O7" s="119" t="e" cm="1">
        <f t="array" ref="O7">_xlfn.XLOOKUP(O$1,'PY1 Data(H)'!$A$1:$BR$1,_xlfn.XLOOKUP($A7,'PY1 Data(H)'!$A$1:$A$135,'PY1 Data(H)'!$A$1:$BR$135))</f>
        <v>#N/A</v>
      </c>
      <c r="P7" s="119" cm="1">
        <f t="array" ref="P7">_xlfn.XLOOKUP(P$1,'PY1 Data(H)'!$A$1:$BR$1,_xlfn.XLOOKUP($A7,'PY1 Data(H)'!$A$1:$A$135,'PY1 Data(H)'!$A$1:$BR$135))</f>
        <v>0</v>
      </c>
      <c r="Q7" s="119" cm="1">
        <f t="array" ref="Q7">_xlfn.XLOOKUP(Q$1,'PY1 Data(H)'!$A$1:$BR$1,_xlfn.XLOOKUP($A7,'PY1 Data(H)'!$A$1:$A$135,'PY1 Data(H)'!$A$1:$BR$135))</f>
        <v>0</v>
      </c>
      <c r="R7" s="119" cm="1">
        <f t="array" ref="R7">_xlfn.XLOOKUP(R$1,'PY1 Data(H)'!$A$1:$BR$1,_xlfn.XLOOKUP($A7,'PY1 Data(H)'!$A$1:$A$135,'PY1 Data(H)'!$A$1:$BR$135))</f>
        <v>0</v>
      </c>
      <c r="S7" s="119" cm="1">
        <f t="array" ref="S7">_xlfn.XLOOKUP(S$1,'PY1 Data(H)'!$A$1:$BR$1,_xlfn.XLOOKUP($A7,'PY1 Data(H)'!$A$1:$A$135,'PY1 Data(H)'!$A$1:$BR$135))</f>
        <v>0</v>
      </c>
    </row>
    <row r="8" spans="1:19" x14ac:dyDescent="0.3">
      <c r="A8">
        <v>626</v>
      </c>
      <c r="D8" s="119" cm="1">
        <f t="array" ref="D8">_xlfn.XLOOKUP(D$1,'PY1 Data(H)'!$A$1:$BR$1,_xlfn.XLOOKUP($A8,'PY1 Data(H)'!$A$1:$A$135,'PY1 Data(H)'!$A$1:$BR$135))</f>
        <v>497798</v>
      </c>
      <c r="E8" s="119" cm="1">
        <f t="array" ref="E8">_xlfn.XLOOKUP(E$1,'PY1 Data(H)'!$A$1:$BR$1,_xlfn.XLOOKUP($A8,'PY1 Data(H)'!$A$1:$A$135,'PY1 Data(H)'!$A$1:$BR$135))</f>
        <v>2095581</v>
      </c>
      <c r="F8" s="119" cm="1">
        <f t="array" ref="F8">_xlfn.XLOOKUP(F$1,'PY1 Data(H)'!$A$1:$BR$1,_xlfn.XLOOKUP($A8,'PY1 Data(H)'!$A$1:$A$135,'PY1 Data(H)'!$A$1:$BR$135))</f>
        <v>4205840</v>
      </c>
      <c r="G8" s="119" cm="1">
        <f t="array" ref="G8">_xlfn.XLOOKUP(G$1,'PY1 Data(H)'!$A$1:$BR$1,_xlfn.XLOOKUP($A8,'PY1 Data(H)'!$A$1:$A$135,'PY1 Data(H)'!$A$1:$BR$135))</f>
        <v>970136</v>
      </c>
      <c r="H8" s="119" cm="1">
        <f t="array" ref="H8">_xlfn.XLOOKUP(H$1,'PY1 Data(H)'!$A$1:$BR$1,_xlfn.XLOOKUP($A8,'PY1 Data(H)'!$A$1:$A$135,'PY1 Data(H)'!$A$1:$BR$135))</f>
        <v>652033</v>
      </c>
      <c r="I8" s="119" cm="1">
        <f t="array" ref="I8">_xlfn.XLOOKUP(I$1,'PY1 Data(H)'!$A$1:$BR$1,_xlfn.XLOOKUP($A8,'PY1 Data(H)'!$A$1:$A$135,'PY1 Data(H)'!$A$1:$BR$135))</f>
        <v>1061714</v>
      </c>
      <c r="J8" s="119" cm="1">
        <f t="array" ref="J8">_xlfn.XLOOKUP(J$1,'PY1 Data(H)'!$A$1:$BR$1,_xlfn.XLOOKUP($A8,'PY1 Data(H)'!$A$1:$A$135,'PY1 Data(H)'!$A$1:$BR$135))</f>
        <v>3811284</v>
      </c>
      <c r="K8" s="119" cm="1">
        <f t="array" ref="K8">_xlfn.XLOOKUP(K$1,'PY1 Data(H)'!$A$1:$BR$1,_xlfn.XLOOKUP($A8,'PY1 Data(H)'!$A$1:$A$135,'PY1 Data(H)'!$A$1:$BR$135))</f>
        <v>1155589</v>
      </c>
      <c r="L8" s="119" cm="1">
        <f t="array" ref="L8">_xlfn.XLOOKUP(L$1,'PY1 Data(H)'!$A$1:$BR$1,_xlfn.XLOOKUP($A8,'PY1 Data(H)'!$A$1:$A$135,'PY1 Data(H)'!$A$1:$BR$135))</f>
        <v>893404</v>
      </c>
      <c r="M8" s="119" cm="1">
        <f t="array" ref="M8">_xlfn.XLOOKUP(M$1,'PY1 Data(H)'!$A$1:$BR$1,_xlfn.XLOOKUP($A8,'PY1 Data(H)'!$A$1:$A$135,'PY1 Data(H)'!$A$1:$BR$135))</f>
        <v>2599758</v>
      </c>
      <c r="N8" s="119" cm="1">
        <f t="array" ref="N8">_xlfn.XLOOKUP(N$1,'PY1 Data(H)'!$A$1:$BR$1,_xlfn.XLOOKUP($A8,'PY1 Data(H)'!$A$1:$A$135,'PY1 Data(H)'!$A$1:$BR$135))</f>
        <v>0</v>
      </c>
      <c r="O8" s="119" t="e" cm="1">
        <f t="array" ref="O8">_xlfn.XLOOKUP(O$1,'PY1 Data(H)'!$A$1:$BR$1,_xlfn.XLOOKUP($A8,'PY1 Data(H)'!$A$1:$A$135,'PY1 Data(H)'!$A$1:$BR$135))</f>
        <v>#N/A</v>
      </c>
      <c r="P8" s="119" cm="1">
        <f t="array" ref="P8">_xlfn.XLOOKUP(P$1,'PY1 Data(H)'!$A$1:$BR$1,_xlfn.XLOOKUP($A8,'PY1 Data(H)'!$A$1:$A$135,'PY1 Data(H)'!$A$1:$BR$135))</f>
        <v>2457526</v>
      </c>
      <c r="Q8" s="119" cm="1">
        <f t="array" ref="Q8">_xlfn.XLOOKUP(Q$1,'PY1 Data(H)'!$A$1:$BR$1,_xlfn.XLOOKUP($A8,'PY1 Data(H)'!$A$1:$A$135,'PY1 Data(H)'!$A$1:$BR$135))</f>
        <v>11255152</v>
      </c>
      <c r="R8" s="119" cm="1">
        <f t="array" ref="R8">_xlfn.XLOOKUP(R$1,'PY1 Data(H)'!$A$1:$BR$1,_xlfn.XLOOKUP($A8,'PY1 Data(H)'!$A$1:$A$135,'PY1 Data(H)'!$A$1:$BR$135))</f>
        <v>1047107</v>
      </c>
      <c r="S8" s="119" cm="1">
        <f t="array" ref="S8">_xlfn.XLOOKUP(S$1,'PY1 Data(H)'!$A$1:$BR$1,_xlfn.XLOOKUP($A8,'PY1 Data(H)'!$A$1:$A$135,'PY1 Data(H)'!$A$1:$BR$135))</f>
        <v>1915539</v>
      </c>
    </row>
    <row r="9" spans="1:19" x14ac:dyDescent="0.3">
      <c r="A9">
        <v>627</v>
      </c>
      <c r="D9" s="119" cm="1">
        <f t="array" ref="D9">_xlfn.XLOOKUP(D$1,'PY1 Data(H)'!$A$1:$BR$1,_xlfn.XLOOKUP($A9,'PY1 Data(H)'!$A$1:$A$135,'PY1 Data(H)'!$A$1:$BR$135))</f>
        <v>0</v>
      </c>
      <c r="E9" s="119" cm="1">
        <f t="array" ref="E9">_xlfn.XLOOKUP(E$1,'PY1 Data(H)'!$A$1:$BR$1,_xlfn.XLOOKUP($A9,'PY1 Data(H)'!$A$1:$A$135,'PY1 Data(H)'!$A$1:$BR$135))</f>
        <v>0</v>
      </c>
      <c r="F9" s="119" cm="1">
        <f t="array" ref="F9">_xlfn.XLOOKUP(F$1,'PY1 Data(H)'!$A$1:$BR$1,_xlfn.XLOOKUP($A9,'PY1 Data(H)'!$A$1:$A$135,'PY1 Data(H)'!$A$1:$BR$135))</f>
        <v>0</v>
      </c>
      <c r="G9" s="119" cm="1">
        <f t="array" ref="G9">_xlfn.XLOOKUP(G$1,'PY1 Data(H)'!$A$1:$BR$1,_xlfn.XLOOKUP($A9,'PY1 Data(H)'!$A$1:$A$135,'PY1 Data(H)'!$A$1:$BR$135))</f>
        <v>0</v>
      </c>
      <c r="H9" s="119" cm="1">
        <f t="array" ref="H9">_xlfn.XLOOKUP(H$1,'PY1 Data(H)'!$A$1:$BR$1,_xlfn.XLOOKUP($A9,'PY1 Data(H)'!$A$1:$A$135,'PY1 Data(H)'!$A$1:$BR$135))</f>
        <v>0</v>
      </c>
      <c r="I9" s="119" cm="1">
        <f t="array" ref="I9">_xlfn.XLOOKUP(I$1,'PY1 Data(H)'!$A$1:$BR$1,_xlfn.XLOOKUP($A9,'PY1 Data(H)'!$A$1:$A$135,'PY1 Data(H)'!$A$1:$BR$135))</f>
        <v>0</v>
      </c>
      <c r="J9" s="119" cm="1">
        <f t="array" ref="J9">_xlfn.XLOOKUP(J$1,'PY1 Data(H)'!$A$1:$BR$1,_xlfn.XLOOKUP($A9,'PY1 Data(H)'!$A$1:$A$135,'PY1 Data(H)'!$A$1:$BR$135))</f>
        <v>0</v>
      </c>
      <c r="K9" s="119" cm="1">
        <f t="array" ref="K9">_xlfn.XLOOKUP(K$1,'PY1 Data(H)'!$A$1:$BR$1,_xlfn.XLOOKUP($A9,'PY1 Data(H)'!$A$1:$A$135,'PY1 Data(H)'!$A$1:$BR$135))</f>
        <v>0</v>
      </c>
      <c r="L9" s="119" cm="1">
        <f t="array" ref="L9">_xlfn.XLOOKUP(L$1,'PY1 Data(H)'!$A$1:$BR$1,_xlfn.XLOOKUP($A9,'PY1 Data(H)'!$A$1:$A$135,'PY1 Data(H)'!$A$1:$BR$135))</f>
        <v>0</v>
      </c>
      <c r="M9" s="119" cm="1">
        <f t="array" ref="M9">_xlfn.XLOOKUP(M$1,'PY1 Data(H)'!$A$1:$BR$1,_xlfn.XLOOKUP($A9,'PY1 Data(H)'!$A$1:$A$135,'PY1 Data(H)'!$A$1:$BR$135))</f>
        <v>0</v>
      </c>
      <c r="N9" s="119" cm="1">
        <f t="array" ref="N9">_xlfn.XLOOKUP(N$1,'PY1 Data(H)'!$A$1:$BR$1,_xlfn.XLOOKUP($A9,'PY1 Data(H)'!$A$1:$A$135,'PY1 Data(H)'!$A$1:$BR$135))</f>
        <v>0</v>
      </c>
      <c r="O9" s="119" t="e" cm="1">
        <f t="array" ref="O9">_xlfn.XLOOKUP(O$1,'PY1 Data(H)'!$A$1:$BR$1,_xlfn.XLOOKUP($A9,'PY1 Data(H)'!$A$1:$A$135,'PY1 Data(H)'!$A$1:$BR$135))</f>
        <v>#N/A</v>
      </c>
      <c r="P9" s="119" cm="1">
        <f t="array" ref="P9">_xlfn.XLOOKUP(P$1,'PY1 Data(H)'!$A$1:$BR$1,_xlfn.XLOOKUP($A9,'PY1 Data(H)'!$A$1:$A$135,'PY1 Data(H)'!$A$1:$BR$135))</f>
        <v>0</v>
      </c>
      <c r="Q9" s="119" cm="1">
        <f t="array" ref="Q9">_xlfn.XLOOKUP(Q$1,'PY1 Data(H)'!$A$1:$BR$1,_xlfn.XLOOKUP($A9,'PY1 Data(H)'!$A$1:$A$135,'PY1 Data(H)'!$A$1:$BR$135))</f>
        <v>0</v>
      </c>
      <c r="R9" s="119" cm="1">
        <f t="array" ref="R9">_xlfn.XLOOKUP(R$1,'PY1 Data(H)'!$A$1:$BR$1,_xlfn.XLOOKUP($A9,'PY1 Data(H)'!$A$1:$A$135,'PY1 Data(H)'!$A$1:$BR$135))</f>
        <v>0</v>
      </c>
      <c r="S9" s="119" cm="1">
        <f t="array" ref="S9">_xlfn.XLOOKUP(S$1,'PY1 Data(H)'!$A$1:$BR$1,_xlfn.XLOOKUP($A9,'PY1 Data(H)'!$A$1:$A$135,'PY1 Data(H)'!$A$1:$BR$135))</f>
        <v>0</v>
      </c>
    </row>
    <row r="10" spans="1:19" x14ac:dyDescent="0.3">
      <c r="A10">
        <v>628</v>
      </c>
      <c r="D10" s="119" cm="1">
        <f t="array" ref="D10">_xlfn.XLOOKUP(D$1,'PY1 Data(H)'!$A$1:$BR$1,_xlfn.XLOOKUP($A10,'PY1 Data(H)'!$A$1:$A$135,'PY1 Data(H)'!$A$1:$BR$135))</f>
        <v>0</v>
      </c>
      <c r="E10" s="119" cm="1">
        <f t="array" ref="E10">_xlfn.XLOOKUP(E$1,'PY1 Data(H)'!$A$1:$BR$1,_xlfn.XLOOKUP($A10,'PY1 Data(H)'!$A$1:$A$135,'PY1 Data(H)'!$A$1:$BR$135))</f>
        <v>0</v>
      </c>
      <c r="F10" s="119" cm="1">
        <f t="array" ref="F10">_xlfn.XLOOKUP(F$1,'PY1 Data(H)'!$A$1:$BR$1,_xlfn.XLOOKUP($A10,'PY1 Data(H)'!$A$1:$A$135,'PY1 Data(H)'!$A$1:$BR$135))</f>
        <v>286913</v>
      </c>
      <c r="G10" s="119" cm="1">
        <f t="array" ref="G10">_xlfn.XLOOKUP(G$1,'PY1 Data(H)'!$A$1:$BR$1,_xlfn.XLOOKUP($A10,'PY1 Data(H)'!$A$1:$A$135,'PY1 Data(H)'!$A$1:$BR$135))</f>
        <v>15300</v>
      </c>
      <c r="H10" s="119" cm="1">
        <f t="array" ref="H10">_xlfn.XLOOKUP(H$1,'PY1 Data(H)'!$A$1:$BR$1,_xlfn.XLOOKUP($A10,'PY1 Data(H)'!$A$1:$A$135,'PY1 Data(H)'!$A$1:$BR$135))</f>
        <v>39191</v>
      </c>
      <c r="I10" s="119" cm="1">
        <f t="array" ref="I10">_xlfn.XLOOKUP(I$1,'PY1 Data(H)'!$A$1:$BR$1,_xlfn.XLOOKUP($A10,'PY1 Data(H)'!$A$1:$A$135,'PY1 Data(H)'!$A$1:$BR$135))</f>
        <v>49209</v>
      </c>
      <c r="J10" s="119" cm="1">
        <f t="array" ref="J10">_xlfn.XLOOKUP(J$1,'PY1 Data(H)'!$A$1:$BR$1,_xlfn.XLOOKUP($A10,'PY1 Data(H)'!$A$1:$A$135,'PY1 Data(H)'!$A$1:$BR$135))</f>
        <v>125322</v>
      </c>
      <c r="K10" s="119" cm="1">
        <f t="array" ref="K10">_xlfn.XLOOKUP(K$1,'PY1 Data(H)'!$A$1:$BR$1,_xlfn.XLOOKUP($A10,'PY1 Data(H)'!$A$1:$A$135,'PY1 Data(H)'!$A$1:$BR$135))</f>
        <v>0</v>
      </c>
      <c r="L10" s="119" cm="1">
        <f t="array" ref="L10">_xlfn.XLOOKUP(L$1,'PY1 Data(H)'!$A$1:$BR$1,_xlfn.XLOOKUP($A10,'PY1 Data(H)'!$A$1:$A$135,'PY1 Data(H)'!$A$1:$BR$135))</f>
        <v>0</v>
      </c>
      <c r="M10" s="119" cm="1">
        <f t="array" ref="M10">_xlfn.XLOOKUP(M$1,'PY1 Data(H)'!$A$1:$BR$1,_xlfn.XLOOKUP($A10,'PY1 Data(H)'!$A$1:$A$135,'PY1 Data(H)'!$A$1:$BR$135))</f>
        <v>0</v>
      </c>
      <c r="N10" s="119" cm="1">
        <f t="array" ref="N10">_xlfn.XLOOKUP(N$1,'PY1 Data(H)'!$A$1:$BR$1,_xlfn.XLOOKUP($A10,'PY1 Data(H)'!$A$1:$A$135,'PY1 Data(H)'!$A$1:$BR$135))</f>
        <v>0</v>
      </c>
      <c r="O10" s="119" t="e" cm="1">
        <f t="array" ref="O10">_xlfn.XLOOKUP(O$1,'PY1 Data(H)'!$A$1:$BR$1,_xlfn.XLOOKUP($A10,'PY1 Data(H)'!$A$1:$A$135,'PY1 Data(H)'!$A$1:$BR$135))</f>
        <v>#N/A</v>
      </c>
      <c r="P10" s="119" cm="1">
        <f t="array" ref="P10">_xlfn.XLOOKUP(P$1,'PY1 Data(H)'!$A$1:$BR$1,_xlfn.XLOOKUP($A10,'PY1 Data(H)'!$A$1:$A$135,'PY1 Data(H)'!$A$1:$BR$135))</f>
        <v>0</v>
      </c>
      <c r="Q10" s="119" cm="1">
        <f t="array" ref="Q10">_xlfn.XLOOKUP(Q$1,'PY1 Data(H)'!$A$1:$BR$1,_xlfn.XLOOKUP($A10,'PY1 Data(H)'!$A$1:$A$135,'PY1 Data(H)'!$A$1:$BR$135))</f>
        <v>0</v>
      </c>
      <c r="R10" s="119" cm="1">
        <f t="array" ref="R10">_xlfn.XLOOKUP(R$1,'PY1 Data(H)'!$A$1:$BR$1,_xlfn.XLOOKUP($A10,'PY1 Data(H)'!$A$1:$A$135,'PY1 Data(H)'!$A$1:$BR$135))</f>
        <v>0</v>
      </c>
      <c r="S10" s="119" cm="1">
        <f t="array" ref="S10">_xlfn.XLOOKUP(S$1,'PY1 Data(H)'!$A$1:$BR$1,_xlfn.XLOOKUP($A10,'PY1 Data(H)'!$A$1:$A$135,'PY1 Data(H)'!$A$1:$BR$135))</f>
        <v>309323</v>
      </c>
    </row>
    <row r="11" spans="1:19" x14ac:dyDescent="0.3">
      <c r="A11">
        <v>629</v>
      </c>
      <c r="D11" s="119" cm="1">
        <f t="array" ref="D11">_xlfn.XLOOKUP(D$1,'PY1 Data(H)'!$A$1:$BR$1,_xlfn.XLOOKUP($A11,'PY1 Data(H)'!$A$1:$A$135,'PY1 Data(H)'!$A$1:$BR$135))</f>
        <v>0</v>
      </c>
      <c r="E11" s="119" cm="1">
        <f t="array" ref="E11">_xlfn.XLOOKUP(E$1,'PY1 Data(H)'!$A$1:$BR$1,_xlfn.XLOOKUP($A11,'PY1 Data(H)'!$A$1:$A$135,'PY1 Data(H)'!$A$1:$BR$135))</f>
        <v>0</v>
      </c>
      <c r="F11" s="119" cm="1">
        <f t="array" ref="F11">_xlfn.XLOOKUP(F$1,'PY1 Data(H)'!$A$1:$BR$1,_xlfn.XLOOKUP($A11,'PY1 Data(H)'!$A$1:$A$135,'PY1 Data(H)'!$A$1:$BR$135))</f>
        <v>0</v>
      </c>
      <c r="G11" s="119" cm="1">
        <f t="array" ref="G11">_xlfn.XLOOKUP(G$1,'PY1 Data(H)'!$A$1:$BR$1,_xlfn.XLOOKUP($A11,'PY1 Data(H)'!$A$1:$A$135,'PY1 Data(H)'!$A$1:$BR$135))</f>
        <v>0</v>
      </c>
      <c r="H11" s="119" cm="1">
        <f t="array" ref="H11">_xlfn.XLOOKUP(H$1,'PY1 Data(H)'!$A$1:$BR$1,_xlfn.XLOOKUP($A11,'PY1 Data(H)'!$A$1:$A$135,'PY1 Data(H)'!$A$1:$BR$135))</f>
        <v>0</v>
      </c>
      <c r="I11" s="119" cm="1">
        <f t="array" ref="I11">_xlfn.XLOOKUP(I$1,'PY1 Data(H)'!$A$1:$BR$1,_xlfn.XLOOKUP($A11,'PY1 Data(H)'!$A$1:$A$135,'PY1 Data(H)'!$A$1:$BR$135))</f>
        <v>0</v>
      </c>
      <c r="J11" s="119" cm="1">
        <f t="array" ref="J11">_xlfn.XLOOKUP(J$1,'PY1 Data(H)'!$A$1:$BR$1,_xlfn.XLOOKUP($A11,'PY1 Data(H)'!$A$1:$A$135,'PY1 Data(H)'!$A$1:$BR$135))</f>
        <v>0</v>
      </c>
      <c r="K11" s="119" cm="1">
        <f t="array" ref="K11">_xlfn.XLOOKUP(K$1,'PY1 Data(H)'!$A$1:$BR$1,_xlfn.XLOOKUP($A11,'PY1 Data(H)'!$A$1:$A$135,'PY1 Data(H)'!$A$1:$BR$135))</f>
        <v>0</v>
      </c>
      <c r="L11" s="119" cm="1">
        <f t="array" ref="L11">_xlfn.XLOOKUP(L$1,'PY1 Data(H)'!$A$1:$BR$1,_xlfn.XLOOKUP($A11,'PY1 Data(H)'!$A$1:$A$135,'PY1 Data(H)'!$A$1:$BR$135))</f>
        <v>0</v>
      </c>
      <c r="M11" s="119" cm="1">
        <f t="array" ref="M11">_xlfn.XLOOKUP(M$1,'PY1 Data(H)'!$A$1:$BR$1,_xlfn.XLOOKUP($A11,'PY1 Data(H)'!$A$1:$A$135,'PY1 Data(H)'!$A$1:$BR$135))</f>
        <v>0</v>
      </c>
      <c r="N11" s="119" cm="1">
        <f t="array" ref="N11">_xlfn.XLOOKUP(N$1,'PY1 Data(H)'!$A$1:$BR$1,_xlfn.XLOOKUP($A11,'PY1 Data(H)'!$A$1:$A$135,'PY1 Data(H)'!$A$1:$BR$135))</f>
        <v>0</v>
      </c>
      <c r="O11" s="119" t="e" cm="1">
        <f t="array" ref="O11">_xlfn.XLOOKUP(O$1,'PY1 Data(H)'!$A$1:$BR$1,_xlfn.XLOOKUP($A11,'PY1 Data(H)'!$A$1:$A$135,'PY1 Data(H)'!$A$1:$BR$135))</f>
        <v>#N/A</v>
      </c>
      <c r="P11" s="119" cm="1">
        <f t="array" ref="P11">_xlfn.XLOOKUP(P$1,'PY1 Data(H)'!$A$1:$BR$1,_xlfn.XLOOKUP($A11,'PY1 Data(H)'!$A$1:$A$135,'PY1 Data(H)'!$A$1:$BR$135))</f>
        <v>0</v>
      </c>
      <c r="Q11" s="119" cm="1">
        <f t="array" ref="Q11">_xlfn.XLOOKUP(Q$1,'PY1 Data(H)'!$A$1:$BR$1,_xlfn.XLOOKUP($A11,'PY1 Data(H)'!$A$1:$A$135,'PY1 Data(H)'!$A$1:$BR$135))</f>
        <v>0</v>
      </c>
      <c r="R11" s="119" cm="1">
        <f t="array" ref="R11">_xlfn.XLOOKUP(R$1,'PY1 Data(H)'!$A$1:$BR$1,_xlfn.XLOOKUP($A11,'PY1 Data(H)'!$A$1:$A$135,'PY1 Data(H)'!$A$1:$BR$135))</f>
        <v>0</v>
      </c>
      <c r="S11" s="119" cm="1">
        <f t="array" ref="S11">_xlfn.XLOOKUP(S$1,'PY1 Data(H)'!$A$1:$BR$1,_xlfn.XLOOKUP($A11,'PY1 Data(H)'!$A$1:$A$135,'PY1 Data(H)'!$A$1:$BR$135))</f>
        <v>0</v>
      </c>
    </row>
    <row r="12" spans="1:19" x14ac:dyDescent="0.3">
      <c r="A12">
        <v>630</v>
      </c>
      <c r="D12" s="119" cm="1">
        <f t="array" ref="D12">_xlfn.XLOOKUP(D$1,'PY1 Data(H)'!$A$1:$BR$1,_xlfn.XLOOKUP($A12,'PY1 Data(H)'!$A$1:$A$135,'PY1 Data(H)'!$A$1:$BR$135))</f>
        <v>0</v>
      </c>
      <c r="E12" s="119" cm="1">
        <f t="array" ref="E12">_xlfn.XLOOKUP(E$1,'PY1 Data(H)'!$A$1:$BR$1,_xlfn.XLOOKUP($A12,'PY1 Data(H)'!$A$1:$A$135,'PY1 Data(H)'!$A$1:$BR$135))</f>
        <v>0</v>
      </c>
      <c r="F12" s="119" cm="1">
        <f t="array" ref="F12">_xlfn.XLOOKUP(F$1,'PY1 Data(H)'!$A$1:$BR$1,_xlfn.XLOOKUP($A12,'PY1 Data(H)'!$A$1:$A$135,'PY1 Data(H)'!$A$1:$BR$135))</f>
        <v>0</v>
      </c>
      <c r="G12" s="119" cm="1">
        <f t="array" ref="G12">_xlfn.XLOOKUP(G$1,'PY1 Data(H)'!$A$1:$BR$1,_xlfn.XLOOKUP($A12,'PY1 Data(H)'!$A$1:$A$135,'PY1 Data(H)'!$A$1:$BR$135))</f>
        <v>0</v>
      </c>
      <c r="H12" s="119" cm="1">
        <f t="array" ref="H12">_xlfn.XLOOKUP(H$1,'PY1 Data(H)'!$A$1:$BR$1,_xlfn.XLOOKUP($A12,'PY1 Data(H)'!$A$1:$A$135,'PY1 Data(H)'!$A$1:$BR$135))</f>
        <v>0</v>
      </c>
      <c r="I12" s="119" cm="1">
        <f t="array" ref="I12">_xlfn.XLOOKUP(I$1,'PY1 Data(H)'!$A$1:$BR$1,_xlfn.XLOOKUP($A12,'PY1 Data(H)'!$A$1:$A$135,'PY1 Data(H)'!$A$1:$BR$135))</f>
        <v>0</v>
      </c>
      <c r="J12" s="119" cm="1">
        <f t="array" ref="J12">_xlfn.XLOOKUP(J$1,'PY1 Data(H)'!$A$1:$BR$1,_xlfn.XLOOKUP($A12,'PY1 Data(H)'!$A$1:$A$135,'PY1 Data(H)'!$A$1:$BR$135))</f>
        <v>0</v>
      </c>
      <c r="K12" s="119" cm="1">
        <f t="array" ref="K12">_xlfn.XLOOKUP(K$1,'PY1 Data(H)'!$A$1:$BR$1,_xlfn.XLOOKUP($A12,'PY1 Data(H)'!$A$1:$A$135,'PY1 Data(H)'!$A$1:$BR$135))</f>
        <v>0</v>
      </c>
      <c r="L12" s="119" cm="1">
        <f t="array" ref="L12">_xlfn.XLOOKUP(L$1,'PY1 Data(H)'!$A$1:$BR$1,_xlfn.XLOOKUP($A12,'PY1 Data(H)'!$A$1:$A$135,'PY1 Data(H)'!$A$1:$BR$135))</f>
        <v>0</v>
      </c>
      <c r="M12" s="119" cm="1">
        <f t="array" ref="M12">_xlfn.XLOOKUP(M$1,'PY1 Data(H)'!$A$1:$BR$1,_xlfn.XLOOKUP($A12,'PY1 Data(H)'!$A$1:$A$135,'PY1 Data(H)'!$A$1:$BR$135))</f>
        <v>0</v>
      </c>
      <c r="N12" s="119" cm="1">
        <f t="array" ref="N12">_xlfn.XLOOKUP(N$1,'PY1 Data(H)'!$A$1:$BR$1,_xlfn.XLOOKUP($A12,'PY1 Data(H)'!$A$1:$A$135,'PY1 Data(H)'!$A$1:$BR$135))</f>
        <v>0</v>
      </c>
      <c r="O12" s="119" t="e" cm="1">
        <f t="array" ref="O12">_xlfn.XLOOKUP(O$1,'PY1 Data(H)'!$A$1:$BR$1,_xlfn.XLOOKUP($A12,'PY1 Data(H)'!$A$1:$A$135,'PY1 Data(H)'!$A$1:$BR$135))</f>
        <v>#N/A</v>
      </c>
      <c r="P12" s="119" cm="1">
        <f t="array" ref="P12">_xlfn.XLOOKUP(P$1,'PY1 Data(H)'!$A$1:$BR$1,_xlfn.XLOOKUP($A12,'PY1 Data(H)'!$A$1:$A$135,'PY1 Data(H)'!$A$1:$BR$135))</f>
        <v>0</v>
      </c>
      <c r="Q12" s="119" cm="1">
        <f t="array" ref="Q12">_xlfn.XLOOKUP(Q$1,'PY1 Data(H)'!$A$1:$BR$1,_xlfn.XLOOKUP($A12,'PY1 Data(H)'!$A$1:$A$135,'PY1 Data(H)'!$A$1:$BR$135))</f>
        <v>0</v>
      </c>
      <c r="R12" s="119" cm="1">
        <f t="array" ref="R12">_xlfn.XLOOKUP(R$1,'PY1 Data(H)'!$A$1:$BR$1,_xlfn.XLOOKUP($A12,'PY1 Data(H)'!$A$1:$A$135,'PY1 Data(H)'!$A$1:$BR$135))</f>
        <v>0</v>
      </c>
      <c r="S12" s="119" cm="1">
        <f t="array" ref="S12">_xlfn.XLOOKUP(S$1,'PY1 Data(H)'!$A$1:$BR$1,_xlfn.XLOOKUP($A12,'PY1 Data(H)'!$A$1:$A$135,'PY1 Data(H)'!$A$1:$BR$135))</f>
        <v>0</v>
      </c>
    </row>
    <row r="13" spans="1:19" x14ac:dyDescent="0.3">
      <c r="A13">
        <v>631</v>
      </c>
      <c r="D13" s="119" cm="1">
        <f t="array" ref="D13">_xlfn.XLOOKUP(D$1,'PY1 Data(H)'!$A$1:$BR$1,_xlfn.XLOOKUP($A13,'PY1 Data(H)'!$A$1:$A$135,'PY1 Data(H)'!$A$1:$BR$135))</f>
        <v>0</v>
      </c>
      <c r="E13" s="119" cm="1">
        <f t="array" ref="E13">_xlfn.XLOOKUP(E$1,'PY1 Data(H)'!$A$1:$BR$1,_xlfn.XLOOKUP($A13,'PY1 Data(H)'!$A$1:$A$135,'PY1 Data(H)'!$A$1:$BR$135))</f>
        <v>0</v>
      </c>
      <c r="F13" s="119" cm="1">
        <f t="array" ref="F13">_xlfn.XLOOKUP(F$1,'PY1 Data(H)'!$A$1:$BR$1,_xlfn.XLOOKUP($A13,'PY1 Data(H)'!$A$1:$A$135,'PY1 Data(H)'!$A$1:$BR$135))</f>
        <v>0</v>
      </c>
      <c r="G13" s="119" cm="1">
        <f t="array" ref="G13">_xlfn.XLOOKUP(G$1,'PY1 Data(H)'!$A$1:$BR$1,_xlfn.XLOOKUP($A13,'PY1 Data(H)'!$A$1:$A$135,'PY1 Data(H)'!$A$1:$BR$135))</f>
        <v>0</v>
      </c>
      <c r="H13" s="119" cm="1">
        <f t="array" ref="H13">_xlfn.XLOOKUP(H$1,'PY1 Data(H)'!$A$1:$BR$1,_xlfn.XLOOKUP($A13,'PY1 Data(H)'!$A$1:$A$135,'PY1 Data(H)'!$A$1:$BR$135))</f>
        <v>0</v>
      </c>
      <c r="I13" s="119" cm="1">
        <f t="array" ref="I13">_xlfn.XLOOKUP(I$1,'PY1 Data(H)'!$A$1:$BR$1,_xlfn.XLOOKUP($A13,'PY1 Data(H)'!$A$1:$A$135,'PY1 Data(H)'!$A$1:$BR$135))</f>
        <v>0</v>
      </c>
      <c r="J13" s="119" cm="1">
        <f t="array" ref="J13">_xlfn.XLOOKUP(J$1,'PY1 Data(H)'!$A$1:$BR$1,_xlfn.XLOOKUP($A13,'PY1 Data(H)'!$A$1:$A$135,'PY1 Data(H)'!$A$1:$BR$135))</f>
        <v>0</v>
      </c>
      <c r="K13" s="119" cm="1">
        <f t="array" ref="K13">_xlfn.XLOOKUP(K$1,'PY1 Data(H)'!$A$1:$BR$1,_xlfn.XLOOKUP($A13,'PY1 Data(H)'!$A$1:$A$135,'PY1 Data(H)'!$A$1:$BR$135))</f>
        <v>0</v>
      </c>
      <c r="L13" s="119" cm="1">
        <f t="array" ref="L13">_xlfn.XLOOKUP(L$1,'PY1 Data(H)'!$A$1:$BR$1,_xlfn.XLOOKUP($A13,'PY1 Data(H)'!$A$1:$A$135,'PY1 Data(H)'!$A$1:$BR$135))</f>
        <v>0</v>
      </c>
      <c r="M13" s="119" cm="1">
        <f t="array" ref="M13">_xlfn.XLOOKUP(M$1,'PY1 Data(H)'!$A$1:$BR$1,_xlfn.XLOOKUP($A13,'PY1 Data(H)'!$A$1:$A$135,'PY1 Data(H)'!$A$1:$BR$135))</f>
        <v>0</v>
      </c>
      <c r="N13" s="119" cm="1">
        <f t="array" ref="N13">_xlfn.XLOOKUP(N$1,'PY1 Data(H)'!$A$1:$BR$1,_xlfn.XLOOKUP($A13,'PY1 Data(H)'!$A$1:$A$135,'PY1 Data(H)'!$A$1:$BR$135))</f>
        <v>0</v>
      </c>
      <c r="O13" s="119" t="e" cm="1">
        <f t="array" ref="O13">_xlfn.XLOOKUP(O$1,'PY1 Data(H)'!$A$1:$BR$1,_xlfn.XLOOKUP($A13,'PY1 Data(H)'!$A$1:$A$135,'PY1 Data(H)'!$A$1:$BR$135))</f>
        <v>#N/A</v>
      </c>
      <c r="P13" s="119" cm="1">
        <f t="array" ref="P13">_xlfn.XLOOKUP(P$1,'PY1 Data(H)'!$A$1:$BR$1,_xlfn.XLOOKUP($A13,'PY1 Data(H)'!$A$1:$A$135,'PY1 Data(H)'!$A$1:$BR$135))</f>
        <v>0</v>
      </c>
      <c r="Q13" s="119" cm="1">
        <f t="array" ref="Q13">_xlfn.XLOOKUP(Q$1,'PY1 Data(H)'!$A$1:$BR$1,_xlfn.XLOOKUP($A13,'PY1 Data(H)'!$A$1:$A$135,'PY1 Data(H)'!$A$1:$BR$135))</f>
        <v>0</v>
      </c>
      <c r="R13" s="119" cm="1">
        <f t="array" ref="R13">_xlfn.XLOOKUP(R$1,'PY1 Data(H)'!$A$1:$BR$1,_xlfn.XLOOKUP($A13,'PY1 Data(H)'!$A$1:$A$135,'PY1 Data(H)'!$A$1:$BR$135))</f>
        <v>0</v>
      </c>
      <c r="S13" s="119" cm="1">
        <f t="array" ref="S13">_xlfn.XLOOKUP(S$1,'PY1 Data(H)'!$A$1:$BR$1,_xlfn.XLOOKUP($A13,'PY1 Data(H)'!$A$1:$A$135,'PY1 Data(H)'!$A$1:$BR$135))</f>
        <v>0</v>
      </c>
    </row>
    <row r="14" spans="1:19" x14ac:dyDescent="0.3">
      <c r="A14">
        <v>632</v>
      </c>
      <c r="D14" s="119" cm="1">
        <f t="array" ref="D14">_xlfn.XLOOKUP(D$1,'PY1 Data(H)'!$A$1:$BR$1,_xlfn.XLOOKUP($A14,'PY1 Data(H)'!$A$1:$A$135,'PY1 Data(H)'!$A$1:$BR$135))</f>
        <v>0</v>
      </c>
      <c r="E14" s="119" cm="1">
        <f t="array" ref="E14">_xlfn.XLOOKUP(E$1,'PY1 Data(H)'!$A$1:$BR$1,_xlfn.XLOOKUP($A14,'PY1 Data(H)'!$A$1:$A$135,'PY1 Data(H)'!$A$1:$BR$135))</f>
        <v>0</v>
      </c>
      <c r="F14" s="119" cm="1">
        <f t="array" ref="F14">_xlfn.XLOOKUP(F$1,'PY1 Data(H)'!$A$1:$BR$1,_xlfn.XLOOKUP($A14,'PY1 Data(H)'!$A$1:$A$135,'PY1 Data(H)'!$A$1:$BR$135))</f>
        <v>0</v>
      </c>
      <c r="G14" s="119" cm="1">
        <f t="array" ref="G14">_xlfn.XLOOKUP(G$1,'PY1 Data(H)'!$A$1:$BR$1,_xlfn.XLOOKUP($A14,'PY1 Data(H)'!$A$1:$A$135,'PY1 Data(H)'!$A$1:$BR$135))</f>
        <v>0</v>
      </c>
      <c r="H14" s="119" cm="1">
        <f t="array" ref="H14">_xlfn.XLOOKUP(H$1,'PY1 Data(H)'!$A$1:$BR$1,_xlfn.XLOOKUP($A14,'PY1 Data(H)'!$A$1:$A$135,'PY1 Data(H)'!$A$1:$BR$135))</f>
        <v>0</v>
      </c>
      <c r="I14" s="119" cm="1">
        <f t="array" ref="I14">_xlfn.XLOOKUP(I$1,'PY1 Data(H)'!$A$1:$BR$1,_xlfn.XLOOKUP($A14,'PY1 Data(H)'!$A$1:$A$135,'PY1 Data(H)'!$A$1:$BR$135))</f>
        <v>0</v>
      </c>
      <c r="J14" s="119" cm="1">
        <f t="array" ref="J14">_xlfn.XLOOKUP(J$1,'PY1 Data(H)'!$A$1:$BR$1,_xlfn.XLOOKUP($A14,'PY1 Data(H)'!$A$1:$A$135,'PY1 Data(H)'!$A$1:$BR$135))</f>
        <v>0</v>
      </c>
      <c r="K14" s="119" cm="1">
        <f t="array" ref="K14">_xlfn.XLOOKUP(K$1,'PY1 Data(H)'!$A$1:$BR$1,_xlfn.XLOOKUP($A14,'PY1 Data(H)'!$A$1:$A$135,'PY1 Data(H)'!$A$1:$BR$135))</f>
        <v>0</v>
      </c>
      <c r="L14" s="119" cm="1">
        <f t="array" ref="L14">_xlfn.XLOOKUP(L$1,'PY1 Data(H)'!$A$1:$BR$1,_xlfn.XLOOKUP($A14,'PY1 Data(H)'!$A$1:$A$135,'PY1 Data(H)'!$A$1:$BR$135))</f>
        <v>0</v>
      </c>
      <c r="M14" s="119" cm="1">
        <f t="array" ref="M14">_xlfn.XLOOKUP(M$1,'PY1 Data(H)'!$A$1:$BR$1,_xlfn.XLOOKUP($A14,'PY1 Data(H)'!$A$1:$A$135,'PY1 Data(H)'!$A$1:$BR$135))</f>
        <v>0</v>
      </c>
      <c r="N14" s="119" cm="1">
        <f t="array" ref="N14">_xlfn.XLOOKUP(N$1,'PY1 Data(H)'!$A$1:$BR$1,_xlfn.XLOOKUP($A14,'PY1 Data(H)'!$A$1:$A$135,'PY1 Data(H)'!$A$1:$BR$135))</f>
        <v>0</v>
      </c>
      <c r="O14" s="119" t="e" cm="1">
        <f t="array" ref="O14">_xlfn.XLOOKUP(O$1,'PY1 Data(H)'!$A$1:$BR$1,_xlfn.XLOOKUP($A14,'PY1 Data(H)'!$A$1:$A$135,'PY1 Data(H)'!$A$1:$BR$135))</f>
        <v>#N/A</v>
      </c>
      <c r="P14" s="119" cm="1">
        <f t="array" ref="P14">_xlfn.XLOOKUP(P$1,'PY1 Data(H)'!$A$1:$BR$1,_xlfn.XLOOKUP($A14,'PY1 Data(H)'!$A$1:$A$135,'PY1 Data(H)'!$A$1:$BR$135))</f>
        <v>0</v>
      </c>
      <c r="Q14" s="119" cm="1">
        <f t="array" ref="Q14">_xlfn.XLOOKUP(Q$1,'PY1 Data(H)'!$A$1:$BR$1,_xlfn.XLOOKUP($A14,'PY1 Data(H)'!$A$1:$A$135,'PY1 Data(H)'!$A$1:$BR$135))</f>
        <v>0</v>
      </c>
      <c r="R14" s="119" cm="1">
        <f t="array" ref="R14">_xlfn.XLOOKUP(R$1,'PY1 Data(H)'!$A$1:$BR$1,_xlfn.XLOOKUP($A14,'PY1 Data(H)'!$A$1:$A$135,'PY1 Data(H)'!$A$1:$BR$135))</f>
        <v>0</v>
      </c>
      <c r="S14" s="119" cm="1">
        <f t="array" ref="S14">_xlfn.XLOOKUP(S$1,'PY1 Data(H)'!$A$1:$BR$1,_xlfn.XLOOKUP($A14,'PY1 Data(H)'!$A$1:$A$135,'PY1 Data(H)'!$A$1:$BR$135))</f>
        <v>0</v>
      </c>
    </row>
    <row r="15" spans="1:19" x14ac:dyDescent="0.3">
      <c r="A15">
        <v>338</v>
      </c>
      <c r="D15" s="119" cm="1">
        <f t="array" ref="D15">_xlfn.XLOOKUP(D$1,'PY1 Data(H)'!$A$1:$BR$1,_xlfn.XLOOKUP($A15,'PY1 Data(H)'!$A$1:$A$135,'PY1 Data(H)'!$A$1:$BR$135))</f>
        <v>1347163</v>
      </c>
      <c r="E15" s="119" cm="1">
        <f t="array" ref="E15">_xlfn.XLOOKUP(E$1,'PY1 Data(H)'!$A$1:$BR$1,_xlfn.XLOOKUP($A15,'PY1 Data(H)'!$A$1:$A$135,'PY1 Data(H)'!$A$1:$BR$135))</f>
        <v>3171960</v>
      </c>
      <c r="F15" s="119" cm="1">
        <f t="array" ref="F15">_xlfn.XLOOKUP(F$1,'PY1 Data(H)'!$A$1:$BR$1,_xlfn.XLOOKUP($A15,'PY1 Data(H)'!$A$1:$A$135,'PY1 Data(H)'!$A$1:$BR$135))</f>
        <v>8326320</v>
      </c>
      <c r="G15" s="119" cm="1">
        <f t="array" ref="G15">_xlfn.XLOOKUP(G$1,'PY1 Data(H)'!$A$1:$BR$1,_xlfn.XLOOKUP($A15,'PY1 Data(H)'!$A$1:$A$135,'PY1 Data(H)'!$A$1:$BR$135))</f>
        <v>1746524</v>
      </c>
      <c r="H15" s="119" cm="1">
        <f t="array" ref="H15">_xlfn.XLOOKUP(H$1,'PY1 Data(H)'!$A$1:$BR$1,_xlfn.XLOOKUP($A15,'PY1 Data(H)'!$A$1:$A$135,'PY1 Data(H)'!$A$1:$BR$135))</f>
        <v>2230916</v>
      </c>
      <c r="I15" s="119" cm="1">
        <f t="array" ref="I15">_xlfn.XLOOKUP(I$1,'PY1 Data(H)'!$A$1:$BR$1,_xlfn.XLOOKUP($A15,'PY1 Data(H)'!$A$1:$A$135,'PY1 Data(H)'!$A$1:$BR$135))</f>
        <v>3449821</v>
      </c>
      <c r="J15" s="119" cm="1">
        <f t="array" ref="J15">_xlfn.XLOOKUP(J$1,'PY1 Data(H)'!$A$1:$BR$1,_xlfn.XLOOKUP($A15,'PY1 Data(H)'!$A$1:$A$135,'PY1 Data(H)'!$A$1:$BR$135))</f>
        <v>6179298</v>
      </c>
      <c r="K15" s="119" cm="1">
        <f t="array" ref="K15">_xlfn.XLOOKUP(K$1,'PY1 Data(H)'!$A$1:$BR$1,_xlfn.XLOOKUP($A15,'PY1 Data(H)'!$A$1:$A$135,'PY1 Data(H)'!$A$1:$BR$135))</f>
        <v>2382605</v>
      </c>
      <c r="L15" s="119" cm="1">
        <f t="array" ref="L15">_xlfn.XLOOKUP(L$1,'PY1 Data(H)'!$A$1:$BR$1,_xlfn.XLOOKUP($A15,'PY1 Data(H)'!$A$1:$A$135,'PY1 Data(H)'!$A$1:$BR$135))</f>
        <v>2000531</v>
      </c>
      <c r="M15" s="119" cm="1">
        <f t="array" ref="M15">_xlfn.XLOOKUP(M$1,'PY1 Data(H)'!$A$1:$BR$1,_xlfn.XLOOKUP($A15,'PY1 Data(H)'!$A$1:$A$135,'PY1 Data(H)'!$A$1:$BR$135))</f>
        <v>3511346</v>
      </c>
      <c r="N15" s="119" cm="1">
        <f t="array" ref="N15">_xlfn.XLOOKUP(N$1,'PY1 Data(H)'!$A$1:$BR$1,_xlfn.XLOOKUP($A15,'PY1 Data(H)'!$A$1:$A$135,'PY1 Data(H)'!$A$1:$BR$135))</f>
        <v>0</v>
      </c>
      <c r="O15" s="119" t="e" cm="1">
        <f t="array" ref="O15">_xlfn.XLOOKUP(O$1,'PY1 Data(H)'!$A$1:$BR$1,_xlfn.XLOOKUP($A15,'PY1 Data(H)'!$A$1:$A$135,'PY1 Data(H)'!$A$1:$BR$135))</f>
        <v>#N/A</v>
      </c>
      <c r="P15" s="119" cm="1">
        <f t="array" ref="P15">_xlfn.XLOOKUP(P$1,'PY1 Data(H)'!$A$1:$BR$1,_xlfn.XLOOKUP($A15,'PY1 Data(H)'!$A$1:$A$135,'PY1 Data(H)'!$A$1:$BR$135))</f>
        <v>3007336</v>
      </c>
      <c r="Q15" s="119" cm="1">
        <f t="array" ref="Q15">_xlfn.XLOOKUP(Q$1,'PY1 Data(H)'!$A$1:$BR$1,_xlfn.XLOOKUP($A15,'PY1 Data(H)'!$A$1:$A$135,'PY1 Data(H)'!$A$1:$BR$135))</f>
        <v>15004790</v>
      </c>
      <c r="R15" s="119" cm="1">
        <f t="array" ref="R15">_xlfn.XLOOKUP(R$1,'PY1 Data(H)'!$A$1:$BR$1,_xlfn.XLOOKUP($A15,'PY1 Data(H)'!$A$1:$A$135,'PY1 Data(H)'!$A$1:$BR$135))</f>
        <v>2006519</v>
      </c>
      <c r="S15" s="119" cm="1">
        <f t="array" ref="S15">_xlfn.XLOOKUP(S$1,'PY1 Data(H)'!$A$1:$BR$1,_xlfn.XLOOKUP($A15,'PY1 Data(H)'!$A$1:$A$135,'PY1 Data(H)'!$A$1:$BR$135))</f>
        <v>6796724</v>
      </c>
    </row>
    <row r="16" spans="1:19" x14ac:dyDescent="0.3">
      <c r="A16">
        <v>335</v>
      </c>
      <c r="D16" s="119" cm="1">
        <f t="array" ref="D16">_xlfn.XLOOKUP(D$1,'PY1 Data(H)'!$A$1:$BR$1,_xlfn.XLOOKUP($A16,'PY1 Data(H)'!$A$1:$A$135,'PY1 Data(H)'!$A$1:$BR$135))</f>
        <v>0</v>
      </c>
      <c r="E16" s="119" cm="1">
        <f t="array" ref="E16">_xlfn.XLOOKUP(E$1,'PY1 Data(H)'!$A$1:$BR$1,_xlfn.XLOOKUP($A16,'PY1 Data(H)'!$A$1:$A$135,'PY1 Data(H)'!$A$1:$BR$135))</f>
        <v>70992</v>
      </c>
      <c r="F16" s="119" cm="1">
        <f t="array" ref="F16">_xlfn.XLOOKUP(F$1,'PY1 Data(H)'!$A$1:$BR$1,_xlfn.XLOOKUP($A16,'PY1 Data(H)'!$A$1:$A$135,'PY1 Data(H)'!$A$1:$BR$135))</f>
        <v>0</v>
      </c>
      <c r="G16" s="119" cm="1">
        <f t="array" ref="G16">_xlfn.XLOOKUP(G$1,'PY1 Data(H)'!$A$1:$BR$1,_xlfn.XLOOKUP($A16,'PY1 Data(H)'!$A$1:$A$135,'PY1 Data(H)'!$A$1:$BR$135))</f>
        <v>186993</v>
      </c>
      <c r="H16" s="119" cm="1">
        <f t="array" ref="H16">_xlfn.XLOOKUP(H$1,'PY1 Data(H)'!$A$1:$BR$1,_xlfn.XLOOKUP($A16,'PY1 Data(H)'!$A$1:$A$135,'PY1 Data(H)'!$A$1:$BR$135))</f>
        <v>0</v>
      </c>
      <c r="I16" s="119" cm="1">
        <f t="array" ref="I16">_xlfn.XLOOKUP(I$1,'PY1 Data(H)'!$A$1:$BR$1,_xlfn.XLOOKUP($A16,'PY1 Data(H)'!$A$1:$A$135,'PY1 Data(H)'!$A$1:$BR$135))</f>
        <v>838887</v>
      </c>
      <c r="J16" s="119" cm="1">
        <f t="array" ref="J16">_xlfn.XLOOKUP(J$1,'PY1 Data(H)'!$A$1:$BR$1,_xlfn.XLOOKUP($A16,'PY1 Data(H)'!$A$1:$A$135,'PY1 Data(H)'!$A$1:$BR$135))</f>
        <v>1502713</v>
      </c>
      <c r="K16" s="119" cm="1">
        <f t="array" ref="K16">_xlfn.XLOOKUP(K$1,'PY1 Data(H)'!$A$1:$BR$1,_xlfn.XLOOKUP($A16,'PY1 Data(H)'!$A$1:$A$135,'PY1 Data(H)'!$A$1:$BR$135))</f>
        <v>0</v>
      </c>
      <c r="L16" s="119" cm="1">
        <f t="array" ref="L16">_xlfn.XLOOKUP(L$1,'PY1 Data(H)'!$A$1:$BR$1,_xlfn.XLOOKUP($A16,'PY1 Data(H)'!$A$1:$A$135,'PY1 Data(H)'!$A$1:$BR$135))</f>
        <v>0</v>
      </c>
      <c r="M16" s="119" cm="1">
        <f t="array" ref="M16">_xlfn.XLOOKUP(M$1,'PY1 Data(H)'!$A$1:$BR$1,_xlfn.XLOOKUP($A16,'PY1 Data(H)'!$A$1:$A$135,'PY1 Data(H)'!$A$1:$BR$135))</f>
        <v>0</v>
      </c>
      <c r="N16" s="119" cm="1">
        <f t="array" ref="N16">_xlfn.XLOOKUP(N$1,'PY1 Data(H)'!$A$1:$BR$1,_xlfn.XLOOKUP($A16,'PY1 Data(H)'!$A$1:$A$135,'PY1 Data(H)'!$A$1:$BR$135))</f>
        <v>0</v>
      </c>
      <c r="O16" s="119" t="e" cm="1">
        <f t="array" ref="O16">_xlfn.XLOOKUP(O$1,'PY1 Data(H)'!$A$1:$BR$1,_xlfn.XLOOKUP($A16,'PY1 Data(H)'!$A$1:$A$135,'PY1 Data(H)'!$A$1:$BR$135))</f>
        <v>#N/A</v>
      </c>
      <c r="P16" s="119" cm="1">
        <f t="array" ref="P16">_xlfn.XLOOKUP(P$1,'PY1 Data(H)'!$A$1:$BR$1,_xlfn.XLOOKUP($A16,'PY1 Data(H)'!$A$1:$A$135,'PY1 Data(H)'!$A$1:$BR$135))</f>
        <v>1994211</v>
      </c>
      <c r="Q16" s="119" cm="1">
        <f t="array" ref="Q16">_xlfn.XLOOKUP(Q$1,'PY1 Data(H)'!$A$1:$BR$1,_xlfn.XLOOKUP($A16,'PY1 Data(H)'!$A$1:$A$135,'PY1 Data(H)'!$A$1:$BR$135))</f>
        <v>6914830</v>
      </c>
      <c r="R16" s="119" cm="1">
        <f t="array" ref="R16">_xlfn.XLOOKUP(R$1,'PY1 Data(H)'!$A$1:$BR$1,_xlfn.XLOOKUP($A16,'PY1 Data(H)'!$A$1:$A$135,'PY1 Data(H)'!$A$1:$BR$135))</f>
        <v>0</v>
      </c>
      <c r="S16" s="119" cm="1">
        <f t="array" ref="S16">_xlfn.XLOOKUP(S$1,'PY1 Data(H)'!$A$1:$BR$1,_xlfn.XLOOKUP($A16,'PY1 Data(H)'!$A$1:$A$135,'PY1 Data(H)'!$A$1:$BR$135))</f>
        <v>462180</v>
      </c>
    </row>
    <row r="17" spans="1:19" x14ac:dyDescent="0.3">
      <c r="A17">
        <v>252</v>
      </c>
      <c r="D17" s="119" cm="1">
        <f t="array" ref="D17">_xlfn.XLOOKUP(D$1,'PY1 Data(H)'!$A$1:$BR$1,_xlfn.XLOOKUP($A17,'PY1 Data(H)'!$A$1:$A$135,'PY1 Data(H)'!$A$1:$BR$135))</f>
        <v>119480</v>
      </c>
      <c r="E17" s="119" cm="1">
        <f t="array" ref="E17">_xlfn.XLOOKUP(E$1,'PY1 Data(H)'!$A$1:$BR$1,_xlfn.XLOOKUP($A17,'PY1 Data(H)'!$A$1:$A$135,'PY1 Data(H)'!$A$1:$BR$135))</f>
        <v>0</v>
      </c>
      <c r="F17" s="119" cm="1">
        <f t="array" ref="F17">_xlfn.XLOOKUP(F$1,'PY1 Data(H)'!$A$1:$BR$1,_xlfn.XLOOKUP($A17,'PY1 Data(H)'!$A$1:$A$135,'PY1 Data(H)'!$A$1:$BR$135))</f>
        <v>290739</v>
      </c>
      <c r="G17" s="119" cm="1">
        <f t="array" ref="G17">_xlfn.XLOOKUP(G$1,'PY1 Data(H)'!$A$1:$BR$1,_xlfn.XLOOKUP($A17,'PY1 Data(H)'!$A$1:$A$135,'PY1 Data(H)'!$A$1:$BR$135))</f>
        <v>144327</v>
      </c>
      <c r="H17" s="119" cm="1">
        <f t="array" ref="H17">_xlfn.XLOOKUP(H$1,'PY1 Data(H)'!$A$1:$BR$1,_xlfn.XLOOKUP($A17,'PY1 Data(H)'!$A$1:$A$135,'PY1 Data(H)'!$A$1:$BR$135))</f>
        <v>380645</v>
      </c>
      <c r="I17" s="119" cm="1">
        <f t="array" ref="I17">_xlfn.XLOOKUP(I$1,'PY1 Data(H)'!$A$1:$BR$1,_xlfn.XLOOKUP($A17,'PY1 Data(H)'!$A$1:$A$135,'PY1 Data(H)'!$A$1:$BR$135))</f>
        <v>-358</v>
      </c>
      <c r="J17" s="119" cm="1">
        <f t="array" ref="J17">_xlfn.XLOOKUP(J$1,'PY1 Data(H)'!$A$1:$BR$1,_xlfn.XLOOKUP($A17,'PY1 Data(H)'!$A$1:$A$135,'PY1 Data(H)'!$A$1:$BR$135))</f>
        <v>6443</v>
      </c>
      <c r="K17" s="119" cm="1">
        <f t="array" ref="K17">_xlfn.XLOOKUP(K$1,'PY1 Data(H)'!$A$1:$BR$1,_xlfn.XLOOKUP($A17,'PY1 Data(H)'!$A$1:$A$135,'PY1 Data(H)'!$A$1:$BR$135))</f>
        <v>355718</v>
      </c>
      <c r="L17" s="119" cm="1">
        <f t="array" ref="L17">_xlfn.XLOOKUP(L$1,'PY1 Data(H)'!$A$1:$BR$1,_xlfn.XLOOKUP($A17,'PY1 Data(H)'!$A$1:$A$135,'PY1 Data(H)'!$A$1:$BR$135))</f>
        <v>2950</v>
      </c>
      <c r="M17" s="119" cm="1">
        <f t="array" ref="M17">_xlfn.XLOOKUP(M$1,'PY1 Data(H)'!$A$1:$BR$1,_xlfn.XLOOKUP($A17,'PY1 Data(H)'!$A$1:$A$135,'PY1 Data(H)'!$A$1:$BR$135))</f>
        <v>39683</v>
      </c>
      <c r="N17" s="119" cm="1">
        <f t="array" ref="N17">_xlfn.XLOOKUP(N$1,'PY1 Data(H)'!$A$1:$BR$1,_xlfn.XLOOKUP($A17,'PY1 Data(H)'!$A$1:$A$135,'PY1 Data(H)'!$A$1:$BR$135))</f>
        <v>0</v>
      </c>
      <c r="O17" s="119" t="e" cm="1">
        <f t="array" ref="O17">_xlfn.XLOOKUP(O$1,'PY1 Data(H)'!$A$1:$BR$1,_xlfn.XLOOKUP($A17,'PY1 Data(H)'!$A$1:$A$135,'PY1 Data(H)'!$A$1:$BR$135))</f>
        <v>#N/A</v>
      </c>
      <c r="P17" s="119" cm="1">
        <f t="array" ref="P17">_xlfn.XLOOKUP(P$1,'PY1 Data(H)'!$A$1:$BR$1,_xlfn.XLOOKUP($A17,'PY1 Data(H)'!$A$1:$A$135,'PY1 Data(H)'!$A$1:$BR$135))</f>
        <v>39470</v>
      </c>
      <c r="Q17" s="119" cm="1">
        <f t="array" ref="Q17">_xlfn.XLOOKUP(Q$1,'PY1 Data(H)'!$A$1:$BR$1,_xlfn.XLOOKUP($A17,'PY1 Data(H)'!$A$1:$A$135,'PY1 Data(H)'!$A$1:$BR$135))</f>
        <v>6725</v>
      </c>
      <c r="R17" s="119" cm="1">
        <f t="array" ref="R17">_xlfn.XLOOKUP(R$1,'PY1 Data(H)'!$A$1:$BR$1,_xlfn.XLOOKUP($A17,'PY1 Data(H)'!$A$1:$A$135,'PY1 Data(H)'!$A$1:$BR$135))</f>
        <v>18723</v>
      </c>
      <c r="S17" s="119" cm="1">
        <f t="array" ref="S17">_xlfn.XLOOKUP(S$1,'PY1 Data(H)'!$A$1:$BR$1,_xlfn.XLOOKUP($A17,'PY1 Data(H)'!$A$1:$A$135,'PY1 Data(H)'!$A$1:$BR$135))</f>
        <v>19505</v>
      </c>
    </row>
    <row r="18" spans="1:19" x14ac:dyDescent="0.3">
      <c r="A18">
        <v>253</v>
      </c>
      <c r="D18" s="119" cm="1">
        <f t="array" ref="D18">_xlfn.XLOOKUP(D$1,'PY1 Data(H)'!$A$1:$BR$1,_xlfn.XLOOKUP($A18,'PY1 Data(H)'!$A$1:$A$135,'PY1 Data(H)'!$A$1:$BR$135))</f>
        <v>1401600</v>
      </c>
      <c r="E18" s="119" cm="1">
        <f t="array" ref="E18">_xlfn.XLOOKUP(E$1,'PY1 Data(H)'!$A$1:$BR$1,_xlfn.XLOOKUP($A18,'PY1 Data(H)'!$A$1:$A$135,'PY1 Data(H)'!$A$1:$BR$135))</f>
        <v>2042895</v>
      </c>
      <c r="F18" s="119" cm="1">
        <f t="array" ref="F18">_xlfn.XLOOKUP(F$1,'PY1 Data(H)'!$A$1:$BR$1,_xlfn.XLOOKUP($A18,'PY1 Data(H)'!$A$1:$A$135,'PY1 Data(H)'!$A$1:$BR$135))</f>
        <v>688475</v>
      </c>
      <c r="G18" s="119" cm="1">
        <f t="array" ref="G18">_xlfn.XLOOKUP(G$1,'PY1 Data(H)'!$A$1:$BR$1,_xlfn.XLOOKUP($A18,'PY1 Data(H)'!$A$1:$A$135,'PY1 Data(H)'!$A$1:$BR$135))</f>
        <v>2154044</v>
      </c>
      <c r="H18" s="119" cm="1">
        <f t="array" ref="H18">_xlfn.XLOOKUP(H$1,'PY1 Data(H)'!$A$1:$BR$1,_xlfn.XLOOKUP($A18,'PY1 Data(H)'!$A$1:$A$135,'PY1 Data(H)'!$A$1:$BR$135))</f>
        <v>71514</v>
      </c>
      <c r="I18" s="119" cm="1">
        <f t="array" ref="I18">_xlfn.XLOOKUP(I$1,'PY1 Data(H)'!$A$1:$BR$1,_xlfn.XLOOKUP($A18,'PY1 Data(H)'!$A$1:$A$135,'PY1 Data(H)'!$A$1:$BR$135))</f>
        <v>2308631</v>
      </c>
      <c r="J18" s="119" cm="1">
        <f t="array" ref="J18">_xlfn.XLOOKUP(J$1,'PY1 Data(H)'!$A$1:$BR$1,_xlfn.XLOOKUP($A18,'PY1 Data(H)'!$A$1:$A$135,'PY1 Data(H)'!$A$1:$BR$135))</f>
        <v>2811962</v>
      </c>
      <c r="K18" s="119" cm="1">
        <f t="array" ref="K18">_xlfn.XLOOKUP(K$1,'PY1 Data(H)'!$A$1:$BR$1,_xlfn.XLOOKUP($A18,'PY1 Data(H)'!$A$1:$A$135,'PY1 Data(H)'!$A$1:$BR$135))</f>
        <v>1494292</v>
      </c>
      <c r="L18" s="119" cm="1">
        <f t="array" ref="L18">_xlfn.XLOOKUP(L$1,'PY1 Data(H)'!$A$1:$BR$1,_xlfn.XLOOKUP($A18,'PY1 Data(H)'!$A$1:$A$135,'PY1 Data(H)'!$A$1:$BR$135))</f>
        <v>1322365</v>
      </c>
      <c r="M18" s="119" cm="1">
        <f t="array" ref="M18">_xlfn.XLOOKUP(M$1,'PY1 Data(H)'!$A$1:$BR$1,_xlfn.XLOOKUP($A18,'PY1 Data(H)'!$A$1:$A$135,'PY1 Data(H)'!$A$1:$BR$135))</f>
        <v>2238403</v>
      </c>
      <c r="N18" s="119" cm="1">
        <f t="array" ref="N18">_xlfn.XLOOKUP(N$1,'PY1 Data(H)'!$A$1:$BR$1,_xlfn.XLOOKUP($A18,'PY1 Data(H)'!$A$1:$A$135,'PY1 Data(H)'!$A$1:$BR$135))</f>
        <v>0</v>
      </c>
      <c r="O18" s="119" t="e" cm="1">
        <f t="array" ref="O18">_xlfn.XLOOKUP(O$1,'PY1 Data(H)'!$A$1:$BR$1,_xlfn.XLOOKUP($A18,'PY1 Data(H)'!$A$1:$A$135,'PY1 Data(H)'!$A$1:$BR$135))</f>
        <v>#N/A</v>
      </c>
      <c r="P18" s="119" cm="1">
        <f t="array" ref="P18">_xlfn.XLOOKUP(P$1,'PY1 Data(H)'!$A$1:$BR$1,_xlfn.XLOOKUP($A18,'PY1 Data(H)'!$A$1:$A$135,'PY1 Data(H)'!$A$1:$BR$135))</f>
        <v>4892951</v>
      </c>
      <c r="Q18" s="119" cm="1">
        <f t="array" ref="Q18">_xlfn.XLOOKUP(Q$1,'PY1 Data(H)'!$A$1:$BR$1,_xlfn.XLOOKUP($A18,'PY1 Data(H)'!$A$1:$A$135,'PY1 Data(H)'!$A$1:$BR$135))</f>
        <v>3393934</v>
      </c>
      <c r="R18" s="119" cm="1">
        <f t="array" ref="R18">_xlfn.XLOOKUP(R$1,'PY1 Data(H)'!$A$1:$BR$1,_xlfn.XLOOKUP($A18,'PY1 Data(H)'!$A$1:$A$135,'PY1 Data(H)'!$A$1:$BR$135))</f>
        <v>2683407</v>
      </c>
      <c r="S18" s="119" cm="1">
        <f t="array" ref="S18">_xlfn.XLOOKUP(S$1,'PY1 Data(H)'!$A$1:$BR$1,_xlfn.XLOOKUP($A18,'PY1 Data(H)'!$A$1:$A$135,'PY1 Data(H)'!$A$1:$BR$135))</f>
        <v>3066017</v>
      </c>
    </row>
    <row r="19" spans="1:19" x14ac:dyDescent="0.3">
      <c r="A19">
        <v>254</v>
      </c>
      <c r="D19" s="119" cm="1">
        <f t="array" ref="D19">_xlfn.XLOOKUP(D$1,'PY1 Data(H)'!$A$1:$BR$1,_xlfn.XLOOKUP($A19,'PY1 Data(H)'!$A$1:$A$135,'PY1 Data(H)'!$A$1:$BR$135))</f>
        <v>763298</v>
      </c>
      <c r="E19" s="119" cm="1">
        <f t="array" ref="E19">_xlfn.XLOOKUP(E$1,'PY1 Data(H)'!$A$1:$BR$1,_xlfn.XLOOKUP($A19,'PY1 Data(H)'!$A$1:$A$135,'PY1 Data(H)'!$A$1:$BR$135))</f>
        <v>-1402359</v>
      </c>
      <c r="F19" s="119" cm="1">
        <f t="array" ref="F19">_xlfn.XLOOKUP(F$1,'PY1 Data(H)'!$A$1:$BR$1,_xlfn.XLOOKUP($A19,'PY1 Data(H)'!$A$1:$A$135,'PY1 Data(H)'!$A$1:$BR$135))</f>
        <v>-772762</v>
      </c>
      <c r="G19" s="119" cm="1">
        <f t="array" ref="G19">_xlfn.XLOOKUP(G$1,'PY1 Data(H)'!$A$1:$BR$1,_xlfn.XLOOKUP($A19,'PY1 Data(H)'!$A$1:$A$135,'PY1 Data(H)'!$A$1:$BR$135))</f>
        <v>-478105</v>
      </c>
      <c r="H19" s="119" cm="1">
        <f t="array" ref="H19">_xlfn.XLOOKUP(H$1,'PY1 Data(H)'!$A$1:$BR$1,_xlfn.XLOOKUP($A19,'PY1 Data(H)'!$A$1:$A$135,'PY1 Data(H)'!$A$1:$BR$135))</f>
        <v>1302654</v>
      </c>
      <c r="I19" s="119" cm="1">
        <f t="array" ref="I19">_xlfn.XLOOKUP(I$1,'PY1 Data(H)'!$A$1:$BR$1,_xlfn.XLOOKUP($A19,'PY1 Data(H)'!$A$1:$A$135,'PY1 Data(H)'!$A$1:$BR$135))</f>
        <v>-838887</v>
      </c>
      <c r="J19" s="119" cm="1">
        <f t="array" ref="J19">_xlfn.XLOOKUP(J$1,'PY1 Data(H)'!$A$1:$BR$1,_xlfn.XLOOKUP($A19,'PY1 Data(H)'!$A$1:$A$135,'PY1 Data(H)'!$A$1:$BR$135))</f>
        <v>1308501</v>
      </c>
      <c r="K19" s="119" cm="1">
        <f t="array" ref="K19">_xlfn.XLOOKUP(K$1,'PY1 Data(H)'!$A$1:$BR$1,_xlfn.XLOOKUP($A19,'PY1 Data(H)'!$A$1:$A$135,'PY1 Data(H)'!$A$1:$BR$135))</f>
        <v>-1053263</v>
      </c>
      <c r="L19" s="119" cm="1">
        <f t="array" ref="L19">_xlfn.XLOOKUP(L$1,'PY1 Data(H)'!$A$1:$BR$1,_xlfn.XLOOKUP($A19,'PY1 Data(H)'!$A$1:$A$135,'PY1 Data(H)'!$A$1:$BR$135))</f>
        <v>-629230</v>
      </c>
      <c r="M19" s="119" cm="1">
        <f t="array" ref="M19">_xlfn.XLOOKUP(M$1,'PY1 Data(H)'!$A$1:$BR$1,_xlfn.XLOOKUP($A19,'PY1 Data(H)'!$A$1:$A$135,'PY1 Data(H)'!$A$1:$BR$135))</f>
        <v>-1899642</v>
      </c>
      <c r="N19" s="119" cm="1">
        <f t="array" ref="N19">_xlfn.XLOOKUP(N$1,'PY1 Data(H)'!$A$1:$BR$1,_xlfn.XLOOKUP($A19,'PY1 Data(H)'!$A$1:$A$135,'PY1 Data(H)'!$A$1:$BR$135))</f>
        <v>0</v>
      </c>
      <c r="O19" s="119" t="e" cm="1">
        <f t="array" ref="O19">_xlfn.XLOOKUP(O$1,'PY1 Data(H)'!$A$1:$BR$1,_xlfn.XLOOKUP($A19,'PY1 Data(H)'!$A$1:$A$135,'PY1 Data(H)'!$A$1:$BR$135))</f>
        <v>#N/A</v>
      </c>
      <c r="P19" s="119" cm="1">
        <f t="array" ref="P19">_xlfn.XLOOKUP(P$1,'PY1 Data(H)'!$A$1:$BR$1,_xlfn.XLOOKUP($A19,'PY1 Data(H)'!$A$1:$A$135,'PY1 Data(H)'!$A$1:$BR$135))</f>
        <v>-832642</v>
      </c>
      <c r="Q19" s="119" cm="1">
        <f t="array" ref="Q19">_xlfn.XLOOKUP(Q$1,'PY1 Data(H)'!$A$1:$BR$1,_xlfn.XLOOKUP($A19,'PY1 Data(H)'!$A$1:$A$135,'PY1 Data(H)'!$A$1:$BR$135))</f>
        <v>-3680023</v>
      </c>
      <c r="R19" s="119" cm="1">
        <f t="array" ref="R19">_xlfn.XLOOKUP(R$1,'PY1 Data(H)'!$A$1:$BR$1,_xlfn.XLOOKUP($A19,'PY1 Data(H)'!$A$1:$A$135,'PY1 Data(H)'!$A$1:$BR$135))</f>
        <v>-1542369</v>
      </c>
      <c r="S19" s="119" cm="1">
        <f t="array" ref="S19">_xlfn.XLOOKUP(S$1,'PY1 Data(H)'!$A$1:$BR$1,_xlfn.XLOOKUP($A19,'PY1 Data(H)'!$A$1:$A$135,'PY1 Data(H)'!$A$1:$BR$135))</f>
        <v>-807824</v>
      </c>
    </row>
    <row r="20" spans="1:19" x14ac:dyDescent="0.3">
      <c r="D20" s="119" cm="1">
        <f t="array" ref="D20">_xlfn.XLOOKUP(D$1,'PY1 Data(H)'!$A$1:$BR$1,_xlfn.XLOOKUP($A20,'PY1 Data(H)'!$A$1:$A$135,'PY1 Data(H)'!$A$1:$BR$135))</f>
        <v>0</v>
      </c>
      <c r="E20" s="119" cm="1">
        <f t="array" ref="E20">_xlfn.XLOOKUP(E$1,'PY1 Data(H)'!$A$1:$BR$1,_xlfn.XLOOKUP($A20,'PY1 Data(H)'!$A$1:$A$135,'PY1 Data(H)'!$A$1:$BR$135))</f>
        <v>0</v>
      </c>
      <c r="F20" s="119" cm="1">
        <f t="array" ref="F20">_xlfn.XLOOKUP(F$1,'PY1 Data(H)'!$A$1:$BR$1,_xlfn.XLOOKUP($A20,'PY1 Data(H)'!$A$1:$A$135,'PY1 Data(H)'!$A$1:$BR$135))</f>
        <v>0</v>
      </c>
      <c r="G20" s="119" cm="1">
        <f t="array" ref="G20">_xlfn.XLOOKUP(G$1,'PY1 Data(H)'!$A$1:$BR$1,_xlfn.XLOOKUP($A20,'PY1 Data(H)'!$A$1:$A$135,'PY1 Data(H)'!$A$1:$BR$135))</f>
        <v>0</v>
      </c>
      <c r="H20" s="119" cm="1">
        <f t="array" ref="H20">_xlfn.XLOOKUP(H$1,'PY1 Data(H)'!$A$1:$BR$1,_xlfn.XLOOKUP($A20,'PY1 Data(H)'!$A$1:$A$135,'PY1 Data(H)'!$A$1:$BR$135))</f>
        <v>0</v>
      </c>
      <c r="I20" s="119" cm="1">
        <f t="array" ref="I20">_xlfn.XLOOKUP(I$1,'PY1 Data(H)'!$A$1:$BR$1,_xlfn.XLOOKUP($A20,'PY1 Data(H)'!$A$1:$A$135,'PY1 Data(H)'!$A$1:$BR$135))</f>
        <v>0</v>
      </c>
      <c r="J20" s="119" cm="1">
        <f t="array" ref="J20">_xlfn.XLOOKUP(J$1,'PY1 Data(H)'!$A$1:$BR$1,_xlfn.XLOOKUP($A20,'PY1 Data(H)'!$A$1:$A$135,'PY1 Data(H)'!$A$1:$BR$135))</f>
        <v>0</v>
      </c>
      <c r="K20" s="119" cm="1">
        <f t="array" ref="K20">_xlfn.XLOOKUP(K$1,'PY1 Data(H)'!$A$1:$BR$1,_xlfn.XLOOKUP($A20,'PY1 Data(H)'!$A$1:$A$135,'PY1 Data(H)'!$A$1:$BR$135))</f>
        <v>0</v>
      </c>
      <c r="L20" s="119" cm="1">
        <f t="array" ref="L20">_xlfn.XLOOKUP(L$1,'PY1 Data(H)'!$A$1:$BR$1,_xlfn.XLOOKUP($A20,'PY1 Data(H)'!$A$1:$A$135,'PY1 Data(H)'!$A$1:$BR$135))</f>
        <v>0</v>
      </c>
      <c r="M20" s="119" cm="1">
        <f t="array" ref="M20">_xlfn.XLOOKUP(M$1,'PY1 Data(H)'!$A$1:$BR$1,_xlfn.XLOOKUP($A20,'PY1 Data(H)'!$A$1:$A$135,'PY1 Data(H)'!$A$1:$BR$135))</f>
        <v>0</v>
      </c>
      <c r="N20" s="119" cm="1">
        <f t="array" ref="N20">_xlfn.XLOOKUP(N$1,'PY1 Data(H)'!$A$1:$BR$1,_xlfn.XLOOKUP($A20,'PY1 Data(H)'!$A$1:$A$135,'PY1 Data(H)'!$A$1:$BR$135))</f>
        <v>0</v>
      </c>
      <c r="O20" s="119" t="e" cm="1">
        <f t="array" ref="O20">_xlfn.XLOOKUP(O$1,'PY1 Data(H)'!$A$1:$BR$1,_xlfn.XLOOKUP($A20,'PY1 Data(H)'!$A$1:$A$135,'PY1 Data(H)'!$A$1:$BR$135))</f>
        <v>#N/A</v>
      </c>
      <c r="P20" s="119" cm="1">
        <f t="array" ref="P20">_xlfn.XLOOKUP(P$1,'PY1 Data(H)'!$A$1:$BR$1,_xlfn.XLOOKUP($A20,'PY1 Data(H)'!$A$1:$A$135,'PY1 Data(H)'!$A$1:$BR$135))</f>
        <v>0</v>
      </c>
      <c r="Q20" s="119" cm="1">
        <f t="array" ref="Q20">_xlfn.XLOOKUP(Q$1,'PY1 Data(H)'!$A$1:$BR$1,_xlfn.XLOOKUP($A20,'PY1 Data(H)'!$A$1:$A$135,'PY1 Data(H)'!$A$1:$BR$135))</f>
        <v>0</v>
      </c>
      <c r="R20" s="119" cm="1">
        <f t="array" ref="R20">_xlfn.XLOOKUP(R$1,'PY1 Data(H)'!$A$1:$BR$1,_xlfn.XLOOKUP($A20,'PY1 Data(H)'!$A$1:$A$135,'PY1 Data(H)'!$A$1:$BR$135))</f>
        <v>0</v>
      </c>
      <c r="S20" s="119" cm="1">
        <f t="array" ref="S20">_xlfn.XLOOKUP(S$1,'PY1 Data(H)'!$A$1:$BR$1,_xlfn.XLOOKUP($A20,'PY1 Data(H)'!$A$1:$A$135,'PY1 Data(H)'!$A$1:$BR$135))</f>
        <v>0</v>
      </c>
    </row>
    <row r="21" spans="1:19" x14ac:dyDescent="0.3">
      <c r="A21">
        <v>502</v>
      </c>
      <c r="D21" s="119" cm="1">
        <f t="array" ref="D21">_xlfn.XLOOKUP(D$1,'PY1 Data(H)'!$A$1:$BR$1,_xlfn.XLOOKUP($A21,'PY1 Data(H)'!$A$1:$A$135,'PY1 Data(H)'!$A$1:$BR$135))</f>
        <v>0</v>
      </c>
      <c r="E21" s="119" cm="1">
        <f t="array" ref="E21">_xlfn.XLOOKUP(E$1,'PY1 Data(H)'!$A$1:$BR$1,_xlfn.XLOOKUP($A21,'PY1 Data(H)'!$A$1:$A$135,'PY1 Data(H)'!$A$1:$BR$135))</f>
        <v>0</v>
      </c>
      <c r="F21" s="119" cm="1">
        <f t="array" ref="F21">_xlfn.XLOOKUP(F$1,'PY1 Data(H)'!$A$1:$BR$1,_xlfn.XLOOKUP($A21,'PY1 Data(H)'!$A$1:$A$135,'PY1 Data(H)'!$A$1:$BR$135))</f>
        <v>0</v>
      </c>
      <c r="G21" s="119" cm="1">
        <f t="array" ref="G21">_xlfn.XLOOKUP(G$1,'PY1 Data(H)'!$A$1:$BR$1,_xlfn.XLOOKUP($A21,'PY1 Data(H)'!$A$1:$A$135,'PY1 Data(H)'!$A$1:$BR$135))</f>
        <v>0</v>
      </c>
      <c r="H21" s="119" cm="1">
        <f t="array" ref="H21">_xlfn.XLOOKUP(H$1,'PY1 Data(H)'!$A$1:$BR$1,_xlfn.XLOOKUP($A21,'PY1 Data(H)'!$A$1:$A$135,'PY1 Data(H)'!$A$1:$BR$135))</f>
        <v>0</v>
      </c>
      <c r="I21" s="119" cm="1">
        <f t="array" ref="I21">_xlfn.XLOOKUP(I$1,'PY1 Data(H)'!$A$1:$BR$1,_xlfn.XLOOKUP($A21,'PY1 Data(H)'!$A$1:$A$135,'PY1 Data(H)'!$A$1:$BR$135))</f>
        <v>0</v>
      </c>
      <c r="J21" s="119" cm="1">
        <f t="array" ref="J21">_xlfn.XLOOKUP(J$1,'PY1 Data(H)'!$A$1:$BR$1,_xlfn.XLOOKUP($A21,'PY1 Data(H)'!$A$1:$A$135,'PY1 Data(H)'!$A$1:$BR$135))</f>
        <v>0</v>
      </c>
      <c r="K21" s="119" cm="1">
        <f t="array" ref="K21">_xlfn.XLOOKUP(K$1,'PY1 Data(H)'!$A$1:$BR$1,_xlfn.XLOOKUP($A21,'PY1 Data(H)'!$A$1:$A$135,'PY1 Data(H)'!$A$1:$BR$135))</f>
        <v>659017</v>
      </c>
      <c r="L21" s="119" cm="1">
        <f t="array" ref="L21">_xlfn.XLOOKUP(L$1,'PY1 Data(H)'!$A$1:$BR$1,_xlfn.XLOOKUP($A21,'PY1 Data(H)'!$A$1:$A$135,'PY1 Data(H)'!$A$1:$BR$135))</f>
        <v>0</v>
      </c>
      <c r="M21" s="119" cm="1">
        <f t="array" ref="M21">_xlfn.XLOOKUP(M$1,'PY1 Data(H)'!$A$1:$BR$1,_xlfn.XLOOKUP($A21,'PY1 Data(H)'!$A$1:$A$135,'PY1 Data(H)'!$A$1:$BR$135))</f>
        <v>444139</v>
      </c>
      <c r="N21" s="119" cm="1">
        <f t="array" ref="N21">_xlfn.XLOOKUP(N$1,'PY1 Data(H)'!$A$1:$BR$1,_xlfn.XLOOKUP($A21,'PY1 Data(H)'!$A$1:$A$135,'PY1 Data(H)'!$A$1:$BR$135))</f>
        <v>0</v>
      </c>
      <c r="O21" s="119" t="e" cm="1">
        <f t="array" ref="O21">_xlfn.XLOOKUP(O$1,'PY1 Data(H)'!$A$1:$BR$1,_xlfn.XLOOKUP($A21,'PY1 Data(H)'!$A$1:$A$135,'PY1 Data(H)'!$A$1:$BR$135))</f>
        <v>#N/A</v>
      </c>
      <c r="P21" s="119" cm="1">
        <f t="array" ref="P21">_xlfn.XLOOKUP(P$1,'PY1 Data(H)'!$A$1:$BR$1,_xlfn.XLOOKUP($A21,'PY1 Data(H)'!$A$1:$A$135,'PY1 Data(H)'!$A$1:$BR$135))</f>
        <v>0</v>
      </c>
      <c r="Q21" s="119" cm="1">
        <f t="array" ref="Q21">_xlfn.XLOOKUP(Q$1,'PY1 Data(H)'!$A$1:$BR$1,_xlfn.XLOOKUP($A21,'PY1 Data(H)'!$A$1:$A$135,'PY1 Data(H)'!$A$1:$BR$135))</f>
        <v>0</v>
      </c>
      <c r="R21" s="119" cm="1">
        <f t="array" ref="R21">_xlfn.XLOOKUP(R$1,'PY1 Data(H)'!$A$1:$BR$1,_xlfn.XLOOKUP($A21,'PY1 Data(H)'!$A$1:$A$135,'PY1 Data(H)'!$A$1:$BR$135))</f>
        <v>0</v>
      </c>
      <c r="S21" s="119" cm="1">
        <f t="array" ref="S21">_xlfn.XLOOKUP(S$1,'PY1 Data(H)'!$A$1:$BR$1,_xlfn.XLOOKUP($A21,'PY1 Data(H)'!$A$1:$A$135,'PY1 Data(H)'!$A$1:$BR$135))</f>
        <v>0</v>
      </c>
    </row>
    <row r="22" spans="1:19" x14ac:dyDescent="0.3">
      <c r="A22">
        <v>503</v>
      </c>
      <c r="D22" s="119" cm="1">
        <f t="array" ref="D22">_xlfn.XLOOKUP(D$1,'PY1 Data(H)'!$A$1:$BR$1,_xlfn.XLOOKUP($A22,'PY1 Data(H)'!$A$1:$A$135,'PY1 Data(H)'!$A$1:$BR$135))</f>
        <v>0</v>
      </c>
      <c r="E22" s="119" cm="1">
        <f t="array" ref="E22">_xlfn.XLOOKUP(E$1,'PY1 Data(H)'!$A$1:$BR$1,_xlfn.XLOOKUP($A22,'PY1 Data(H)'!$A$1:$A$135,'PY1 Data(H)'!$A$1:$BR$135))</f>
        <v>0</v>
      </c>
      <c r="F22" s="119" cm="1">
        <f t="array" ref="F22">_xlfn.XLOOKUP(F$1,'PY1 Data(H)'!$A$1:$BR$1,_xlfn.XLOOKUP($A22,'PY1 Data(H)'!$A$1:$A$135,'PY1 Data(H)'!$A$1:$BR$135))</f>
        <v>0</v>
      </c>
      <c r="G22" s="119" cm="1">
        <f t="array" ref="G22">_xlfn.XLOOKUP(G$1,'PY1 Data(H)'!$A$1:$BR$1,_xlfn.XLOOKUP($A22,'PY1 Data(H)'!$A$1:$A$135,'PY1 Data(H)'!$A$1:$BR$135))</f>
        <v>0</v>
      </c>
      <c r="H22" s="119" cm="1">
        <f t="array" ref="H22">_xlfn.XLOOKUP(H$1,'PY1 Data(H)'!$A$1:$BR$1,_xlfn.XLOOKUP($A22,'PY1 Data(H)'!$A$1:$A$135,'PY1 Data(H)'!$A$1:$BR$135))</f>
        <v>0</v>
      </c>
      <c r="I22" s="119" cm="1">
        <f t="array" ref="I22">_xlfn.XLOOKUP(I$1,'PY1 Data(H)'!$A$1:$BR$1,_xlfn.XLOOKUP($A22,'PY1 Data(H)'!$A$1:$A$135,'PY1 Data(H)'!$A$1:$BR$135))</f>
        <v>0</v>
      </c>
      <c r="J22" s="119" cm="1">
        <f t="array" ref="J22">_xlfn.XLOOKUP(J$1,'PY1 Data(H)'!$A$1:$BR$1,_xlfn.XLOOKUP($A22,'PY1 Data(H)'!$A$1:$A$135,'PY1 Data(H)'!$A$1:$BR$135))</f>
        <v>0</v>
      </c>
      <c r="K22" s="119" cm="1">
        <f t="array" ref="K22">_xlfn.XLOOKUP(K$1,'PY1 Data(H)'!$A$1:$BR$1,_xlfn.XLOOKUP($A22,'PY1 Data(H)'!$A$1:$A$135,'PY1 Data(H)'!$A$1:$BR$135))</f>
        <v>8652</v>
      </c>
      <c r="L22" s="119" cm="1">
        <f t="array" ref="L22">_xlfn.XLOOKUP(L$1,'PY1 Data(H)'!$A$1:$BR$1,_xlfn.XLOOKUP($A22,'PY1 Data(H)'!$A$1:$A$135,'PY1 Data(H)'!$A$1:$BR$135))</f>
        <v>0</v>
      </c>
      <c r="M22" s="119" cm="1">
        <f t="array" ref="M22">_xlfn.XLOOKUP(M$1,'PY1 Data(H)'!$A$1:$BR$1,_xlfn.XLOOKUP($A22,'PY1 Data(H)'!$A$1:$A$135,'PY1 Data(H)'!$A$1:$BR$135))</f>
        <v>17646</v>
      </c>
      <c r="N22" s="119" cm="1">
        <f t="array" ref="N22">_xlfn.XLOOKUP(N$1,'PY1 Data(H)'!$A$1:$BR$1,_xlfn.XLOOKUP($A22,'PY1 Data(H)'!$A$1:$A$135,'PY1 Data(H)'!$A$1:$BR$135))</f>
        <v>0</v>
      </c>
      <c r="O22" s="119" t="e" cm="1">
        <f t="array" ref="O22">_xlfn.XLOOKUP(O$1,'PY1 Data(H)'!$A$1:$BR$1,_xlfn.XLOOKUP($A22,'PY1 Data(H)'!$A$1:$A$135,'PY1 Data(H)'!$A$1:$BR$135))</f>
        <v>#N/A</v>
      </c>
      <c r="P22" s="119" cm="1">
        <f t="array" ref="P22">_xlfn.XLOOKUP(P$1,'PY1 Data(H)'!$A$1:$BR$1,_xlfn.XLOOKUP($A22,'PY1 Data(H)'!$A$1:$A$135,'PY1 Data(H)'!$A$1:$BR$135))</f>
        <v>0</v>
      </c>
      <c r="Q22" s="119" cm="1">
        <f t="array" ref="Q22">_xlfn.XLOOKUP(Q$1,'PY1 Data(H)'!$A$1:$BR$1,_xlfn.XLOOKUP($A22,'PY1 Data(H)'!$A$1:$A$135,'PY1 Data(H)'!$A$1:$BR$135))</f>
        <v>0</v>
      </c>
      <c r="R22" s="119" cm="1">
        <f t="array" ref="R22">_xlfn.XLOOKUP(R$1,'PY1 Data(H)'!$A$1:$BR$1,_xlfn.XLOOKUP($A22,'PY1 Data(H)'!$A$1:$A$135,'PY1 Data(H)'!$A$1:$BR$135))</f>
        <v>0</v>
      </c>
      <c r="S22" s="119" cm="1">
        <f t="array" ref="S22">_xlfn.XLOOKUP(S$1,'PY1 Data(H)'!$A$1:$BR$1,_xlfn.XLOOKUP($A22,'PY1 Data(H)'!$A$1:$A$135,'PY1 Data(H)'!$A$1:$BR$135))</f>
        <v>0</v>
      </c>
    </row>
    <row r="23" spans="1:19" x14ac:dyDescent="0.3">
      <c r="D23" s="119" cm="1">
        <f t="array" ref="D23">_xlfn.XLOOKUP(D$1,'PY1 Data(H)'!$A$1:$BR$1,_xlfn.XLOOKUP($A23,'PY1 Data(H)'!$A$1:$A$135,'PY1 Data(H)'!$A$1:$BR$135))</f>
        <v>0</v>
      </c>
      <c r="E23" s="119" cm="1">
        <f t="array" ref="E23">_xlfn.XLOOKUP(E$1,'PY1 Data(H)'!$A$1:$BR$1,_xlfn.XLOOKUP($A23,'PY1 Data(H)'!$A$1:$A$135,'PY1 Data(H)'!$A$1:$BR$135))</f>
        <v>0</v>
      </c>
      <c r="F23" s="119" cm="1">
        <f t="array" ref="F23">_xlfn.XLOOKUP(F$1,'PY1 Data(H)'!$A$1:$BR$1,_xlfn.XLOOKUP($A23,'PY1 Data(H)'!$A$1:$A$135,'PY1 Data(H)'!$A$1:$BR$135))</f>
        <v>0</v>
      </c>
      <c r="G23" s="119" cm="1">
        <f t="array" ref="G23">_xlfn.XLOOKUP(G$1,'PY1 Data(H)'!$A$1:$BR$1,_xlfn.XLOOKUP($A23,'PY1 Data(H)'!$A$1:$A$135,'PY1 Data(H)'!$A$1:$BR$135))</f>
        <v>0</v>
      </c>
      <c r="H23" s="119" cm="1">
        <f t="array" ref="H23">_xlfn.XLOOKUP(H$1,'PY1 Data(H)'!$A$1:$BR$1,_xlfn.XLOOKUP($A23,'PY1 Data(H)'!$A$1:$A$135,'PY1 Data(H)'!$A$1:$BR$135))</f>
        <v>0</v>
      </c>
      <c r="I23" s="119" cm="1">
        <f t="array" ref="I23">_xlfn.XLOOKUP(I$1,'PY1 Data(H)'!$A$1:$BR$1,_xlfn.XLOOKUP($A23,'PY1 Data(H)'!$A$1:$A$135,'PY1 Data(H)'!$A$1:$BR$135))</f>
        <v>0</v>
      </c>
      <c r="J23" s="119" cm="1">
        <f t="array" ref="J23">_xlfn.XLOOKUP(J$1,'PY1 Data(H)'!$A$1:$BR$1,_xlfn.XLOOKUP($A23,'PY1 Data(H)'!$A$1:$A$135,'PY1 Data(H)'!$A$1:$BR$135))</f>
        <v>0</v>
      </c>
      <c r="K23" s="119" cm="1">
        <f t="array" ref="K23">_xlfn.XLOOKUP(K$1,'PY1 Data(H)'!$A$1:$BR$1,_xlfn.XLOOKUP($A23,'PY1 Data(H)'!$A$1:$A$135,'PY1 Data(H)'!$A$1:$BR$135))</f>
        <v>0</v>
      </c>
      <c r="L23" s="119" cm="1">
        <f t="array" ref="L23">_xlfn.XLOOKUP(L$1,'PY1 Data(H)'!$A$1:$BR$1,_xlfn.XLOOKUP($A23,'PY1 Data(H)'!$A$1:$A$135,'PY1 Data(H)'!$A$1:$BR$135))</f>
        <v>0</v>
      </c>
      <c r="M23" s="119" cm="1">
        <f t="array" ref="M23">_xlfn.XLOOKUP(M$1,'PY1 Data(H)'!$A$1:$BR$1,_xlfn.XLOOKUP($A23,'PY1 Data(H)'!$A$1:$A$135,'PY1 Data(H)'!$A$1:$BR$135))</f>
        <v>0</v>
      </c>
      <c r="N23" s="119" cm="1">
        <f t="array" ref="N23">_xlfn.XLOOKUP(N$1,'PY1 Data(H)'!$A$1:$BR$1,_xlfn.XLOOKUP($A23,'PY1 Data(H)'!$A$1:$A$135,'PY1 Data(H)'!$A$1:$BR$135))</f>
        <v>0</v>
      </c>
      <c r="O23" s="119" t="e" cm="1">
        <f t="array" ref="O23">_xlfn.XLOOKUP(O$1,'PY1 Data(H)'!$A$1:$BR$1,_xlfn.XLOOKUP($A23,'PY1 Data(H)'!$A$1:$A$135,'PY1 Data(H)'!$A$1:$BR$135))</f>
        <v>#N/A</v>
      </c>
      <c r="P23" s="119" cm="1">
        <f t="array" ref="P23">_xlfn.XLOOKUP(P$1,'PY1 Data(H)'!$A$1:$BR$1,_xlfn.XLOOKUP($A23,'PY1 Data(H)'!$A$1:$A$135,'PY1 Data(H)'!$A$1:$BR$135))</f>
        <v>0</v>
      </c>
      <c r="Q23" s="119" cm="1">
        <f t="array" ref="Q23">_xlfn.XLOOKUP(Q$1,'PY1 Data(H)'!$A$1:$BR$1,_xlfn.XLOOKUP($A23,'PY1 Data(H)'!$A$1:$A$135,'PY1 Data(H)'!$A$1:$BR$135))</f>
        <v>0</v>
      </c>
      <c r="R23" s="119" cm="1">
        <f t="array" ref="R23">_xlfn.XLOOKUP(R$1,'PY1 Data(H)'!$A$1:$BR$1,_xlfn.XLOOKUP($A23,'PY1 Data(H)'!$A$1:$A$135,'PY1 Data(H)'!$A$1:$BR$135))</f>
        <v>0</v>
      </c>
      <c r="S23" s="119" cm="1">
        <f t="array" ref="S23">_xlfn.XLOOKUP(S$1,'PY1 Data(H)'!$A$1:$BR$1,_xlfn.XLOOKUP($A23,'PY1 Data(H)'!$A$1:$A$135,'PY1 Data(H)'!$A$1:$BR$135))</f>
        <v>0</v>
      </c>
    </row>
    <row r="24" spans="1:19" x14ac:dyDescent="0.3">
      <c r="A24">
        <v>388</v>
      </c>
      <c r="D24" s="119" cm="1">
        <f t="array" ref="D24">_xlfn.XLOOKUP(D$1,'PY1 Data(H)'!$A$1:$BR$1,_xlfn.XLOOKUP($A24,'PY1 Data(H)'!$A$1:$A$135,'PY1 Data(H)'!$A$1:$BR$135))</f>
        <v>6265678</v>
      </c>
      <c r="E24" s="119" cm="1">
        <f t="array" ref="E24">_xlfn.XLOOKUP(E$1,'PY1 Data(H)'!$A$1:$BR$1,_xlfn.XLOOKUP($A24,'PY1 Data(H)'!$A$1:$A$135,'PY1 Data(H)'!$A$1:$BR$135))</f>
        <v>10906117</v>
      </c>
      <c r="F24" s="119" cm="1">
        <f t="array" ref="F24">_xlfn.XLOOKUP(F$1,'PY1 Data(H)'!$A$1:$BR$1,_xlfn.XLOOKUP($A24,'PY1 Data(H)'!$A$1:$A$135,'PY1 Data(H)'!$A$1:$BR$135))</f>
        <v>21127657</v>
      </c>
      <c r="G24" s="119" cm="1">
        <f t="array" ref="G24">_xlfn.XLOOKUP(G$1,'PY1 Data(H)'!$A$1:$BR$1,_xlfn.XLOOKUP($A24,'PY1 Data(H)'!$A$1:$A$135,'PY1 Data(H)'!$A$1:$BR$135))</f>
        <v>12473821</v>
      </c>
      <c r="H24" s="119" cm="1">
        <f t="array" ref="H24">_xlfn.XLOOKUP(H$1,'PY1 Data(H)'!$A$1:$BR$1,_xlfn.XLOOKUP($A24,'PY1 Data(H)'!$A$1:$A$135,'PY1 Data(H)'!$A$1:$BR$135))</f>
        <v>5917684</v>
      </c>
      <c r="I24" s="119" cm="1">
        <f t="array" ref="I24">_xlfn.XLOOKUP(I$1,'PY1 Data(H)'!$A$1:$BR$1,_xlfn.XLOOKUP($A24,'PY1 Data(H)'!$A$1:$A$135,'PY1 Data(H)'!$A$1:$BR$135))</f>
        <v>6322288</v>
      </c>
      <c r="J24" s="119" cm="1">
        <f t="array" ref="J24">_xlfn.XLOOKUP(J$1,'PY1 Data(H)'!$A$1:$BR$1,_xlfn.XLOOKUP($A24,'PY1 Data(H)'!$A$1:$A$135,'PY1 Data(H)'!$A$1:$BR$135))</f>
        <v>12425966</v>
      </c>
      <c r="K24" s="119" cm="1">
        <f t="array" ref="K24">_xlfn.XLOOKUP(K$1,'PY1 Data(H)'!$A$1:$BR$1,_xlfn.XLOOKUP($A24,'PY1 Data(H)'!$A$1:$A$135,'PY1 Data(H)'!$A$1:$BR$135))</f>
        <v>8395917</v>
      </c>
      <c r="L24" s="119" cm="1">
        <f t="array" ref="L24">_xlfn.XLOOKUP(L$1,'PY1 Data(H)'!$A$1:$BR$1,_xlfn.XLOOKUP($A24,'PY1 Data(H)'!$A$1:$A$135,'PY1 Data(H)'!$A$1:$BR$135))</f>
        <v>8689303</v>
      </c>
      <c r="M24" s="119" cm="1">
        <f t="array" ref="M24">_xlfn.XLOOKUP(M$1,'PY1 Data(H)'!$A$1:$BR$1,_xlfn.XLOOKUP($A24,'PY1 Data(H)'!$A$1:$A$135,'PY1 Data(H)'!$A$1:$BR$135))</f>
        <v>7665728</v>
      </c>
      <c r="N24" s="119" cm="1">
        <f t="array" ref="N24">_xlfn.XLOOKUP(N$1,'PY1 Data(H)'!$A$1:$BR$1,_xlfn.XLOOKUP($A24,'PY1 Data(H)'!$A$1:$A$135,'PY1 Data(H)'!$A$1:$BR$135))</f>
        <v>0</v>
      </c>
      <c r="O24" s="119" t="e" cm="1">
        <f t="array" ref="O24">_xlfn.XLOOKUP(O$1,'PY1 Data(H)'!$A$1:$BR$1,_xlfn.XLOOKUP($A24,'PY1 Data(H)'!$A$1:$A$135,'PY1 Data(H)'!$A$1:$BR$135))</f>
        <v>#N/A</v>
      </c>
      <c r="P24" s="119" cm="1">
        <f t="array" ref="P24">_xlfn.XLOOKUP(P$1,'PY1 Data(H)'!$A$1:$BR$1,_xlfn.XLOOKUP($A24,'PY1 Data(H)'!$A$1:$A$135,'PY1 Data(H)'!$A$1:$BR$135))</f>
        <v>6903539</v>
      </c>
      <c r="Q24" s="119" cm="1">
        <f t="array" ref="Q24">_xlfn.XLOOKUP(Q$1,'PY1 Data(H)'!$A$1:$BR$1,_xlfn.XLOOKUP($A24,'PY1 Data(H)'!$A$1:$A$135,'PY1 Data(H)'!$A$1:$BR$135))</f>
        <v>20351831</v>
      </c>
      <c r="R24" s="119" cm="1">
        <f t="array" ref="R24">_xlfn.XLOOKUP(R$1,'PY1 Data(H)'!$A$1:$BR$1,_xlfn.XLOOKUP($A24,'PY1 Data(H)'!$A$1:$A$135,'PY1 Data(H)'!$A$1:$BR$135))</f>
        <v>10420289</v>
      </c>
      <c r="S24" s="119" cm="1">
        <f t="array" ref="S24">_xlfn.XLOOKUP(S$1,'PY1 Data(H)'!$A$1:$BR$1,_xlfn.XLOOKUP($A24,'PY1 Data(H)'!$A$1:$A$135,'PY1 Data(H)'!$A$1:$BR$135))</f>
        <v>17340430</v>
      </c>
    </row>
    <row r="25" spans="1:19" x14ac:dyDescent="0.3">
      <c r="A25">
        <v>339</v>
      </c>
      <c r="D25" s="119" cm="1">
        <f t="array" ref="D25">_xlfn.XLOOKUP(D$1,'PY1 Data(H)'!$A$1:$BR$1,_xlfn.XLOOKUP($A25,'PY1 Data(H)'!$A$1:$A$135,'PY1 Data(H)'!$A$1:$BR$135))</f>
        <v>476747</v>
      </c>
      <c r="E25" s="119" cm="1">
        <f t="array" ref="E25">_xlfn.XLOOKUP(E$1,'PY1 Data(H)'!$A$1:$BR$1,_xlfn.XLOOKUP($A25,'PY1 Data(H)'!$A$1:$A$135,'PY1 Data(H)'!$A$1:$BR$135))</f>
        <v>493185</v>
      </c>
      <c r="F25" s="119" cm="1">
        <f t="array" ref="F25">_xlfn.XLOOKUP(F$1,'PY1 Data(H)'!$A$1:$BR$1,_xlfn.XLOOKUP($A25,'PY1 Data(H)'!$A$1:$A$135,'PY1 Data(H)'!$A$1:$BR$135))</f>
        <v>1798827</v>
      </c>
      <c r="G25" s="119" cm="1">
        <f t="array" ref="G25">_xlfn.XLOOKUP(G$1,'PY1 Data(H)'!$A$1:$BR$1,_xlfn.XLOOKUP($A25,'PY1 Data(H)'!$A$1:$A$135,'PY1 Data(H)'!$A$1:$BR$135))</f>
        <v>0</v>
      </c>
      <c r="H25" s="119" cm="1">
        <f t="array" ref="H25">_xlfn.XLOOKUP(H$1,'PY1 Data(H)'!$A$1:$BR$1,_xlfn.XLOOKUP($A25,'PY1 Data(H)'!$A$1:$A$135,'PY1 Data(H)'!$A$1:$BR$135))</f>
        <v>0</v>
      </c>
      <c r="I25" s="119" cm="1">
        <f t="array" ref="I25">_xlfn.XLOOKUP(I$1,'PY1 Data(H)'!$A$1:$BR$1,_xlfn.XLOOKUP($A25,'PY1 Data(H)'!$A$1:$A$135,'PY1 Data(H)'!$A$1:$BR$135))</f>
        <v>488159</v>
      </c>
      <c r="J25" s="119" cm="1">
        <f t="array" ref="J25">_xlfn.XLOOKUP(J$1,'PY1 Data(H)'!$A$1:$BR$1,_xlfn.XLOOKUP($A25,'PY1 Data(H)'!$A$1:$A$135,'PY1 Data(H)'!$A$1:$BR$135))</f>
        <v>363750</v>
      </c>
      <c r="K25" s="119" cm="1">
        <f t="array" ref="K25">_xlfn.XLOOKUP(K$1,'PY1 Data(H)'!$A$1:$BR$1,_xlfn.XLOOKUP($A25,'PY1 Data(H)'!$A$1:$A$135,'PY1 Data(H)'!$A$1:$BR$135))</f>
        <v>586371</v>
      </c>
      <c r="L25" s="119" cm="1">
        <f t="array" ref="L25">_xlfn.XLOOKUP(L$1,'PY1 Data(H)'!$A$1:$BR$1,_xlfn.XLOOKUP($A25,'PY1 Data(H)'!$A$1:$A$135,'PY1 Data(H)'!$A$1:$BR$135))</f>
        <v>851354</v>
      </c>
      <c r="M25" s="119" cm="1">
        <f t="array" ref="M25">_xlfn.XLOOKUP(M$1,'PY1 Data(H)'!$A$1:$BR$1,_xlfn.XLOOKUP($A25,'PY1 Data(H)'!$A$1:$A$135,'PY1 Data(H)'!$A$1:$BR$135))</f>
        <v>836848</v>
      </c>
      <c r="N25" s="119" cm="1">
        <f t="array" ref="N25">_xlfn.XLOOKUP(N$1,'PY1 Data(H)'!$A$1:$BR$1,_xlfn.XLOOKUP($A25,'PY1 Data(H)'!$A$1:$A$135,'PY1 Data(H)'!$A$1:$BR$135))</f>
        <v>0</v>
      </c>
      <c r="O25" s="119" t="e" cm="1">
        <f t="array" ref="O25">_xlfn.XLOOKUP(O$1,'PY1 Data(H)'!$A$1:$BR$1,_xlfn.XLOOKUP($A25,'PY1 Data(H)'!$A$1:$A$135,'PY1 Data(H)'!$A$1:$BR$135))</f>
        <v>#N/A</v>
      </c>
      <c r="P25" s="119" cm="1">
        <f t="array" ref="P25">_xlfn.XLOOKUP(P$1,'PY1 Data(H)'!$A$1:$BR$1,_xlfn.XLOOKUP($A25,'PY1 Data(H)'!$A$1:$A$135,'PY1 Data(H)'!$A$1:$BR$135))</f>
        <v>132916</v>
      </c>
      <c r="Q25" s="119" cm="1">
        <f t="array" ref="Q25">_xlfn.XLOOKUP(Q$1,'PY1 Data(H)'!$A$1:$BR$1,_xlfn.XLOOKUP($A25,'PY1 Data(H)'!$A$1:$A$135,'PY1 Data(H)'!$A$1:$BR$135))</f>
        <v>1737662</v>
      </c>
      <c r="R25" s="119" cm="1">
        <f t="array" ref="R25">_xlfn.XLOOKUP(R$1,'PY1 Data(H)'!$A$1:$BR$1,_xlfn.XLOOKUP($A25,'PY1 Data(H)'!$A$1:$A$135,'PY1 Data(H)'!$A$1:$BR$135))</f>
        <v>495784</v>
      </c>
      <c r="S25" s="119" cm="1">
        <f t="array" ref="S25">_xlfn.XLOOKUP(S$1,'PY1 Data(H)'!$A$1:$BR$1,_xlfn.XLOOKUP($A25,'PY1 Data(H)'!$A$1:$A$135,'PY1 Data(H)'!$A$1:$BR$135))</f>
        <v>1957448</v>
      </c>
    </row>
    <row r="26" spans="1:19" x14ac:dyDescent="0.3">
      <c r="A26">
        <v>504</v>
      </c>
      <c r="D26" s="119" cm="1">
        <f t="array" ref="D26">_xlfn.XLOOKUP(D$1,'PY1 Data(H)'!$A$1:$BR$1,_xlfn.XLOOKUP($A26,'PY1 Data(H)'!$A$1:$A$135,'PY1 Data(H)'!$A$1:$BR$135))</f>
        <v>5742746</v>
      </c>
      <c r="E26" s="119" cm="1">
        <f t="array" ref="E26">_xlfn.XLOOKUP(E$1,'PY1 Data(H)'!$A$1:$BR$1,_xlfn.XLOOKUP($A26,'PY1 Data(H)'!$A$1:$A$135,'PY1 Data(H)'!$A$1:$BR$135))</f>
        <v>10283240</v>
      </c>
      <c r="F26" s="119" cm="1">
        <f t="array" ref="F26">_xlfn.XLOOKUP(F$1,'PY1 Data(H)'!$A$1:$BR$1,_xlfn.XLOOKUP($A26,'PY1 Data(H)'!$A$1:$A$135,'PY1 Data(H)'!$A$1:$BR$135))</f>
        <v>18592069</v>
      </c>
      <c r="G26" s="119" cm="1">
        <f t="array" ref="G26">_xlfn.XLOOKUP(G$1,'PY1 Data(H)'!$A$1:$BR$1,_xlfn.XLOOKUP($A26,'PY1 Data(H)'!$A$1:$A$135,'PY1 Data(H)'!$A$1:$BR$135))</f>
        <v>12658172</v>
      </c>
      <c r="H26" s="119" cm="1">
        <f t="array" ref="H26">_xlfn.XLOOKUP(H$1,'PY1 Data(H)'!$A$1:$BR$1,_xlfn.XLOOKUP($A26,'PY1 Data(H)'!$A$1:$A$135,'PY1 Data(H)'!$A$1:$BR$135))</f>
        <v>5968261</v>
      </c>
      <c r="I26" s="119" cm="1">
        <f t="array" ref="I26">_xlfn.XLOOKUP(I$1,'PY1 Data(H)'!$A$1:$BR$1,_xlfn.XLOOKUP($A26,'PY1 Data(H)'!$A$1:$A$135,'PY1 Data(H)'!$A$1:$BR$135))</f>
        <v>5951576</v>
      </c>
      <c r="J26" s="119" cm="1">
        <f t="array" ref="J26">_xlfn.XLOOKUP(J$1,'PY1 Data(H)'!$A$1:$BR$1,_xlfn.XLOOKUP($A26,'PY1 Data(H)'!$A$1:$A$135,'PY1 Data(H)'!$A$1:$BR$135))</f>
        <v>12317128</v>
      </c>
      <c r="K26" s="119" cm="1">
        <f t="array" ref="K26">_xlfn.XLOOKUP(K$1,'PY1 Data(H)'!$A$1:$BR$1,_xlfn.XLOOKUP($A26,'PY1 Data(H)'!$A$1:$A$135,'PY1 Data(H)'!$A$1:$BR$135))</f>
        <v>7877970</v>
      </c>
      <c r="L26" s="119" cm="1">
        <f t="array" ref="L26">_xlfn.XLOOKUP(L$1,'PY1 Data(H)'!$A$1:$BR$1,_xlfn.XLOOKUP($A26,'PY1 Data(H)'!$A$1:$A$135,'PY1 Data(H)'!$A$1:$BR$135))</f>
        <v>7221796</v>
      </c>
      <c r="M26" s="119" cm="1">
        <f t="array" ref="M26">_xlfn.XLOOKUP(M$1,'PY1 Data(H)'!$A$1:$BR$1,_xlfn.XLOOKUP($A26,'PY1 Data(H)'!$A$1:$A$135,'PY1 Data(H)'!$A$1:$BR$135))</f>
        <v>6927712</v>
      </c>
      <c r="N26" s="119" cm="1">
        <f t="array" ref="N26">_xlfn.XLOOKUP(N$1,'PY1 Data(H)'!$A$1:$BR$1,_xlfn.XLOOKUP($A26,'PY1 Data(H)'!$A$1:$A$135,'PY1 Data(H)'!$A$1:$BR$135))</f>
        <v>0</v>
      </c>
      <c r="O26" s="119" t="e" cm="1">
        <f t="array" ref="O26">_xlfn.XLOOKUP(O$1,'PY1 Data(H)'!$A$1:$BR$1,_xlfn.XLOOKUP($A26,'PY1 Data(H)'!$A$1:$A$135,'PY1 Data(H)'!$A$1:$BR$135))</f>
        <v>#N/A</v>
      </c>
      <c r="P26" s="119" cm="1">
        <f t="array" ref="P26">_xlfn.XLOOKUP(P$1,'PY1 Data(H)'!$A$1:$BR$1,_xlfn.XLOOKUP($A26,'PY1 Data(H)'!$A$1:$A$135,'PY1 Data(H)'!$A$1:$BR$135))</f>
        <v>7216897</v>
      </c>
      <c r="Q26" s="119" cm="1">
        <f t="array" ref="Q26">_xlfn.XLOOKUP(Q$1,'PY1 Data(H)'!$A$1:$BR$1,_xlfn.XLOOKUP($A26,'PY1 Data(H)'!$A$1:$A$135,'PY1 Data(H)'!$A$1:$BR$135))</f>
        <v>17975884</v>
      </c>
      <c r="R26" s="119" cm="1">
        <f t="array" ref="R26">_xlfn.XLOOKUP(R$1,'PY1 Data(H)'!$A$1:$BR$1,_xlfn.XLOOKUP($A26,'PY1 Data(H)'!$A$1:$A$135,'PY1 Data(H)'!$A$1:$BR$135))</f>
        <v>9938123</v>
      </c>
      <c r="S26" s="119" cm="1">
        <f t="array" ref="S26">_xlfn.XLOOKUP(S$1,'PY1 Data(H)'!$A$1:$BR$1,_xlfn.XLOOKUP($A26,'PY1 Data(H)'!$A$1:$A$135,'PY1 Data(H)'!$A$1:$BR$135))</f>
        <v>15117845</v>
      </c>
    </row>
    <row r="27" spans="1:19" x14ac:dyDescent="0.3">
      <c r="A27">
        <v>505</v>
      </c>
      <c r="D27" s="119" cm="1">
        <f t="array" ref="D27">_xlfn.XLOOKUP(D$1,'PY1 Data(H)'!$A$1:$BR$1,_xlfn.XLOOKUP($A27,'PY1 Data(H)'!$A$1:$A$135,'PY1 Data(H)'!$A$1:$BR$135))</f>
        <v>0</v>
      </c>
      <c r="E27" s="119" cm="1">
        <f t="array" ref="E27">_xlfn.XLOOKUP(E$1,'PY1 Data(H)'!$A$1:$BR$1,_xlfn.XLOOKUP($A27,'PY1 Data(H)'!$A$1:$A$135,'PY1 Data(H)'!$A$1:$BR$135))</f>
        <v>0</v>
      </c>
      <c r="F27" s="119" cm="1">
        <f t="array" ref="F27">_xlfn.XLOOKUP(F$1,'PY1 Data(H)'!$A$1:$BR$1,_xlfn.XLOOKUP($A27,'PY1 Data(H)'!$A$1:$A$135,'PY1 Data(H)'!$A$1:$BR$135))</f>
        <v>0</v>
      </c>
      <c r="G27" s="119" cm="1">
        <f t="array" ref="G27">_xlfn.XLOOKUP(G$1,'PY1 Data(H)'!$A$1:$BR$1,_xlfn.XLOOKUP($A27,'PY1 Data(H)'!$A$1:$A$135,'PY1 Data(H)'!$A$1:$BR$135))</f>
        <v>0</v>
      </c>
      <c r="H27" s="119" cm="1">
        <f t="array" ref="H27">_xlfn.XLOOKUP(H$1,'PY1 Data(H)'!$A$1:$BR$1,_xlfn.XLOOKUP($A27,'PY1 Data(H)'!$A$1:$A$135,'PY1 Data(H)'!$A$1:$BR$135))</f>
        <v>0</v>
      </c>
      <c r="I27" s="119" cm="1">
        <f t="array" ref="I27">_xlfn.XLOOKUP(I$1,'PY1 Data(H)'!$A$1:$BR$1,_xlfn.XLOOKUP($A27,'PY1 Data(H)'!$A$1:$A$135,'PY1 Data(H)'!$A$1:$BR$135))</f>
        <v>0</v>
      </c>
      <c r="J27" s="119" cm="1">
        <f t="array" ref="J27">_xlfn.XLOOKUP(J$1,'PY1 Data(H)'!$A$1:$BR$1,_xlfn.XLOOKUP($A27,'PY1 Data(H)'!$A$1:$A$135,'PY1 Data(H)'!$A$1:$BR$135))</f>
        <v>0</v>
      </c>
      <c r="K27" s="119" cm="1">
        <f t="array" ref="K27">_xlfn.XLOOKUP(K$1,'PY1 Data(H)'!$A$1:$BR$1,_xlfn.XLOOKUP($A27,'PY1 Data(H)'!$A$1:$A$135,'PY1 Data(H)'!$A$1:$BR$135))</f>
        <v>0</v>
      </c>
      <c r="L27" s="119" cm="1">
        <f t="array" ref="L27">_xlfn.XLOOKUP(L$1,'PY1 Data(H)'!$A$1:$BR$1,_xlfn.XLOOKUP($A27,'PY1 Data(H)'!$A$1:$A$135,'PY1 Data(H)'!$A$1:$BR$135))</f>
        <v>0</v>
      </c>
      <c r="M27" s="119" cm="1">
        <f t="array" ref="M27">_xlfn.XLOOKUP(M$1,'PY1 Data(H)'!$A$1:$BR$1,_xlfn.XLOOKUP($A27,'PY1 Data(H)'!$A$1:$A$135,'PY1 Data(H)'!$A$1:$BR$135))</f>
        <v>0</v>
      </c>
      <c r="N27" s="119" cm="1">
        <f t="array" ref="N27">_xlfn.XLOOKUP(N$1,'PY1 Data(H)'!$A$1:$BR$1,_xlfn.XLOOKUP($A27,'PY1 Data(H)'!$A$1:$A$135,'PY1 Data(H)'!$A$1:$BR$135))</f>
        <v>0</v>
      </c>
      <c r="O27" s="119" t="e" cm="1">
        <f t="array" ref="O27">_xlfn.XLOOKUP(O$1,'PY1 Data(H)'!$A$1:$BR$1,_xlfn.XLOOKUP($A27,'PY1 Data(H)'!$A$1:$A$135,'PY1 Data(H)'!$A$1:$BR$135))</f>
        <v>#N/A</v>
      </c>
      <c r="P27" s="119" cm="1">
        <f t="array" ref="P27">_xlfn.XLOOKUP(P$1,'PY1 Data(H)'!$A$1:$BR$1,_xlfn.XLOOKUP($A27,'PY1 Data(H)'!$A$1:$A$135,'PY1 Data(H)'!$A$1:$BR$135))</f>
        <v>116250</v>
      </c>
      <c r="Q27" s="119" cm="1">
        <f t="array" ref="Q27">_xlfn.XLOOKUP(Q$1,'PY1 Data(H)'!$A$1:$BR$1,_xlfn.XLOOKUP($A27,'PY1 Data(H)'!$A$1:$A$135,'PY1 Data(H)'!$A$1:$BR$135))</f>
        <v>0</v>
      </c>
      <c r="R27" s="119" cm="1">
        <f t="array" ref="R27">_xlfn.XLOOKUP(R$1,'PY1 Data(H)'!$A$1:$BR$1,_xlfn.XLOOKUP($A27,'PY1 Data(H)'!$A$1:$A$135,'PY1 Data(H)'!$A$1:$BR$135))</f>
        <v>0</v>
      </c>
      <c r="S27" s="119" cm="1">
        <f t="array" ref="S27">_xlfn.XLOOKUP(S$1,'PY1 Data(H)'!$A$1:$BR$1,_xlfn.XLOOKUP($A27,'PY1 Data(H)'!$A$1:$A$135,'PY1 Data(H)'!$A$1:$BR$135))</f>
        <v>0</v>
      </c>
    </row>
    <row r="28" spans="1:19" x14ac:dyDescent="0.3">
      <c r="A28">
        <v>341</v>
      </c>
      <c r="D28" s="119" cm="1">
        <f t="array" ref="D28">_xlfn.XLOOKUP(D$1,'PY1 Data(H)'!$A$1:$BR$1,_xlfn.XLOOKUP($A28,'PY1 Data(H)'!$A$1:$A$135,'PY1 Data(H)'!$A$1:$BR$135))</f>
        <v>7206</v>
      </c>
      <c r="E28" s="119" cm="1">
        <f t="array" ref="E28">_xlfn.XLOOKUP(E$1,'PY1 Data(H)'!$A$1:$BR$1,_xlfn.XLOOKUP($A28,'PY1 Data(H)'!$A$1:$A$135,'PY1 Data(H)'!$A$1:$BR$135))</f>
        <v>230217</v>
      </c>
      <c r="F28" s="119" cm="1">
        <f t="array" ref="F28">_xlfn.XLOOKUP(F$1,'PY1 Data(H)'!$A$1:$BR$1,_xlfn.XLOOKUP($A28,'PY1 Data(H)'!$A$1:$A$135,'PY1 Data(H)'!$A$1:$BR$135))</f>
        <v>910260</v>
      </c>
      <c r="G28" s="119" cm="1">
        <f t="array" ref="G28">_xlfn.XLOOKUP(G$1,'PY1 Data(H)'!$A$1:$BR$1,_xlfn.XLOOKUP($A28,'PY1 Data(H)'!$A$1:$A$135,'PY1 Data(H)'!$A$1:$BR$135))</f>
        <v>185448</v>
      </c>
      <c r="H28" s="119" cm="1">
        <f t="array" ref="H28">_xlfn.XLOOKUP(H$1,'PY1 Data(H)'!$A$1:$BR$1,_xlfn.XLOOKUP($A28,'PY1 Data(H)'!$A$1:$A$135,'PY1 Data(H)'!$A$1:$BR$135))</f>
        <v>251647</v>
      </c>
      <c r="I28" s="119" cm="1">
        <f t="array" ref="I28">_xlfn.XLOOKUP(I$1,'PY1 Data(H)'!$A$1:$BR$1,_xlfn.XLOOKUP($A28,'PY1 Data(H)'!$A$1:$A$135,'PY1 Data(H)'!$A$1:$BR$135))</f>
        <v>173127</v>
      </c>
      <c r="J28" s="119" cm="1">
        <f t="array" ref="J28">_xlfn.XLOOKUP(J$1,'PY1 Data(H)'!$A$1:$BR$1,_xlfn.XLOOKUP($A28,'PY1 Data(H)'!$A$1:$A$135,'PY1 Data(H)'!$A$1:$BR$135))</f>
        <v>397488</v>
      </c>
      <c r="K28" s="119" cm="1">
        <f t="array" ref="K28">_xlfn.XLOOKUP(K$1,'PY1 Data(H)'!$A$1:$BR$1,_xlfn.XLOOKUP($A28,'PY1 Data(H)'!$A$1:$A$135,'PY1 Data(H)'!$A$1:$BR$135))</f>
        <v>0</v>
      </c>
      <c r="L28" s="119" cm="1">
        <f t="array" ref="L28">_xlfn.XLOOKUP(L$1,'PY1 Data(H)'!$A$1:$BR$1,_xlfn.XLOOKUP($A28,'PY1 Data(H)'!$A$1:$A$135,'PY1 Data(H)'!$A$1:$BR$135))</f>
        <v>717446</v>
      </c>
      <c r="M28" s="119" cm="1">
        <f t="array" ref="M28">_xlfn.XLOOKUP(M$1,'PY1 Data(H)'!$A$1:$BR$1,_xlfn.XLOOKUP($A28,'PY1 Data(H)'!$A$1:$A$135,'PY1 Data(H)'!$A$1:$BR$135))</f>
        <v>35159</v>
      </c>
      <c r="N28" s="119" cm="1">
        <f t="array" ref="N28">_xlfn.XLOOKUP(N$1,'PY1 Data(H)'!$A$1:$BR$1,_xlfn.XLOOKUP($A28,'PY1 Data(H)'!$A$1:$A$135,'PY1 Data(H)'!$A$1:$BR$135))</f>
        <v>0</v>
      </c>
      <c r="O28" s="119" t="e" cm="1">
        <f t="array" ref="O28">_xlfn.XLOOKUP(O$1,'PY1 Data(H)'!$A$1:$BR$1,_xlfn.XLOOKUP($A28,'PY1 Data(H)'!$A$1:$A$135,'PY1 Data(H)'!$A$1:$BR$135))</f>
        <v>#N/A</v>
      </c>
      <c r="P28" s="119" cm="1">
        <f t="array" ref="P28">_xlfn.XLOOKUP(P$1,'PY1 Data(H)'!$A$1:$BR$1,_xlfn.XLOOKUP($A28,'PY1 Data(H)'!$A$1:$A$135,'PY1 Data(H)'!$A$1:$BR$135))</f>
        <v>325085</v>
      </c>
      <c r="Q28" s="119" cm="1">
        <f t="array" ref="Q28">_xlfn.XLOOKUP(Q$1,'PY1 Data(H)'!$A$1:$BR$1,_xlfn.XLOOKUP($A28,'PY1 Data(H)'!$A$1:$A$135,'PY1 Data(H)'!$A$1:$BR$135))</f>
        <v>1128990</v>
      </c>
      <c r="R28" s="119" cm="1">
        <f t="array" ref="R28">_xlfn.XLOOKUP(R$1,'PY1 Data(H)'!$A$1:$BR$1,_xlfn.XLOOKUP($A28,'PY1 Data(H)'!$A$1:$A$135,'PY1 Data(H)'!$A$1:$BR$135))</f>
        <v>212240</v>
      </c>
      <c r="S28" s="119" cm="1">
        <f t="array" ref="S28">_xlfn.XLOOKUP(S$1,'PY1 Data(H)'!$A$1:$BR$1,_xlfn.XLOOKUP($A28,'PY1 Data(H)'!$A$1:$A$135,'PY1 Data(H)'!$A$1:$BR$135))</f>
        <v>327547</v>
      </c>
    </row>
    <row r="29" spans="1:19" x14ac:dyDescent="0.3">
      <c r="A29">
        <v>386</v>
      </c>
      <c r="D29" s="119" cm="1">
        <f t="array" ref="D29">_xlfn.XLOOKUP(D$1,'PY1 Data(H)'!$A$1:$BR$1,_xlfn.XLOOKUP($A29,'PY1 Data(H)'!$A$1:$A$135,'PY1 Data(H)'!$A$1:$BR$135))</f>
        <v>0</v>
      </c>
      <c r="E29" s="119" cm="1">
        <f t="array" ref="E29">_xlfn.XLOOKUP(E$1,'PY1 Data(H)'!$A$1:$BR$1,_xlfn.XLOOKUP($A29,'PY1 Data(H)'!$A$1:$A$135,'PY1 Data(H)'!$A$1:$BR$135))</f>
        <v>0</v>
      </c>
      <c r="F29" s="119" cm="1">
        <f t="array" ref="F29">_xlfn.XLOOKUP(F$1,'PY1 Data(H)'!$A$1:$BR$1,_xlfn.XLOOKUP($A29,'PY1 Data(H)'!$A$1:$A$135,'PY1 Data(H)'!$A$1:$BR$135))</f>
        <v>0</v>
      </c>
      <c r="G29" s="119" cm="1">
        <f t="array" ref="G29">_xlfn.XLOOKUP(G$1,'PY1 Data(H)'!$A$1:$BR$1,_xlfn.XLOOKUP($A29,'PY1 Data(H)'!$A$1:$A$135,'PY1 Data(H)'!$A$1:$BR$135))</f>
        <v>0</v>
      </c>
      <c r="H29" s="119" cm="1">
        <f t="array" ref="H29">_xlfn.XLOOKUP(H$1,'PY1 Data(H)'!$A$1:$BR$1,_xlfn.XLOOKUP($A29,'PY1 Data(H)'!$A$1:$A$135,'PY1 Data(H)'!$A$1:$BR$135))</f>
        <v>0</v>
      </c>
      <c r="I29" s="119" cm="1">
        <f t="array" ref="I29">_xlfn.XLOOKUP(I$1,'PY1 Data(H)'!$A$1:$BR$1,_xlfn.XLOOKUP($A29,'PY1 Data(H)'!$A$1:$A$135,'PY1 Data(H)'!$A$1:$BR$135))</f>
        <v>0</v>
      </c>
      <c r="J29" s="119" cm="1">
        <f t="array" ref="J29">_xlfn.XLOOKUP(J$1,'PY1 Data(H)'!$A$1:$BR$1,_xlfn.XLOOKUP($A29,'PY1 Data(H)'!$A$1:$A$135,'PY1 Data(H)'!$A$1:$BR$135))</f>
        <v>0</v>
      </c>
      <c r="K29" s="119" cm="1">
        <f t="array" ref="K29">_xlfn.XLOOKUP(K$1,'PY1 Data(H)'!$A$1:$BR$1,_xlfn.XLOOKUP($A29,'PY1 Data(H)'!$A$1:$A$135,'PY1 Data(H)'!$A$1:$BR$135))</f>
        <v>0</v>
      </c>
      <c r="L29" s="119" cm="1">
        <f t="array" ref="L29">_xlfn.XLOOKUP(L$1,'PY1 Data(H)'!$A$1:$BR$1,_xlfn.XLOOKUP($A29,'PY1 Data(H)'!$A$1:$A$135,'PY1 Data(H)'!$A$1:$BR$135))</f>
        <v>0</v>
      </c>
      <c r="M29" s="119" cm="1">
        <f t="array" ref="M29">_xlfn.XLOOKUP(M$1,'PY1 Data(H)'!$A$1:$BR$1,_xlfn.XLOOKUP($A29,'PY1 Data(H)'!$A$1:$A$135,'PY1 Data(H)'!$A$1:$BR$135))</f>
        <v>0</v>
      </c>
      <c r="N29" s="119" cm="1">
        <f t="array" ref="N29">_xlfn.XLOOKUP(N$1,'PY1 Data(H)'!$A$1:$BR$1,_xlfn.XLOOKUP($A29,'PY1 Data(H)'!$A$1:$A$135,'PY1 Data(H)'!$A$1:$BR$135))</f>
        <v>0</v>
      </c>
      <c r="O29" s="119" t="e" cm="1">
        <f t="array" ref="O29">_xlfn.XLOOKUP(O$1,'PY1 Data(H)'!$A$1:$BR$1,_xlfn.XLOOKUP($A29,'PY1 Data(H)'!$A$1:$A$135,'PY1 Data(H)'!$A$1:$BR$135))</f>
        <v>#N/A</v>
      </c>
      <c r="P29" s="119" cm="1">
        <f t="array" ref="P29">_xlfn.XLOOKUP(P$1,'PY1 Data(H)'!$A$1:$BR$1,_xlfn.XLOOKUP($A29,'PY1 Data(H)'!$A$1:$A$135,'PY1 Data(H)'!$A$1:$BR$135))</f>
        <v>0</v>
      </c>
      <c r="Q29" s="119" cm="1">
        <f t="array" ref="Q29">_xlfn.XLOOKUP(Q$1,'PY1 Data(H)'!$A$1:$BR$1,_xlfn.XLOOKUP($A29,'PY1 Data(H)'!$A$1:$A$135,'PY1 Data(H)'!$A$1:$BR$135))</f>
        <v>0</v>
      </c>
      <c r="R29" s="119" cm="1">
        <f t="array" ref="R29">_xlfn.XLOOKUP(R$1,'PY1 Data(H)'!$A$1:$BR$1,_xlfn.XLOOKUP($A29,'PY1 Data(H)'!$A$1:$A$135,'PY1 Data(H)'!$A$1:$BR$135))</f>
        <v>0</v>
      </c>
      <c r="S29" s="119" cm="1">
        <f t="array" ref="S29">_xlfn.XLOOKUP(S$1,'PY1 Data(H)'!$A$1:$BR$1,_xlfn.XLOOKUP($A29,'PY1 Data(H)'!$A$1:$A$135,'PY1 Data(H)'!$A$1:$BR$135))</f>
        <v>0</v>
      </c>
    </row>
    <row r="30" spans="1:19" x14ac:dyDescent="0.3">
      <c r="A30">
        <v>387</v>
      </c>
      <c r="D30" s="119" cm="1">
        <f t="array" ref="D30">_xlfn.XLOOKUP(D$1,'PY1 Data(H)'!$A$1:$BR$1,_xlfn.XLOOKUP($A30,'PY1 Data(H)'!$A$1:$A$135,'PY1 Data(H)'!$A$1:$BR$135))</f>
        <v>0</v>
      </c>
      <c r="E30" s="119" cm="1">
        <f t="array" ref="E30">_xlfn.XLOOKUP(E$1,'PY1 Data(H)'!$A$1:$BR$1,_xlfn.XLOOKUP($A30,'PY1 Data(H)'!$A$1:$A$135,'PY1 Data(H)'!$A$1:$BR$135))</f>
        <v>0</v>
      </c>
      <c r="F30" s="119" cm="1">
        <f t="array" ref="F30">_xlfn.XLOOKUP(F$1,'PY1 Data(H)'!$A$1:$BR$1,_xlfn.XLOOKUP($A30,'PY1 Data(H)'!$A$1:$A$135,'PY1 Data(H)'!$A$1:$BR$135))</f>
        <v>0</v>
      </c>
      <c r="G30" s="119" cm="1">
        <f t="array" ref="G30">_xlfn.XLOOKUP(G$1,'PY1 Data(H)'!$A$1:$BR$1,_xlfn.XLOOKUP($A30,'PY1 Data(H)'!$A$1:$A$135,'PY1 Data(H)'!$A$1:$BR$135))</f>
        <v>0</v>
      </c>
      <c r="H30" s="119" cm="1">
        <f t="array" ref="H30">_xlfn.XLOOKUP(H$1,'PY1 Data(H)'!$A$1:$BR$1,_xlfn.XLOOKUP($A30,'PY1 Data(H)'!$A$1:$A$135,'PY1 Data(H)'!$A$1:$BR$135))</f>
        <v>0</v>
      </c>
      <c r="I30" s="119" cm="1">
        <f t="array" ref="I30">_xlfn.XLOOKUP(I$1,'PY1 Data(H)'!$A$1:$BR$1,_xlfn.XLOOKUP($A30,'PY1 Data(H)'!$A$1:$A$135,'PY1 Data(H)'!$A$1:$BR$135))</f>
        <v>0</v>
      </c>
      <c r="J30" s="119" cm="1">
        <f t="array" ref="J30">_xlfn.XLOOKUP(J$1,'PY1 Data(H)'!$A$1:$BR$1,_xlfn.XLOOKUP($A30,'PY1 Data(H)'!$A$1:$A$135,'PY1 Data(H)'!$A$1:$BR$135))</f>
        <v>0</v>
      </c>
      <c r="K30" s="119" cm="1">
        <f t="array" ref="K30">_xlfn.XLOOKUP(K$1,'PY1 Data(H)'!$A$1:$BR$1,_xlfn.XLOOKUP($A30,'PY1 Data(H)'!$A$1:$A$135,'PY1 Data(H)'!$A$1:$BR$135))</f>
        <v>0</v>
      </c>
      <c r="L30" s="119" cm="1">
        <f t="array" ref="L30">_xlfn.XLOOKUP(L$1,'PY1 Data(H)'!$A$1:$BR$1,_xlfn.XLOOKUP($A30,'PY1 Data(H)'!$A$1:$A$135,'PY1 Data(H)'!$A$1:$BR$135))</f>
        <v>0</v>
      </c>
      <c r="M30" s="119" cm="1">
        <f t="array" ref="M30">_xlfn.XLOOKUP(M$1,'PY1 Data(H)'!$A$1:$BR$1,_xlfn.XLOOKUP($A30,'PY1 Data(H)'!$A$1:$A$135,'PY1 Data(H)'!$A$1:$BR$135))</f>
        <v>0</v>
      </c>
      <c r="N30" s="119" cm="1">
        <f t="array" ref="N30">_xlfn.XLOOKUP(N$1,'PY1 Data(H)'!$A$1:$BR$1,_xlfn.XLOOKUP($A30,'PY1 Data(H)'!$A$1:$A$135,'PY1 Data(H)'!$A$1:$BR$135))</f>
        <v>0</v>
      </c>
      <c r="O30" s="119" t="e" cm="1">
        <f t="array" ref="O30">_xlfn.XLOOKUP(O$1,'PY1 Data(H)'!$A$1:$BR$1,_xlfn.XLOOKUP($A30,'PY1 Data(H)'!$A$1:$A$135,'PY1 Data(H)'!$A$1:$BR$135))</f>
        <v>#N/A</v>
      </c>
      <c r="P30" s="119" cm="1">
        <f t="array" ref="P30">_xlfn.XLOOKUP(P$1,'PY1 Data(H)'!$A$1:$BR$1,_xlfn.XLOOKUP($A30,'PY1 Data(H)'!$A$1:$A$135,'PY1 Data(H)'!$A$1:$BR$135))</f>
        <v>0</v>
      </c>
      <c r="Q30" s="119" cm="1">
        <f t="array" ref="Q30">_xlfn.XLOOKUP(Q$1,'PY1 Data(H)'!$A$1:$BR$1,_xlfn.XLOOKUP($A30,'PY1 Data(H)'!$A$1:$A$135,'PY1 Data(H)'!$A$1:$BR$135))</f>
        <v>0</v>
      </c>
      <c r="R30" s="119" cm="1">
        <f t="array" ref="R30">_xlfn.XLOOKUP(R$1,'PY1 Data(H)'!$A$1:$BR$1,_xlfn.XLOOKUP($A30,'PY1 Data(H)'!$A$1:$A$135,'PY1 Data(H)'!$A$1:$BR$135))</f>
        <v>0</v>
      </c>
      <c r="S30" s="119" cm="1">
        <f t="array" ref="S30">_xlfn.XLOOKUP(S$1,'PY1 Data(H)'!$A$1:$BR$1,_xlfn.XLOOKUP($A30,'PY1 Data(H)'!$A$1:$A$135,'PY1 Data(H)'!$A$1:$BR$135))</f>
        <v>0</v>
      </c>
    </row>
    <row r="31" spans="1:19" x14ac:dyDescent="0.3">
      <c r="A31">
        <v>389</v>
      </c>
      <c r="D31" s="119" cm="1">
        <f t="array" ref="D31">_xlfn.XLOOKUP(D$1,'PY1 Data(H)'!$A$1:$BR$1,_xlfn.XLOOKUP($A31,'PY1 Data(H)'!$A$1:$A$135,'PY1 Data(H)'!$A$1:$BR$135))</f>
        <v>25016</v>
      </c>
      <c r="E31" s="119" cm="1">
        <f t="array" ref="E31">_xlfn.XLOOKUP(E$1,'PY1 Data(H)'!$A$1:$BR$1,_xlfn.XLOOKUP($A31,'PY1 Data(H)'!$A$1:$A$135,'PY1 Data(H)'!$A$1:$BR$135))</f>
        <v>0</v>
      </c>
      <c r="F31" s="119" cm="1">
        <f t="array" ref="F31">_xlfn.XLOOKUP(F$1,'PY1 Data(H)'!$A$1:$BR$1,_xlfn.XLOOKUP($A31,'PY1 Data(H)'!$A$1:$A$135,'PY1 Data(H)'!$A$1:$BR$135))</f>
        <v>0</v>
      </c>
      <c r="G31" s="119" cm="1">
        <f t="array" ref="G31">_xlfn.XLOOKUP(G$1,'PY1 Data(H)'!$A$1:$BR$1,_xlfn.XLOOKUP($A31,'PY1 Data(H)'!$A$1:$A$135,'PY1 Data(H)'!$A$1:$BR$135))</f>
        <v>0</v>
      </c>
      <c r="H31" s="119" cm="1">
        <f t="array" ref="H31">_xlfn.XLOOKUP(H$1,'PY1 Data(H)'!$A$1:$BR$1,_xlfn.XLOOKUP($A31,'PY1 Data(H)'!$A$1:$A$135,'PY1 Data(H)'!$A$1:$BR$135))</f>
        <v>0</v>
      </c>
      <c r="I31" s="119" cm="1">
        <f t="array" ref="I31">_xlfn.XLOOKUP(I$1,'PY1 Data(H)'!$A$1:$BR$1,_xlfn.XLOOKUP($A31,'PY1 Data(H)'!$A$1:$A$135,'PY1 Data(H)'!$A$1:$BR$135))</f>
        <v>0</v>
      </c>
      <c r="J31" s="119" cm="1">
        <f t="array" ref="J31">_xlfn.XLOOKUP(J$1,'PY1 Data(H)'!$A$1:$BR$1,_xlfn.XLOOKUP($A31,'PY1 Data(H)'!$A$1:$A$135,'PY1 Data(H)'!$A$1:$BR$135))</f>
        <v>0</v>
      </c>
      <c r="K31" s="119" cm="1">
        <f t="array" ref="K31">_xlfn.XLOOKUP(K$1,'PY1 Data(H)'!$A$1:$BR$1,_xlfn.XLOOKUP($A31,'PY1 Data(H)'!$A$1:$A$135,'PY1 Data(H)'!$A$1:$BR$135))</f>
        <v>0</v>
      </c>
      <c r="L31" s="119" cm="1">
        <f t="array" ref="L31">_xlfn.XLOOKUP(L$1,'PY1 Data(H)'!$A$1:$BR$1,_xlfn.XLOOKUP($A31,'PY1 Data(H)'!$A$1:$A$135,'PY1 Data(H)'!$A$1:$BR$135))</f>
        <v>0</v>
      </c>
      <c r="M31" s="119" cm="1">
        <f t="array" ref="M31">_xlfn.XLOOKUP(M$1,'PY1 Data(H)'!$A$1:$BR$1,_xlfn.XLOOKUP($A31,'PY1 Data(H)'!$A$1:$A$135,'PY1 Data(H)'!$A$1:$BR$135))</f>
        <v>0</v>
      </c>
      <c r="N31" s="119" cm="1">
        <f t="array" ref="N31">_xlfn.XLOOKUP(N$1,'PY1 Data(H)'!$A$1:$BR$1,_xlfn.XLOOKUP($A31,'PY1 Data(H)'!$A$1:$A$135,'PY1 Data(H)'!$A$1:$BR$135))</f>
        <v>0</v>
      </c>
      <c r="O31" s="119" t="e" cm="1">
        <f t="array" ref="O31">_xlfn.XLOOKUP(O$1,'PY1 Data(H)'!$A$1:$BR$1,_xlfn.XLOOKUP($A31,'PY1 Data(H)'!$A$1:$A$135,'PY1 Data(H)'!$A$1:$BR$135))</f>
        <v>#N/A</v>
      </c>
      <c r="P31" s="119" cm="1">
        <f t="array" ref="P31">_xlfn.XLOOKUP(P$1,'PY1 Data(H)'!$A$1:$BR$1,_xlfn.XLOOKUP($A31,'PY1 Data(H)'!$A$1:$A$135,'PY1 Data(H)'!$A$1:$BR$135))</f>
        <v>0</v>
      </c>
      <c r="Q31" s="119" cm="1">
        <f t="array" ref="Q31">_xlfn.XLOOKUP(Q$1,'PY1 Data(H)'!$A$1:$BR$1,_xlfn.XLOOKUP($A31,'PY1 Data(H)'!$A$1:$A$135,'PY1 Data(H)'!$A$1:$BR$135))</f>
        <v>0</v>
      </c>
      <c r="R31" s="119" cm="1">
        <f t="array" ref="R31">_xlfn.XLOOKUP(R$1,'PY1 Data(H)'!$A$1:$BR$1,_xlfn.XLOOKUP($A31,'PY1 Data(H)'!$A$1:$A$135,'PY1 Data(H)'!$A$1:$BR$135))</f>
        <v>0</v>
      </c>
      <c r="S31" s="119" cm="1">
        <f t="array" ref="S31">_xlfn.XLOOKUP(S$1,'PY1 Data(H)'!$A$1:$BR$1,_xlfn.XLOOKUP($A31,'PY1 Data(H)'!$A$1:$A$135,'PY1 Data(H)'!$A$1:$BR$135))</f>
        <v>0</v>
      </c>
    </row>
    <row r="32" spans="1:19" x14ac:dyDescent="0.3">
      <c r="A32">
        <v>255</v>
      </c>
      <c r="D32" s="119" cm="1">
        <f t="array" ref="D32">_xlfn.XLOOKUP(D$1,'PY1 Data(H)'!$A$1:$BR$1,_xlfn.XLOOKUP($A32,'PY1 Data(H)'!$A$1:$A$135,'PY1 Data(H)'!$A$1:$BR$135))</f>
        <v>-13963</v>
      </c>
      <c r="E32" s="119" cm="1">
        <f t="array" ref="E32">_xlfn.XLOOKUP(E$1,'PY1 Data(H)'!$A$1:$BR$1,_xlfn.XLOOKUP($A32,'PY1 Data(H)'!$A$1:$A$135,'PY1 Data(H)'!$A$1:$BR$135))</f>
        <v>100525</v>
      </c>
      <c r="F32" s="119" cm="1">
        <f t="array" ref="F32">_xlfn.XLOOKUP(F$1,'PY1 Data(H)'!$A$1:$BR$1,_xlfn.XLOOKUP($A32,'PY1 Data(H)'!$A$1:$A$135,'PY1 Data(H)'!$A$1:$BR$135))</f>
        <v>173499</v>
      </c>
      <c r="G32" s="119" cm="1">
        <f t="array" ref="G32">_xlfn.XLOOKUP(G$1,'PY1 Data(H)'!$A$1:$BR$1,_xlfn.XLOOKUP($A32,'PY1 Data(H)'!$A$1:$A$135,'PY1 Data(H)'!$A$1:$BR$135))</f>
        <v>369799</v>
      </c>
      <c r="H32" s="119" cm="1">
        <f t="array" ref="H32">_xlfn.XLOOKUP(H$1,'PY1 Data(H)'!$A$1:$BR$1,_xlfn.XLOOKUP($A32,'PY1 Data(H)'!$A$1:$A$135,'PY1 Data(H)'!$A$1:$BR$135))</f>
        <v>302224</v>
      </c>
      <c r="I32" s="119" cm="1">
        <f t="array" ref="I32">_xlfn.XLOOKUP(I$1,'PY1 Data(H)'!$A$1:$BR$1,_xlfn.XLOOKUP($A32,'PY1 Data(H)'!$A$1:$A$135,'PY1 Data(H)'!$A$1:$BR$135))</f>
        <v>290574</v>
      </c>
      <c r="J32" s="119" cm="1">
        <f t="array" ref="J32">_xlfn.XLOOKUP(J$1,'PY1 Data(H)'!$A$1:$BR$1,_xlfn.XLOOKUP($A32,'PY1 Data(H)'!$A$1:$A$135,'PY1 Data(H)'!$A$1:$BR$135))</f>
        <v>652400</v>
      </c>
      <c r="K32" s="119" cm="1">
        <f t="array" ref="K32">_xlfn.XLOOKUP(K$1,'PY1 Data(H)'!$A$1:$BR$1,_xlfn.XLOOKUP($A32,'PY1 Data(H)'!$A$1:$A$135,'PY1 Data(H)'!$A$1:$BR$135))</f>
        <v>68424</v>
      </c>
      <c r="L32" s="119" cm="1">
        <f t="array" ref="L32">_xlfn.XLOOKUP(L$1,'PY1 Data(H)'!$A$1:$BR$1,_xlfn.XLOOKUP($A32,'PY1 Data(H)'!$A$1:$A$135,'PY1 Data(H)'!$A$1:$BR$135))</f>
        <v>101293</v>
      </c>
      <c r="M32" s="119" cm="1">
        <f t="array" ref="M32">_xlfn.XLOOKUP(M$1,'PY1 Data(H)'!$A$1:$BR$1,_xlfn.XLOOKUP($A32,'PY1 Data(H)'!$A$1:$A$135,'PY1 Data(H)'!$A$1:$BR$135))</f>
        <v>133991</v>
      </c>
      <c r="N32" s="119" cm="1">
        <f t="array" ref="N32">_xlfn.XLOOKUP(N$1,'PY1 Data(H)'!$A$1:$BR$1,_xlfn.XLOOKUP($A32,'PY1 Data(H)'!$A$1:$A$135,'PY1 Data(H)'!$A$1:$BR$135))</f>
        <v>0</v>
      </c>
      <c r="O32" s="119" t="e" cm="1">
        <f t="array" ref="O32">_xlfn.XLOOKUP(O$1,'PY1 Data(H)'!$A$1:$BR$1,_xlfn.XLOOKUP($A32,'PY1 Data(H)'!$A$1:$A$135,'PY1 Data(H)'!$A$1:$BR$135))</f>
        <v>#N/A</v>
      </c>
      <c r="P32" s="119" cm="1">
        <f t="array" ref="P32">_xlfn.XLOOKUP(P$1,'PY1 Data(H)'!$A$1:$BR$1,_xlfn.XLOOKUP($A32,'PY1 Data(H)'!$A$1:$A$135,'PY1 Data(H)'!$A$1:$BR$135))</f>
        <v>887609</v>
      </c>
      <c r="Q32" s="119" cm="1">
        <f t="array" ref="Q32">_xlfn.XLOOKUP(Q$1,'PY1 Data(H)'!$A$1:$BR$1,_xlfn.XLOOKUP($A32,'PY1 Data(H)'!$A$1:$A$135,'PY1 Data(H)'!$A$1:$BR$135))</f>
        <v>490705</v>
      </c>
      <c r="R32" s="119" cm="1">
        <f t="array" ref="R32">_xlfn.XLOOKUP(R$1,'PY1 Data(H)'!$A$1:$BR$1,_xlfn.XLOOKUP($A32,'PY1 Data(H)'!$A$1:$A$135,'PY1 Data(H)'!$A$1:$BR$135))</f>
        <v>225858</v>
      </c>
      <c r="S32" s="119" cm="1">
        <f t="array" ref="S32">_xlfn.XLOOKUP(S$1,'PY1 Data(H)'!$A$1:$BR$1,_xlfn.XLOOKUP($A32,'PY1 Data(H)'!$A$1:$A$135,'PY1 Data(H)'!$A$1:$BR$135))</f>
        <v>62410</v>
      </c>
    </row>
    <row r="33" spans="1:19" x14ac:dyDescent="0.3">
      <c r="A33">
        <v>376</v>
      </c>
      <c r="D33" s="119" cm="1">
        <f t="array" ref="D33">_xlfn.XLOOKUP(D$1,'PY1 Data(H)'!$A$1:$BR$1,_xlfn.XLOOKUP($A33,'PY1 Data(H)'!$A$1:$A$135,'PY1 Data(H)'!$A$1:$BR$135))</f>
        <v>0</v>
      </c>
      <c r="E33" s="119" cm="1">
        <f t="array" ref="E33">_xlfn.XLOOKUP(E$1,'PY1 Data(H)'!$A$1:$BR$1,_xlfn.XLOOKUP($A33,'PY1 Data(H)'!$A$1:$A$135,'PY1 Data(H)'!$A$1:$BR$135))</f>
        <v>0</v>
      </c>
      <c r="F33" s="119" cm="1">
        <f t="array" ref="F33">_xlfn.XLOOKUP(F$1,'PY1 Data(H)'!$A$1:$BR$1,_xlfn.XLOOKUP($A33,'PY1 Data(H)'!$A$1:$A$135,'PY1 Data(H)'!$A$1:$BR$135))</f>
        <v>0</v>
      </c>
      <c r="G33" s="119" cm="1">
        <f t="array" ref="G33">_xlfn.XLOOKUP(G$1,'PY1 Data(H)'!$A$1:$BR$1,_xlfn.XLOOKUP($A33,'PY1 Data(H)'!$A$1:$A$135,'PY1 Data(H)'!$A$1:$BR$135))</f>
        <v>0</v>
      </c>
      <c r="H33" s="119" cm="1">
        <f t="array" ref="H33">_xlfn.XLOOKUP(H$1,'PY1 Data(H)'!$A$1:$BR$1,_xlfn.XLOOKUP($A33,'PY1 Data(H)'!$A$1:$A$135,'PY1 Data(H)'!$A$1:$BR$135))</f>
        <v>1</v>
      </c>
      <c r="I33" s="119" cm="1">
        <f t="array" ref="I33">_xlfn.XLOOKUP(I$1,'PY1 Data(H)'!$A$1:$BR$1,_xlfn.XLOOKUP($A33,'PY1 Data(H)'!$A$1:$A$135,'PY1 Data(H)'!$A$1:$BR$135))</f>
        <v>0</v>
      </c>
      <c r="J33" s="119" cm="1">
        <f t="array" ref="J33">_xlfn.XLOOKUP(J$1,'PY1 Data(H)'!$A$1:$BR$1,_xlfn.XLOOKUP($A33,'PY1 Data(H)'!$A$1:$A$135,'PY1 Data(H)'!$A$1:$BR$135))</f>
        <v>0</v>
      </c>
      <c r="K33" s="119" cm="1">
        <f t="array" ref="K33">_xlfn.XLOOKUP(K$1,'PY1 Data(H)'!$A$1:$BR$1,_xlfn.XLOOKUP($A33,'PY1 Data(H)'!$A$1:$A$135,'PY1 Data(H)'!$A$1:$BR$135))</f>
        <v>0</v>
      </c>
      <c r="L33" s="119" cm="1">
        <f t="array" ref="L33">_xlfn.XLOOKUP(L$1,'PY1 Data(H)'!$A$1:$BR$1,_xlfn.XLOOKUP($A33,'PY1 Data(H)'!$A$1:$A$135,'PY1 Data(H)'!$A$1:$BR$135))</f>
        <v>0</v>
      </c>
      <c r="M33" s="119" cm="1">
        <f t="array" ref="M33">_xlfn.XLOOKUP(M$1,'PY1 Data(H)'!$A$1:$BR$1,_xlfn.XLOOKUP($A33,'PY1 Data(H)'!$A$1:$A$135,'PY1 Data(H)'!$A$1:$BR$135))</f>
        <v>0</v>
      </c>
      <c r="N33" s="119" cm="1">
        <f t="array" ref="N33">_xlfn.XLOOKUP(N$1,'PY1 Data(H)'!$A$1:$BR$1,_xlfn.XLOOKUP($A33,'PY1 Data(H)'!$A$1:$A$135,'PY1 Data(H)'!$A$1:$BR$135))</f>
        <v>0</v>
      </c>
      <c r="O33" s="119" t="e" cm="1">
        <f t="array" ref="O33">_xlfn.XLOOKUP(O$1,'PY1 Data(H)'!$A$1:$BR$1,_xlfn.XLOOKUP($A33,'PY1 Data(H)'!$A$1:$A$135,'PY1 Data(H)'!$A$1:$BR$135))</f>
        <v>#N/A</v>
      </c>
      <c r="P33" s="119" cm="1">
        <f t="array" ref="P33">_xlfn.XLOOKUP(P$1,'PY1 Data(H)'!$A$1:$BR$1,_xlfn.XLOOKUP($A33,'PY1 Data(H)'!$A$1:$A$135,'PY1 Data(H)'!$A$1:$BR$135))</f>
        <v>0</v>
      </c>
      <c r="Q33" s="119" cm="1">
        <f t="array" ref="Q33">_xlfn.XLOOKUP(Q$1,'PY1 Data(H)'!$A$1:$BR$1,_xlfn.XLOOKUP($A33,'PY1 Data(H)'!$A$1:$A$135,'PY1 Data(H)'!$A$1:$BR$135))</f>
        <v>0</v>
      </c>
      <c r="R33" s="119" cm="1">
        <f t="array" ref="R33">_xlfn.XLOOKUP(R$1,'PY1 Data(H)'!$A$1:$BR$1,_xlfn.XLOOKUP($A33,'PY1 Data(H)'!$A$1:$A$135,'PY1 Data(H)'!$A$1:$BR$135))</f>
        <v>0</v>
      </c>
      <c r="S33" s="119" cm="1">
        <f t="array" ref="S33">_xlfn.XLOOKUP(S$1,'PY1 Data(H)'!$A$1:$BR$1,_xlfn.XLOOKUP($A33,'PY1 Data(H)'!$A$1:$A$135,'PY1 Data(H)'!$A$1:$BR$135))</f>
        <v>0</v>
      </c>
    </row>
    <row r="34" spans="1:19" x14ac:dyDescent="0.3">
      <c r="D34" s="119" cm="1">
        <f t="array" ref="D34">_xlfn.XLOOKUP(D$1,'PY1 Data(H)'!$A$1:$BR$1,_xlfn.XLOOKUP($A34,'PY1 Data(H)'!$A$1:$A$135,'PY1 Data(H)'!$A$1:$BR$135))</f>
        <v>0</v>
      </c>
      <c r="E34" s="119" cm="1">
        <f t="array" ref="E34">_xlfn.XLOOKUP(E$1,'PY1 Data(H)'!$A$1:$BR$1,_xlfn.XLOOKUP($A34,'PY1 Data(H)'!$A$1:$A$135,'PY1 Data(H)'!$A$1:$BR$135))</f>
        <v>0</v>
      </c>
      <c r="F34" s="119" cm="1">
        <f t="array" ref="F34">_xlfn.XLOOKUP(F$1,'PY1 Data(H)'!$A$1:$BR$1,_xlfn.XLOOKUP($A34,'PY1 Data(H)'!$A$1:$A$135,'PY1 Data(H)'!$A$1:$BR$135))</f>
        <v>0</v>
      </c>
      <c r="G34" s="119" cm="1">
        <f t="array" ref="G34">_xlfn.XLOOKUP(G$1,'PY1 Data(H)'!$A$1:$BR$1,_xlfn.XLOOKUP($A34,'PY1 Data(H)'!$A$1:$A$135,'PY1 Data(H)'!$A$1:$BR$135))</f>
        <v>0</v>
      </c>
      <c r="H34" s="119" cm="1">
        <f t="array" ref="H34">_xlfn.XLOOKUP(H$1,'PY1 Data(H)'!$A$1:$BR$1,_xlfn.XLOOKUP($A34,'PY1 Data(H)'!$A$1:$A$135,'PY1 Data(H)'!$A$1:$BR$135))</f>
        <v>0</v>
      </c>
      <c r="I34" s="119" cm="1">
        <f t="array" ref="I34">_xlfn.XLOOKUP(I$1,'PY1 Data(H)'!$A$1:$BR$1,_xlfn.XLOOKUP($A34,'PY1 Data(H)'!$A$1:$A$135,'PY1 Data(H)'!$A$1:$BR$135))</f>
        <v>0</v>
      </c>
      <c r="J34" s="119" cm="1">
        <f t="array" ref="J34">_xlfn.XLOOKUP(J$1,'PY1 Data(H)'!$A$1:$BR$1,_xlfn.XLOOKUP($A34,'PY1 Data(H)'!$A$1:$A$135,'PY1 Data(H)'!$A$1:$BR$135))</f>
        <v>0</v>
      </c>
      <c r="K34" s="119" cm="1">
        <f t="array" ref="K34">_xlfn.XLOOKUP(K$1,'PY1 Data(H)'!$A$1:$BR$1,_xlfn.XLOOKUP($A34,'PY1 Data(H)'!$A$1:$A$135,'PY1 Data(H)'!$A$1:$BR$135))</f>
        <v>0</v>
      </c>
      <c r="L34" s="119" cm="1">
        <f t="array" ref="L34">_xlfn.XLOOKUP(L$1,'PY1 Data(H)'!$A$1:$BR$1,_xlfn.XLOOKUP($A34,'PY1 Data(H)'!$A$1:$A$135,'PY1 Data(H)'!$A$1:$BR$135))</f>
        <v>0</v>
      </c>
      <c r="M34" s="119" cm="1">
        <f t="array" ref="M34">_xlfn.XLOOKUP(M$1,'PY1 Data(H)'!$A$1:$BR$1,_xlfn.XLOOKUP($A34,'PY1 Data(H)'!$A$1:$A$135,'PY1 Data(H)'!$A$1:$BR$135))</f>
        <v>0</v>
      </c>
      <c r="N34" s="119" cm="1">
        <f t="array" ref="N34">_xlfn.XLOOKUP(N$1,'PY1 Data(H)'!$A$1:$BR$1,_xlfn.XLOOKUP($A34,'PY1 Data(H)'!$A$1:$A$135,'PY1 Data(H)'!$A$1:$BR$135))</f>
        <v>0</v>
      </c>
      <c r="O34" s="119" t="e" cm="1">
        <f t="array" ref="O34">_xlfn.XLOOKUP(O$1,'PY1 Data(H)'!$A$1:$BR$1,_xlfn.XLOOKUP($A34,'PY1 Data(H)'!$A$1:$A$135,'PY1 Data(H)'!$A$1:$BR$135))</f>
        <v>#N/A</v>
      </c>
      <c r="P34" s="119" cm="1">
        <f t="array" ref="P34">_xlfn.XLOOKUP(P$1,'PY1 Data(H)'!$A$1:$BR$1,_xlfn.XLOOKUP($A34,'PY1 Data(H)'!$A$1:$A$135,'PY1 Data(H)'!$A$1:$BR$135))</f>
        <v>0</v>
      </c>
      <c r="Q34" s="119" cm="1">
        <f t="array" ref="Q34">_xlfn.XLOOKUP(Q$1,'PY1 Data(H)'!$A$1:$BR$1,_xlfn.XLOOKUP($A34,'PY1 Data(H)'!$A$1:$A$135,'PY1 Data(H)'!$A$1:$BR$135))</f>
        <v>0</v>
      </c>
      <c r="R34" s="119" cm="1">
        <f t="array" ref="R34">_xlfn.XLOOKUP(R$1,'PY1 Data(H)'!$A$1:$BR$1,_xlfn.XLOOKUP($A34,'PY1 Data(H)'!$A$1:$A$135,'PY1 Data(H)'!$A$1:$BR$135))</f>
        <v>0</v>
      </c>
      <c r="S34" s="119" cm="1">
        <f t="array" ref="S34">_xlfn.XLOOKUP(S$1,'PY1 Data(H)'!$A$1:$BR$1,_xlfn.XLOOKUP($A34,'PY1 Data(H)'!$A$1:$A$135,'PY1 Data(H)'!$A$1:$BR$135))</f>
        <v>0</v>
      </c>
    </row>
    <row r="35" spans="1:19" x14ac:dyDescent="0.3">
      <c r="A35">
        <v>592</v>
      </c>
      <c r="D35" s="119" cm="1">
        <f t="array" ref="D35">_xlfn.XLOOKUP(D$1,'PY1 Data(H)'!$A$1:$BR$1,_xlfn.XLOOKUP($A35,'PY1 Data(H)'!$A$1:$A$135,'PY1 Data(H)'!$A$1:$BR$135))</f>
        <v>0</v>
      </c>
      <c r="E35" s="119" cm="1">
        <f t="array" ref="E35">_xlfn.XLOOKUP(E$1,'PY1 Data(H)'!$A$1:$BR$1,_xlfn.XLOOKUP($A35,'PY1 Data(H)'!$A$1:$A$135,'PY1 Data(H)'!$A$1:$BR$135))</f>
        <v>0</v>
      </c>
      <c r="F35" s="119" cm="1">
        <f t="array" ref="F35">_xlfn.XLOOKUP(F$1,'PY1 Data(H)'!$A$1:$BR$1,_xlfn.XLOOKUP($A35,'PY1 Data(H)'!$A$1:$A$135,'PY1 Data(H)'!$A$1:$BR$135))</f>
        <v>0</v>
      </c>
      <c r="G35" s="119" cm="1">
        <f t="array" ref="G35">_xlfn.XLOOKUP(G$1,'PY1 Data(H)'!$A$1:$BR$1,_xlfn.XLOOKUP($A35,'PY1 Data(H)'!$A$1:$A$135,'PY1 Data(H)'!$A$1:$BR$135))</f>
        <v>0</v>
      </c>
      <c r="H35" s="119" cm="1">
        <f t="array" ref="H35">_xlfn.XLOOKUP(H$1,'PY1 Data(H)'!$A$1:$BR$1,_xlfn.XLOOKUP($A35,'PY1 Data(H)'!$A$1:$A$135,'PY1 Data(H)'!$A$1:$BR$135))</f>
        <v>0</v>
      </c>
      <c r="I35" s="119" cm="1">
        <f t="array" ref="I35">_xlfn.XLOOKUP(I$1,'PY1 Data(H)'!$A$1:$BR$1,_xlfn.XLOOKUP($A35,'PY1 Data(H)'!$A$1:$A$135,'PY1 Data(H)'!$A$1:$BR$135))</f>
        <v>0</v>
      </c>
      <c r="J35" s="119" cm="1">
        <f t="array" ref="J35">_xlfn.XLOOKUP(J$1,'PY1 Data(H)'!$A$1:$BR$1,_xlfn.XLOOKUP($A35,'PY1 Data(H)'!$A$1:$A$135,'PY1 Data(H)'!$A$1:$BR$135))</f>
        <v>0</v>
      </c>
      <c r="K35" s="119" cm="1">
        <f t="array" ref="K35">_xlfn.XLOOKUP(K$1,'PY1 Data(H)'!$A$1:$BR$1,_xlfn.XLOOKUP($A35,'PY1 Data(H)'!$A$1:$A$135,'PY1 Data(H)'!$A$1:$BR$135))</f>
        <v>-44697</v>
      </c>
      <c r="L35" s="119" cm="1">
        <f t="array" ref="L35">_xlfn.XLOOKUP(L$1,'PY1 Data(H)'!$A$1:$BR$1,_xlfn.XLOOKUP($A35,'PY1 Data(H)'!$A$1:$A$135,'PY1 Data(H)'!$A$1:$BR$135))</f>
        <v>0</v>
      </c>
      <c r="M35" s="119" cm="1">
        <f t="array" ref="M35">_xlfn.XLOOKUP(M$1,'PY1 Data(H)'!$A$1:$BR$1,_xlfn.XLOOKUP($A35,'PY1 Data(H)'!$A$1:$A$135,'PY1 Data(H)'!$A$1:$BR$135))</f>
        <v>-22983</v>
      </c>
      <c r="N35" s="119" cm="1">
        <f t="array" ref="N35">_xlfn.XLOOKUP(N$1,'PY1 Data(H)'!$A$1:$BR$1,_xlfn.XLOOKUP($A35,'PY1 Data(H)'!$A$1:$A$135,'PY1 Data(H)'!$A$1:$BR$135))</f>
        <v>0</v>
      </c>
      <c r="O35" s="119" t="e" cm="1">
        <f t="array" ref="O35">_xlfn.XLOOKUP(O$1,'PY1 Data(H)'!$A$1:$BR$1,_xlfn.XLOOKUP($A35,'PY1 Data(H)'!$A$1:$A$135,'PY1 Data(H)'!$A$1:$BR$135))</f>
        <v>#N/A</v>
      </c>
      <c r="P35" s="119" cm="1">
        <f t="array" ref="P35">_xlfn.XLOOKUP(P$1,'PY1 Data(H)'!$A$1:$BR$1,_xlfn.XLOOKUP($A35,'PY1 Data(H)'!$A$1:$A$135,'PY1 Data(H)'!$A$1:$BR$135))</f>
        <v>0</v>
      </c>
      <c r="Q35" s="119" cm="1">
        <f t="array" ref="Q35">_xlfn.XLOOKUP(Q$1,'PY1 Data(H)'!$A$1:$BR$1,_xlfn.XLOOKUP($A35,'PY1 Data(H)'!$A$1:$A$135,'PY1 Data(H)'!$A$1:$BR$135))</f>
        <v>0</v>
      </c>
      <c r="R35" s="119" cm="1">
        <f t="array" ref="R35">_xlfn.XLOOKUP(R$1,'PY1 Data(H)'!$A$1:$BR$1,_xlfn.XLOOKUP($A35,'PY1 Data(H)'!$A$1:$A$135,'PY1 Data(H)'!$A$1:$BR$135))</f>
        <v>0</v>
      </c>
      <c r="S35" s="119" cm="1">
        <f t="array" ref="S35">_xlfn.XLOOKUP(S$1,'PY1 Data(H)'!$A$1:$BR$1,_xlfn.XLOOKUP($A35,'PY1 Data(H)'!$A$1:$A$135,'PY1 Data(H)'!$A$1:$BR$135))</f>
        <v>0</v>
      </c>
    </row>
    <row r="36" spans="1:19" x14ac:dyDescent="0.3">
      <c r="A36">
        <v>591</v>
      </c>
      <c r="D36" s="119" cm="1">
        <f t="array" ref="D36">_xlfn.XLOOKUP(D$1,'PY1 Data(H)'!$A$1:$BR$1,_xlfn.XLOOKUP($A36,'PY1 Data(H)'!$A$1:$A$135,'PY1 Data(H)'!$A$1:$BR$135))</f>
        <v>0</v>
      </c>
      <c r="E36" s="119" cm="1">
        <f t="array" ref="E36">_xlfn.XLOOKUP(E$1,'PY1 Data(H)'!$A$1:$BR$1,_xlfn.XLOOKUP($A36,'PY1 Data(H)'!$A$1:$A$135,'PY1 Data(H)'!$A$1:$BR$135))</f>
        <v>0</v>
      </c>
      <c r="F36" s="119" cm="1">
        <f t="array" ref="F36">_xlfn.XLOOKUP(F$1,'PY1 Data(H)'!$A$1:$BR$1,_xlfn.XLOOKUP($A36,'PY1 Data(H)'!$A$1:$A$135,'PY1 Data(H)'!$A$1:$BR$135))</f>
        <v>0</v>
      </c>
      <c r="G36" s="119" cm="1">
        <f t="array" ref="G36">_xlfn.XLOOKUP(G$1,'PY1 Data(H)'!$A$1:$BR$1,_xlfn.XLOOKUP($A36,'PY1 Data(H)'!$A$1:$A$135,'PY1 Data(H)'!$A$1:$BR$135))</f>
        <v>0</v>
      </c>
      <c r="H36" s="119" cm="1">
        <f t="array" ref="H36">_xlfn.XLOOKUP(H$1,'PY1 Data(H)'!$A$1:$BR$1,_xlfn.XLOOKUP($A36,'PY1 Data(H)'!$A$1:$A$135,'PY1 Data(H)'!$A$1:$BR$135))</f>
        <v>0</v>
      </c>
      <c r="I36" s="119" cm="1">
        <f t="array" ref="I36">_xlfn.XLOOKUP(I$1,'PY1 Data(H)'!$A$1:$BR$1,_xlfn.XLOOKUP($A36,'PY1 Data(H)'!$A$1:$A$135,'PY1 Data(H)'!$A$1:$BR$135))</f>
        <v>0</v>
      </c>
      <c r="J36" s="119" cm="1">
        <f t="array" ref="J36">_xlfn.XLOOKUP(J$1,'PY1 Data(H)'!$A$1:$BR$1,_xlfn.XLOOKUP($A36,'PY1 Data(H)'!$A$1:$A$135,'PY1 Data(H)'!$A$1:$BR$135))</f>
        <v>0</v>
      </c>
      <c r="K36" s="119" cm="1">
        <f t="array" ref="K36">_xlfn.XLOOKUP(K$1,'PY1 Data(H)'!$A$1:$BR$1,_xlfn.XLOOKUP($A36,'PY1 Data(H)'!$A$1:$A$135,'PY1 Data(H)'!$A$1:$BR$135))</f>
        <v>285289</v>
      </c>
      <c r="L36" s="119" cm="1">
        <f t="array" ref="L36">_xlfn.XLOOKUP(L$1,'PY1 Data(H)'!$A$1:$BR$1,_xlfn.XLOOKUP($A36,'PY1 Data(H)'!$A$1:$A$135,'PY1 Data(H)'!$A$1:$BR$135))</f>
        <v>0</v>
      </c>
      <c r="M36" s="119" cm="1">
        <f t="array" ref="M36">_xlfn.XLOOKUP(M$1,'PY1 Data(H)'!$A$1:$BR$1,_xlfn.XLOOKUP($A36,'PY1 Data(H)'!$A$1:$A$135,'PY1 Data(H)'!$A$1:$BR$135))</f>
        <v>338494</v>
      </c>
      <c r="N36" s="119" cm="1">
        <f t="array" ref="N36">_xlfn.XLOOKUP(N$1,'PY1 Data(H)'!$A$1:$BR$1,_xlfn.XLOOKUP($A36,'PY1 Data(H)'!$A$1:$A$135,'PY1 Data(H)'!$A$1:$BR$135))</f>
        <v>0</v>
      </c>
      <c r="O36" s="119" t="e" cm="1">
        <f t="array" ref="O36">_xlfn.XLOOKUP(O$1,'PY1 Data(H)'!$A$1:$BR$1,_xlfn.XLOOKUP($A36,'PY1 Data(H)'!$A$1:$A$135,'PY1 Data(H)'!$A$1:$BR$135))</f>
        <v>#N/A</v>
      </c>
      <c r="P36" s="119" cm="1">
        <f t="array" ref="P36">_xlfn.XLOOKUP(P$1,'PY1 Data(H)'!$A$1:$BR$1,_xlfn.XLOOKUP($A36,'PY1 Data(H)'!$A$1:$A$135,'PY1 Data(H)'!$A$1:$BR$135))</f>
        <v>0</v>
      </c>
      <c r="Q36" s="119" cm="1">
        <f t="array" ref="Q36">_xlfn.XLOOKUP(Q$1,'PY1 Data(H)'!$A$1:$BR$1,_xlfn.XLOOKUP($A36,'PY1 Data(H)'!$A$1:$A$135,'PY1 Data(H)'!$A$1:$BR$135))</f>
        <v>0</v>
      </c>
      <c r="R36" s="119" cm="1">
        <f t="array" ref="R36">_xlfn.XLOOKUP(R$1,'PY1 Data(H)'!$A$1:$BR$1,_xlfn.XLOOKUP($A36,'PY1 Data(H)'!$A$1:$A$135,'PY1 Data(H)'!$A$1:$BR$135))</f>
        <v>0</v>
      </c>
      <c r="S36" s="119" cm="1">
        <f t="array" ref="S36">_xlfn.XLOOKUP(S$1,'PY1 Data(H)'!$A$1:$BR$1,_xlfn.XLOOKUP($A36,'PY1 Data(H)'!$A$1:$A$135,'PY1 Data(H)'!$A$1:$BR$135))</f>
        <v>0</v>
      </c>
    </row>
    <row r="37" spans="1:19" x14ac:dyDescent="0.3">
      <c r="D37" s="119" cm="1">
        <f t="array" ref="D37">_xlfn.XLOOKUP(D$1,'PY1 Data(H)'!$A$1:$BR$1,_xlfn.XLOOKUP($A37,'PY1 Data(H)'!$A$1:$A$135,'PY1 Data(H)'!$A$1:$BR$135))</f>
        <v>0</v>
      </c>
      <c r="E37" s="119" cm="1">
        <f t="array" ref="E37">_xlfn.XLOOKUP(E$1,'PY1 Data(H)'!$A$1:$BR$1,_xlfn.XLOOKUP($A37,'PY1 Data(H)'!$A$1:$A$135,'PY1 Data(H)'!$A$1:$BR$135))</f>
        <v>0</v>
      </c>
      <c r="F37" s="119" cm="1">
        <f t="array" ref="F37">_xlfn.XLOOKUP(F$1,'PY1 Data(H)'!$A$1:$BR$1,_xlfn.XLOOKUP($A37,'PY1 Data(H)'!$A$1:$A$135,'PY1 Data(H)'!$A$1:$BR$135))</f>
        <v>0</v>
      </c>
      <c r="G37" s="119" cm="1">
        <f t="array" ref="G37">_xlfn.XLOOKUP(G$1,'PY1 Data(H)'!$A$1:$BR$1,_xlfn.XLOOKUP($A37,'PY1 Data(H)'!$A$1:$A$135,'PY1 Data(H)'!$A$1:$BR$135))</f>
        <v>0</v>
      </c>
      <c r="H37" s="119" cm="1">
        <f t="array" ref="H37">_xlfn.XLOOKUP(H$1,'PY1 Data(H)'!$A$1:$BR$1,_xlfn.XLOOKUP($A37,'PY1 Data(H)'!$A$1:$A$135,'PY1 Data(H)'!$A$1:$BR$135))</f>
        <v>0</v>
      </c>
      <c r="I37" s="119" cm="1">
        <f t="array" ref="I37">_xlfn.XLOOKUP(I$1,'PY1 Data(H)'!$A$1:$BR$1,_xlfn.XLOOKUP($A37,'PY1 Data(H)'!$A$1:$A$135,'PY1 Data(H)'!$A$1:$BR$135))</f>
        <v>0</v>
      </c>
      <c r="J37" s="119" cm="1">
        <f t="array" ref="J37">_xlfn.XLOOKUP(J$1,'PY1 Data(H)'!$A$1:$BR$1,_xlfn.XLOOKUP($A37,'PY1 Data(H)'!$A$1:$A$135,'PY1 Data(H)'!$A$1:$BR$135))</f>
        <v>0</v>
      </c>
      <c r="K37" s="119" cm="1">
        <f t="array" ref="K37">_xlfn.XLOOKUP(K$1,'PY1 Data(H)'!$A$1:$BR$1,_xlfn.XLOOKUP($A37,'PY1 Data(H)'!$A$1:$A$135,'PY1 Data(H)'!$A$1:$BR$135))</f>
        <v>0</v>
      </c>
      <c r="L37" s="119" cm="1">
        <f t="array" ref="L37">_xlfn.XLOOKUP(L$1,'PY1 Data(H)'!$A$1:$BR$1,_xlfn.XLOOKUP($A37,'PY1 Data(H)'!$A$1:$A$135,'PY1 Data(H)'!$A$1:$BR$135))</f>
        <v>0</v>
      </c>
      <c r="M37" s="119" cm="1">
        <f t="array" ref="M37">_xlfn.XLOOKUP(M$1,'PY1 Data(H)'!$A$1:$BR$1,_xlfn.XLOOKUP($A37,'PY1 Data(H)'!$A$1:$A$135,'PY1 Data(H)'!$A$1:$BR$135))</f>
        <v>0</v>
      </c>
      <c r="N37" s="119" cm="1">
        <f t="array" ref="N37">_xlfn.XLOOKUP(N$1,'PY1 Data(H)'!$A$1:$BR$1,_xlfn.XLOOKUP($A37,'PY1 Data(H)'!$A$1:$A$135,'PY1 Data(H)'!$A$1:$BR$135))</f>
        <v>0</v>
      </c>
      <c r="O37" s="119" t="e" cm="1">
        <f t="array" ref="O37">_xlfn.XLOOKUP(O$1,'PY1 Data(H)'!$A$1:$BR$1,_xlfn.XLOOKUP($A37,'PY1 Data(H)'!$A$1:$A$135,'PY1 Data(H)'!$A$1:$BR$135))</f>
        <v>#N/A</v>
      </c>
      <c r="P37" s="119" cm="1">
        <f t="array" ref="P37">_xlfn.XLOOKUP(P$1,'PY1 Data(H)'!$A$1:$BR$1,_xlfn.XLOOKUP($A37,'PY1 Data(H)'!$A$1:$A$135,'PY1 Data(H)'!$A$1:$BR$135))</f>
        <v>0</v>
      </c>
      <c r="Q37" s="119" cm="1">
        <f t="array" ref="Q37">_xlfn.XLOOKUP(Q$1,'PY1 Data(H)'!$A$1:$BR$1,_xlfn.XLOOKUP($A37,'PY1 Data(H)'!$A$1:$A$135,'PY1 Data(H)'!$A$1:$BR$135))</f>
        <v>0</v>
      </c>
      <c r="R37" s="119" cm="1">
        <f t="array" ref="R37">_xlfn.XLOOKUP(R$1,'PY1 Data(H)'!$A$1:$BR$1,_xlfn.XLOOKUP($A37,'PY1 Data(H)'!$A$1:$A$135,'PY1 Data(H)'!$A$1:$BR$135))</f>
        <v>0</v>
      </c>
      <c r="S37" s="119" cm="1">
        <f t="array" ref="S37">_xlfn.XLOOKUP(S$1,'PY1 Data(H)'!$A$1:$BR$1,_xlfn.XLOOKUP($A37,'PY1 Data(H)'!$A$1:$A$135,'PY1 Data(H)'!$A$1:$BR$135))</f>
        <v>0</v>
      </c>
    </row>
    <row r="38" spans="1:19" x14ac:dyDescent="0.3">
      <c r="A38">
        <v>506</v>
      </c>
      <c r="D38" s="119" cm="1">
        <f t="array" ref="D38">_xlfn.XLOOKUP(D$1,'PY1 Data(H)'!$A$1:$BR$1,_xlfn.XLOOKUP($A38,'PY1 Data(H)'!$A$1:$A$135,'PY1 Data(H)'!$A$1:$BR$135))</f>
        <v>1120815</v>
      </c>
      <c r="E38" s="119" cm="1">
        <f t="array" ref="E38">_xlfn.XLOOKUP(E$1,'PY1 Data(H)'!$A$1:$BR$1,_xlfn.XLOOKUP($A38,'PY1 Data(H)'!$A$1:$A$135,'PY1 Data(H)'!$A$1:$BR$135))</f>
        <v>1365078</v>
      </c>
      <c r="F38" s="119" cm="1">
        <f t="array" ref="F38">_xlfn.XLOOKUP(F$1,'PY1 Data(H)'!$A$1:$BR$1,_xlfn.XLOOKUP($A38,'PY1 Data(H)'!$A$1:$A$135,'PY1 Data(H)'!$A$1:$BR$135))</f>
        <v>2462504</v>
      </c>
      <c r="G38" s="119" cm="1">
        <f t="array" ref="G38">_xlfn.XLOOKUP(G$1,'PY1 Data(H)'!$A$1:$BR$1,_xlfn.XLOOKUP($A38,'PY1 Data(H)'!$A$1:$A$135,'PY1 Data(H)'!$A$1:$BR$135))</f>
        <v>665417</v>
      </c>
      <c r="H38" s="119" cm="1">
        <f t="array" ref="H38">_xlfn.XLOOKUP(H$1,'PY1 Data(H)'!$A$1:$BR$1,_xlfn.XLOOKUP($A38,'PY1 Data(H)'!$A$1:$A$135,'PY1 Data(H)'!$A$1:$BR$135))</f>
        <v>1415827</v>
      </c>
      <c r="I38" s="119" cm="1">
        <f t="array" ref="I38">_xlfn.XLOOKUP(I$1,'PY1 Data(H)'!$A$1:$BR$1,_xlfn.XLOOKUP($A38,'PY1 Data(H)'!$A$1:$A$135,'PY1 Data(H)'!$A$1:$BR$135))</f>
        <v>452576</v>
      </c>
      <c r="J38" s="119" cm="1">
        <f t="array" ref="J38">_xlfn.XLOOKUP(J$1,'PY1 Data(H)'!$A$1:$BR$1,_xlfn.XLOOKUP($A38,'PY1 Data(H)'!$A$1:$A$135,'PY1 Data(H)'!$A$1:$BR$135))</f>
        <v>5724727</v>
      </c>
      <c r="K38" s="119" cm="1">
        <f t="array" ref="K38">_xlfn.XLOOKUP(K$1,'PY1 Data(H)'!$A$1:$BR$1,_xlfn.XLOOKUP($A38,'PY1 Data(H)'!$A$1:$A$135,'PY1 Data(H)'!$A$1:$BR$135))</f>
        <v>270296</v>
      </c>
      <c r="L38" s="119" cm="1">
        <f t="array" ref="L38">_xlfn.XLOOKUP(L$1,'PY1 Data(H)'!$A$1:$BR$1,_xlfn.XLOOKUP($A38,'PY1 Data(H)'!$A$1:$A$135,'PY1 Data(H)'!$A$1:$BR$135))</f>
        <v>307959</v>
      </c>
      <c r="M38" s="119" cm="1">
        <f t="array" ref="M38">_xlfn.XLOOKUP(M$1,'PY1 Data(H)'!$A$1:$BR$1,_xlfn.XLOOKUP($A38,'PY1 Data(H)'!$A$1:$A$135,'PY1 Data(H)'!$A$1:$BR$135))</f>
        <v>0</v>
      </c>
      <c r="N38" s="119" cm="1">
        <f t="array" ref="N38">_xlfn.XLOOKUP(N$1,'PY1 Data(H)'!$A$1:$BR$1,_xlfn.XLOOKUP($A38,'PY1 Data(H)'!$A$1:$A$135,'PY1 Data(H)'!$A$1:$BR$135))</f>
        <v>0</v>
      </c>
      <c r="O38" s="119" t="e" cm="1">
        <f t="array" ref="O38">_xlfn.XLOOKUP(O$1,'PY1 Data(H)'!$A$1:$BR$1,_xlfn.XLOOKUP($A38,'PY1 Data(H)'!$A$1:$A$135,'PY1 Data(H)'!$A$1:$BR$135))</f>
        <v>#N/A</v>
      </c>
      <c r="P38" s="119" cm="1">
        <f t="array" ref="P38">_xlfn.XLOOKUP(P$1,'PY1 Data(H)'!$A$1:$BR$1,_xlfn.XLOOKUP($A38,'PY1 Data(H)'!$A$1:$A$135,'PY1 Data(H)'!$A$1:$BR$135))</f>
        <v>1829603</v>
      </c>
      <c r="Q38" s="119" cm="1">
        <f t="array" ref="Q38">_xlfn.XLOOKUP(Q$1,'PY1 Data(H)'!$A$1:$BR$1,_xlfn.XLOOKUP($A38,'PY1 Data(H)'!$A$1:$A$135,'PY1 Data(H)'!$A$1:$BR$135))</f>
        <v>9990845</v>
      </c>
      <c r="R38" s="119" cm="1">
        <f t="array" ref="R38">_xlfn.XLOOKUP(R$1,'PY1 Data(H)'!$A$1:$BR$1,_xlfn.XLOOKUP($A38,'PY1 Data(H)'!$A$1:$A$135,'PY1 Data(H)'!$A$1:$BR$135))</f>
        <v>839045</v>
      </c>
      <c r="S38" s="119" cm="1">
        <f t="array" ref="S38">_xlfn.XLOOKUP(S$1,'PY1 Data(H)'!$A$1:$BR$1,_xlfn.XLOOKUP($A38,'PY1 Data(H)'!$A$1:$A$135,'PY1 Data(H)'!$A$1:$BR$135))</f>
        <v>1059732</v>
      </c>
    </row>
    <row r="39" spans="1:19" x14ac:dyDescent="0.3">
      <c r="A39">
        <v>536</v>
      </c>
      <c r="D39" s="119" cm="1">
        <f t="array" ref="D39">_xlfn.XLOOKUP(D$1,'PY1 Data(H)'!$A$1:$BR$1,_xlfn.XLOOKUP($A39,'PY1 Data(H)'!$A$1:$A$135,'PY1 Data(H)'!$A$1:$BR$135))</f>
        <v>0</v>
      </c>
      <c r="E39" s="119" cm="1">
        <f t="array" ref="E39">_xlfn.XLOOKUP(E$1,'PY1 Data(H)'!$A$1:$BR$1,_xlfn.XLOOKUP($A39,'PY1 Data(H)'!$A$1:$A$135,'PY1 Data(H)'!$A$1:$BR$135))</f>
        <v>0</v>
      </c>
      <c r="F39" s="119" cm="1">
        <f t="array" ref="F39">_xlfn.XLOOKUP(F$1,'PY1 Data(H)'!$A$1:$BR$1,_xlfn.XLOOKUP($A39,'PY1 Data(H)'!$A$1:$A$135,'PY1 Data(H)'!$A$1:$BR$135))</f>
        <v>0</v>
      </c>
      <c r="G39" s="119" cm="1">
        <f t="array" ref="G39">_xlfn.XLOOKUP(G$1,'PY1 Data(H)'!$A$1:$BR$1,_xlfn.XLOOKUP($A39,'PY1 Data(H)'!$A$1:$A$135,'PY1 Data(H)'!$A$1:$BR$135))</f>
        <v>663504</v>
      </c>
      <c r="H39" s="119" cm="1">
        <f t="array" ref="H39">_xlfn.XLOOKUP(H$1,'PY1 Data(H)'!$A$1:$BR$1,_xlfn.XLOOKUP($A39,'PY1 Data(H)'!$A$1:$A$135,'PY1 Data(H)'!$A$1:$BR$135))</f>
        <v>0</v>
      </c>
      <c r="I39" s="119" cm="1">
        <f t="array" ref="I39">_xlfn.XLOOKUP(I$1,'PY1 Data(H)'!$A$1:$BR$1,_xlfn.XLOOKUP($A39,'PY1 Data(H)'!$A$1:$A$135,'PY1 Data(H)'!$A$1:$BR$135))</f>
        <v>2000</v>
      </c>
      <c r="J39" s="119" cm="1">
        <f t="array" ref="J39">_xlfn.XLOOKUP(J$1,'PY1 Data(H)'!$A$1:$BR$1,_xlfn.XLOOKUP($A39,'PY1 Data(H)'!$A$1:$A$135,'PY1 Data(H)'!$A$1:$BR$135))</f>
        <v>0</v>
      </c>
      <c r="K39" s="119" cm="1">
        <f t="array" ref="K39">_xlfn.XLOOKUP(K$1,'PY1 Data(H)'!$A$1:$BR$1,_xlfn.XLOOKUP($A39,'PY1 Data(H)'!$A$1:$A$135,'PY1 Data(H)'!$A$1:$BR$135))</f>
        <v>0</v>
      </c>
      <c r="L39" s="119" cm="1">
        <f t="array" ref="L39">_xlfn.XLOOKUP(L$1,'PY1 Data(H)'!$A$1:$BR$1,_xlfn.XLOOKUP($A39,'PY1 Data(H)'!$A$1:$A$135,'PY1 Data(H)'!$A$1:$BR$135))</f>
        <v>0</v>
      </c>
      <c r="M39" s="119" cm="1">
        <f t="array" ref="M39">_xlfn.XLOOKUP(M$1,'PY1 Data(H)'!$A$1:$BR$1,_xlfn.XLOOKUP($A39,'PY1 Data(H)'!$A$1:$A$135,'PY1 Data(H)'!$A$1:$BR$135))</f>
        <v>0</v>
      </c>
      <c r="N39" s="119" cm="1">
        <f t="array" ref="N39">_xlfn.XLOOKUP(N$1,'PY1 Data(H)'!$A$1:$BR$1,_xlfn.XLOOKUP($A39,'PY1 Data(H)'!$A$1:$A$135,'PY1 Data(H)'!$A$1:$BR$135))</f>
        <v>0</v>
      </c>
      <c r="O39" s="119" t="e" cm="1">
        <f t="array" ref="O39">_xlfn.XLOOKUP(O$1,'PY1 Data(H)'!$A$1:$BR$1,_xlfn.XLOOKUP($A39,'PY1 Data(H)'!$A$1:$A$135,'PY1 Data(H)'!$A$1:$BR$135))</f>
        <v>#N/A</v>
      </c>
      <c r="P39" s="119" cm="1">
        <f t="array" ref="P39">_xlfn.XLOOKUP(P$1,'PY1 Data(H)'!$A$1:$BR$1,_xlfn.XLOOKUP($A39,'PY1 Data(H)'!$A$1:$A$135,'PY1 Data(H)'!$A$1:$BR$135))</f>
        <v>0</v>
      </c>
      <c r="Q39" s="119" cm="1">
        <f t="array" ref="Q39">_xlfn.XLOOKUP(Q$1,'PY1 Data(H)'!$A$1:$BR$1,_xlfn.XLOOKUP($A39,'PY1 Data(H)'!$A$1:$A$135,'PY1 Data(H)'!$A$1:$BR$135))</f>
        <v>0</v>
      </c>
      <c r="R39" s="119" cm="1">
        <f t="array" ref="R39">_xlfn.XLOOKUP(R$1,'PY1 Data(H)'!$A$1:$BR$1,_xlfn.XLOOKUP($A39,'PY1 Data(H)'!$A$1:$A$135,'PY1 Data(H)'!$A$1:$BR$135))</f>
        <v>0</v>
      </c>
      <c r="S39" s="119" cm="1">
        <f t="array" ref="S39">_xlfn.XLOOKUP(S$1,'PY1 Data(H)'!$A$1:$BR$1,_xlfn.XLOOKUP($A39,'PY1 Data(H)'!$A$1:$A$135,'PY1 Data(H)'!$A$1:$BR$135))</f>
        <v>125828</v>
      </c>
    </row>
    <row r="40" spans="1:19" x14ac:dyDescent="0.3">
      <c r="A40">
        <v>586</v>
      </c>
      <c r="D40" s="119" cm="1">
        <f t="array" ref="D40">_xlfn.XLOOKUP(D$1,'PY1 Data(H)'!$A$1:$BR$1,_xlfn.XLOOKUP($A40,'PY1 Data(H)'!$A$1:$A$135,'PY1 Data(H)'!$A$1:$BR$135))</f>
        <v>0</v>
      </c>
      <c r="E40" s="119" cm="1">
        <f t="array" ref="E40">_xlfn.XLOOKUP(E$1,'PY1 Data(H)'!$A$1:$BR$1,_xlfn.XLOOKUP($A40,'PY1 Data(H)'!$A$1:$A$135,'PY1 Data(H)'!$A$1:$BR$135))</f>
        <v>0</v>
      </c>
      <c r="F40" s="119" cm="1">
        <f t="array" ref="F40">_xlfn.XLOOKUP(F$1,'PY1 Data(H)'!$A$1:$BR$1,_xlfn.XLOOKUP($A40,'PY1 Data(H)'!$A$1:$A$135,'PY1 Data(H)'!$A$1:$BR$135))</f>
        <v>0</v>
      </c>
      <c r="G40" s="119" cm="1">
        <f t="array" ref="G40">_xlfn.XLOOKUP(G$1,'PY1 Data(H)'!$A$1:$BR$1,_xlfn.XLOOKUP($A40,'PY1 Data(H)'!$A$1:$A$135,'PY1 Data(H)'!$A$1:$BR$135))</f>
        <v>0</v>
      </c>
      <c r="H40" s="119" cm="1">
        <f t="array" ref="H40">_xlfn.XLOOKUP(H$1,'PY1 Data(H)'!$A$1:$BR$1,_xlfn.XLOOKUP($A40,'PY1 Data(H)'!$A$1:$A$135,'PY1 Data(H)'!$A$1:$BR$135))</f>
        <v>0</v>
      </c>
      <c r="I40" s="119" cm="1">
        <f t="array" ref="I40">_xlfn.XLOOKUP(I$1,'PY1 Data(H)'!$A$1:$BR$1,_xlfn.XLOOKUP($A40,'PY1 Data(H)'!$A$1:$A$135,'PY1 Data(H)'!$A$1:$BR$135))</f>
        <v>0</v>
      </c>
      <c r="J40" s="119" cm="1">
        <f t="array" ref="J40">_xlfn.XLOOKUP(J$1,'PY1 Data(H)'!$A$1:$BR$1,_xlfn.XLOOKUP($A40,'PY1 Data(H)'!$A$1:$A$135,'PY1 Data(H)'!$A$1:$BR$135))</f>
        <v>0</v>
      </c>
      <c r="K40" s="119" cm="1">
        <f t="array" ref="K40">_xlfn.XLOOKUP(K$1,'PY1 Data(H)'!$A$1:$BR$1,_xlfn.XLOOKUP($A40,'PY1 Data(H)'!$A$1:$A$135,'PY1 Data(H)'!$A$1:$BR$135))</f>
        <v>0</v>
      </c>
      <c r="L40" s="119" cm="1">
        <f t="array" ref="L40">_xlfn.XLOOKUP(L$1,'PY1 Data(H)'!$A$1:$BR$1,_xlfn.XLOOKUP($A40,'PY1 Data(H)'!$A$1:$A$135,'PY1 Data(H)'!$A$1:$BR$135))</f>
        <v>0</v>
      </c>
      <c r="M40" s="119" cm="1">
        <f t="array" ref="M40">_xlfn.XLOOKUP(M$1,'PY1 Data(H)'!$A$1:$BR$1,_xlfn.XLOOKUP($A40,'PY1 Data(H)'!$A$1:$A$135,'PY1 Data(H)'!$A$1:$BR$135))</f>
        <v>0</v>
      </c>
      <c r="N40" s="119" cm="1">
        <f t="array" ref="N40">_xlfn.XLOOKUP(N$1,'PY1 Data(H)'!$A$1:$BR$1,_xlfn.XLOOKUP($A40,'PY1 Data(H)'!$A$1:$A$135,'PY1 Data(H)'!$A$1:$BR$135))</f>
        <v>0</v>
      </c>
      <c r="O40" s="119" t="e" cm="1">
        <f t="array" ref="O40">_xlfn.XLOOKUP(O$1,'PY1 Data(H)'!$A$1:$BR$1,_xlfn.XLOOKUP($A40,'PY1 Data(H)'!$A$1:$A$135,'PY1 Data(H)'!$A$1:$BR$135))</f>
        <v>#N/A</v>
      </c>
      <c r="P40" s="119" cm="1">
        <f t="array" ref="P40">_xlfn.XLOOKUP(P$1,'PY1 Data(H)'!$A$1:$BR$1,_xlfn.XLOOKUP($A40,'PY1 Data(H)'!$A$1:$A$135,'PY1 Data(H)'!$A$1:$BR$135))</f>
        <v>0</v>
      </c>
      <c r="Q40" s="119" cm="1">
        <f t="array" ref="Q40">_xlfn.XLOOKUP(Q$1,'PY1 Data(H)'!$A$1:$BR$1,_xlfn.XLOOKUP($A40,'PY1 Data(H)'!$A$1:$A$135,'PY1 Data(H)'!$A$1:$BR$135))</f>
        <v>0</v>
      </c>
      <c r="R40" s="119" cm="1">
        <f t="array" ref="R40">_xlfn.XLOOKUP(R$1,'PY1 Data(H)'!$A$1:$BR$1,_xlfn.XLOOKUP($A40,'PY1 Data(H)'!$A$1:$A$135,'PY1 Data(H)'!$A$1:$BR$135))</f>
        <v>0</v>
      </c>
      <c r="S40" s="119" cm="1">
        <f t="array" ref="S40">_xlfn.XLOOKUP(S$1,'PY1 Data(H)'!$A$1:$BR$1,_xlfn.XLOOKUP($A40,'PY1 Data(H)'!$A$1:$A$135,'PY1 Data(H)'!$A$1:$BR$135))</f>
        <v>0</v>
      </c>
    </row>
    <row r="41" spans="1:19" x14ac:dyDescent="0.3">
      <c r="A41">
        <v>379</v>
      </c>
      <c r="D41" s="119" cm="1">
        <f t="array" ref="D41">_xlfn.XLOOKUP(D$1,'PY1 Data(H)'!$A$1:$BR$1,_xlfn.XLOOKUP($A41,'PY1 Data(H)'!$A$1:$A$135,'PY1 Data(H)'!$A$1:$BR$135))</f>
        <v>1172876</v>
      </c>
      <c r="E41" s="119" cm="1">
        <f t="array" ref="E41">_xlfn.XLOOKUP(E$1,'PY1 Data(H)'!$A$1:$BR$1,_xlfn.XLOOKUP($A41,'PY1 Data(H)'!$A$1:$A$135,'PY1 Data(H)'!$A$1:$BR$135))</f>
        <v>1410977</v>
      </c>
      <c r="F41" s="119" cm="1">
        <f t="array" ref="F41">_xlfn.XLOOKUP(F$1,'PY1 Data(H)'!$A$1:$BR$1,_xlfn.XLOOKUP($A41,'PY1 Data(H)'!$A$1:$A$135,'PY1 Data(H)'!$A$1:$BR$135))</f>
        <v>3237546</v>
      </c>
      <c r="G41" s="119" cm="1">
        <f t="array" ref="G41">_xlfn.XLOOKUP(G$1,'PY1 Data(H)'!$A$1:$BR$1,_xlfn.XLOOKUP($A41,'PY1 Data(H)'!$A$1:$A$135,'PY1 Data(H)'!$A$1:$BR$135))</f>
        <v>2726416</v>
      </c>
      <c r="H41" s="119" cm="1">
        <f t="array" ref="H41">_xlfn.XLOOKUP(H$1,'PY1 Data(H)'!$A$1:$BR$1,_xlfn.XLOOKUP($A41,'PY1 Data(H)'!$A$1:$A$135,'PY1 Data(H)'!$A$1:$BR$135))</f>
        <v>1487341</v>
      </c>
      <c r="I41" s="119" cm="1">
        <f t="array" ref="I41">_xlfn.XLOOKUP(I$1,'PY1 Data(H)'!$A$1:$BR$1,_xlfn.XLOOKUP($A41,'PY1 Data(H)'!$A$1:$A$135,'PY1 Data(H)'!$A$1:$BR$135))</f>
        <v>1133687</v>
      </c>
      <c r="J41" s="119" cm="1">
        <f t="array" ref="J41">_xlfn.XLOOKUP(J$1,'PY1 Data(H)'!$A$1:$BR$1,_xlfn.XLOOKUP($A41,'PY1 Data(H)'!$A$1:$A$135,'PY1 Data(H)'!$A$1:$BR$135))</f>
        <v>8536689</v>
      </c>
      <c r="K41" s="119" cm="1">
        <f t="array" ref="K41">_xlfn.XLOOKUP(K$1,'PY1 Data(H)'!$A$1:$BR$1,_xlfn.XLOOKUP($A41,'PY1 Data(H)'!$A$1:$A$135,'PY1 Data(H)'!$A$1:$BR$135))</f>
        <v>1818609</v>
      </c>
      <c r="L41" s="119" cm="1">
        <f t="array" ref="L41">_xlfn.XLOOKUP(L$1,'PY1 Data(H)'!$A$1:$BR$1,_xlfn.XLOOKUP($A41,'PY1 Data(H)'!$A$1:$A$135,'PY1 Data(H)'!$A$1:$BR$135))</f>
        <v>1481394</v>
      </c>
      <c r="M41" s="119" cm="1">
        <f t="array" ref="M41">_xlfn.XLOOKUP(M$1,'PY1 Data(H)'!$A$1:$BR$1,_xlfn.XLOOKUP($A41,'PY1 Data(H)'!$A$1:$A$135,'PY1 Data(H)'!$A$1:$BR$135))</f>
        <v>393182</v>
      </c>
      <c r="N41" s="119" cm="1">
        <f t="array" ref="N41">_xlfn.XLOOKUP(N$1,'PY1 Data(H)'!$A$1:$BR$1,_xlfn.XLOOKUP($A41,'PY1 Data(H)'!$A$1:$A$135,'PY1 Data(H)'!$A$1:$BR$135))</f>
        <v>0</v>
      </c>
      <c r="O41" s="119" t="e" cm="1">
        <f t="array" ref="O41">_xlfn.XLOOKUP(O$1,'PY1 Data(H)'!$A$1:$BR$1,_xlfn.XLOOKUP($A41,'PY1 Data(H)'!$A$1:$A$135,'PY1 Data(H)'!$A$1:$BR$135))</f>
        <v>#N/A</v>
      </c>
      <c r="P41" s="119" cm="1">
        <f t="array" ref="P41">_xlfn.XLOOKUP(P$1,'PY1 Data(H)'!$A$1:$BR$1,_xlfn.XLOOKUP($A41,'PY1 Data(H)'!$A$1:$A$135,'PY1 Data(H)'!$A$1:$BR$135))</f>
        <v>2744017</v>
      </c>
      <c r="Q41" s="119" cm="1">
        <f t="array" ref="Q41">_xlfn.XLOOKUP(Q$1,'PY1 Data(H)'!$A$1:$BR$1,_xlfn.XLOOKUP($A41,'PY1 Data(H)'!$A$1:$A$135,'PY1 Data(H)'!$A$1:$BR$135))</f>
        <v>13415075</v>
      </c>
      <c r="R41" s="119" cm="1">
        <f t="array" ref="R41">_xlfn.XLOOKUP(R$1,'PY1 Data(H)'!$A$1:$BR$1,_xlfn.XLOOKUP($A41,'PY1 Data(H)'!$A$1:$A$135,'PY1 Data(H)'!$A$1:$BR$135))</f>
        <v>871826</v>
      </c>
      <c r="S41" s="119" cm="1">
        <f t="array" ref="S41">_xlfn.XLOOKUP(S$1,'PY1 Data(H)'!$A$1:$BR$1,_xlfn.XLOOKUP($A41,'PY1 Data(H)'!$A$1:$A$135,'PY1 Data(H)'!$A$1:$BR$135))</f>
        <v>2498600</v>
      </c>
    </row>
    <row r="42" spans="1:19" x14ac:dyDescent="0.3">
      <c r="A42">
        <v>4</v>
      </c>
      <c r="D42" s="119" cm="1">
        <f t="array" ref="D42">_xlfn.XLOOKUP(D$1,'PY1 Data(H)'!$A$1:$BR$1,_xlfn.XLOOKUP($A42,'PY1 Data(H)'!$A$1:$A$135,'PY1 Data(H)'!$A$1:$BR$135))</f>
        <v>54144</v>
      </c>
      <c r="E42" s="119" cm="1">
        <f t="array" ref="E42">_xlfn.XLOOKUP(E$1,'PY1 Data(H)'!$A$1:$BR$1,_xlfn.XLOOKUP($A42,'PY1 Data(H)'!$A$1:$A$135,'PY1 Data(H)'!$A$1:$BR$135))</f>
        <v>674253</v>
      </c>
      <c r="F42" s="119" cm="1">
        <f t="array" ref="F42">_xlfn.XLOOKUP(F$1,'PY1 Data(H)'!$A$1:$BR$1,_xlfn.XLOOKUP($A42,'PY1 Data(H)'!$A$1:$A$135,'PY1 Data(H)'!$A$1:$BR$135))</f>
        <v>1939366</v>
      </c>
      <c r="G42" s="119" cm="1">
        <f t="array" ref="G42">_xlfn.XLOOKUP(G$1,'PY1 Data(H)'!$A$1:$BR$1,_xlfn.XLOOKUP($A42,'PY1 Data(H)'!$A$1:$A$135,'PY1 Data(H)'!$A$1:$BR$135))</f>
        <v>970138</v>
      </c>
      <c r="H42" s="119" cm="1">
        <f t="array" ref="H42">_xlfn.XLOOKUP(H$1,'PY1 Data(H)'!$A$1:$BR$1,_xlfn.XLOOKUP($A42,'PY1 Data(H)'!$A$1:$A$135,'PY1 Data(H)'!$A$1:$BR$135))</f>
        <v>38689</v>
      </c>
      <c r="I42" s="119" cm="1">
        <f t="array" ref="I42">_xlfn.XLOOKUP(I$1,'PY1 Data(H)'!$A$1:$BR$1,_xlfn.XLOOKUP($A42,'PY1 Data(H)'!$A$1:$A$135,'PY1 Data(H)'!$A$1:$BR$135))</f>
        <v>400496</v>
      </c>
      <c r="J42" s="119" cm="1">
        <f t="array" ref="J42">_xlfn.XLOOKUP(J$1,'PY1 Data(H)'!$A$1:$BR$1,_xlfn.XLOOKUP($A42,'PY1 Data(H)'!$A$1:$A$135,'PY1 Data(H)'!$A$1:$BR$135))</f>
        <v>3610440</v>
      </c>
      <c r="K42" s="119" cm="1">
        <f t="array" ref="K42">_xlfn.XLOOKUP(K$1,'PY1 Data(H)'!$A$1:$BR$1,_xlfn.XLOOKUP($A42,'PY1 Data(H)'!$A$1:$A$135,'PY1 Data(H)'!$A$1:$BR$135))</f>
        <v>1069040</v>
      </c>
      <c r="L42" s="119" cm="1">
        <f t="array" ref="L42">_xlfn.XLOOKUP(L$1,'PY1 Data(H)'!$A$1:$BR$1,_xlfn.XLOOKUP($A42,'PY1 Data(H)'!$A$1:$A$135,'PY1 Data(H)'!$A$1:$BR$135))</f>
        <v>814218</v>
      </c>
      <c r="M42" s="119" cm="1">
        <f t="array" ref="M42">_xlfn.XLOOKUP(M$1,'PY1 Data(H)'!$A$1:$BR$1,_xlfn.XLOOKUP($A42,'PY1 Data(H)'!$A$1:$A$135,'PY1 Data(H)'!$A$1:$BR$135))</f>
        <v>1053</v>
      </c>
      <c r="N42" s="119" cm="1">
        <f t="array" ref="N42">_xlfn.XLOOKUP(N$1,'PY1 Data(H)'!$A$1:$BR$1,_xlfn.XLOOKUP($A42,'PY1 Data(H)'!$A$1:$A$135,'PY1 Data(H)'!$A$1:$BR$135))</f>
        <v>0</v>
      </c>
      <c r="O42" s="119" t="e" cm="1">
        <f t="array" ref="O42">_xlfn.XLOOKUP(O$1,'PY1 Data(H)'!$A$1:$BR$1,_xlfn.XLOOKUP($A42,'PY1 Data(H)'!$A$1:$A$135,'PY1 Data(H)'!$A$1:$BR$135))</f>
        <v>#N/A</v>
      </c>
      <c r="P42" s="119" cm="1">
        <f t="array" ref="P42">_xlfn.XLOOKUP(P$1,'PY1 Data(H)'!$A$1:$BR$1,_xlfn.XLOOKUP($A42,'PY1 Data(H)'!$A$1:$A$135,'PY1 Data(H)'!$A$1:$BR$135))</f>
        <v>2452072</v>
      </c>
      <c r="Q42" s="119" cm="1">
        <f t="array" ref="Q42">_xlfn.XLOOKUP(Q$1,'PY1 Data(H)'!$A$1:$BR$1,_xlfn.XLOOKUP($A42,'PY1 Data(H)'!$A$1:$A$135,'PY1 Data(H)'!$A$1:$BR$135))</f>
        <v>11015676</v>
      </c>
      <c r="R42" s="119" cm="1">
        <f t="array" ref="R42">_xlfn.XLOOKUP(R$1,'PY1 Data(H)'!$A$1:$BR$1,_xlfn.XLOOKUP($A42,'PY1 Data(H)'!$A$1:$A$135,'PY1 Data(H)'!$A$1:$BR$135))</f>
        <v>506583</v>
      </c>
      <c r="S42" s="119" cm="1">
        <f t="array" ref="S42">_xlfn.XLOOKUP(S$1,'PY1 Data(H)'!$A$1:$BR$1,_xlfn.XLOOKUP($A42,'PY1 Data(H)'!$A$1:$A$135,'PY1 Data(H)'!$A$1:$BR$135))</f>
        <v>317485</v>
      </c>
    </row>
    <row r="43" spans="1:19" x14ac:dyDescent="0.3">
      <c r="A43">
        <v>5</v>
      </c>
      <c r="D43" s="119" cm="1">
        <f t="array" ref="D43">_xlfn.XLOOKUP(D$1,'PY1 Data(H)'!$A$1:$BR$1,_xlfn.XLOOKUP($A43,'PY1 Data(H)'!$A$1:$A$135,'PY1 Data(H)'!$A$1:$BR$135))</f>
        <v>0</v>
      </c>
      <c r="E43" s="119" cm="1">
        <f t="array" ref="E43">_xlfn.XLOOKUP(E$1,'PY1 Data(H)'!$A$1:$BR$1,_xlfn.XLOOKUP($A43,'PY1 Data(H)'!$A$1:$A$135,'PY1 Data(H)'!$A$1:$BR$135))</f>
        <v>1639</v>
      </c>
      <c r="F43" s="119" cm="1">
        <f t="array" ref="F43">_xlfn.XLOOKUP(F$1,'PY1 Data(H)'!$A$1:$BR$1,_xlfn.XLOOKUP($A43,'PY1 Data(H)'!$A$1:$A$135,'PY1 Data(H)'!$A$1:$BR$135))</f>
        <v>0</v>
      </c>
      <c r="G43" s="119" cm="1">
        <f t="array" ref="G43">_xlfn.XLOOKUP(G$1,'PY1 Data(H)'!$A$1:$BR$1,_xlfn.XLOOKUP($A43,'PY1 Data(H)'!$A$1:$A$135,'PY1 Data(H)'!$A$1:$BR$135))</f>
        <v>0</v>
      </c>
      <c r="H43" s="119" cm="1">
        <f t="array" ref="H43">_xlfn.XLOOKUP(H$1,'PY1 Data(H)'!$A$1:$BR$1,_xlfn.XLOOKUP($A43,'PY1 Data(H)'!$A$1:$A$135,'PY1 Data(H)'!$A$1:$BR$135))</f>
        <v>2000</v>
      </c>
      <c r="I43" s="119" cm="1">
        <f t="array" ref="I43">_xlfn.XLOOKUP(I$1,'PY1 Data(H)'!$A$1:$BR$1,_xlfn.XLOOKUP($A43,'PY1 Data(H)'!$A$1:$A$135,'PY1 Data(H)'!$A$1:$BR$135))</f>
        <v>0</v>
      </c>
      <c r="J43" s="119" cm="1">
        <f t="array" ref="J43">_xlfn.XLOOKUP(J$1,'PY1 Data(H)'!$A$1:$BR$1,_xlfn.XLOOKUP($A43,'PY1 Data(H)'!$A$1:$A$135,'PY1 Data(H)'!$A$1:$BR$135))</f>
        <v>983613</v>
      </c>
      <c r="K43" s="119" cm="1">
        <f t="array" ref="K43">_xlfn.XLOOKUP(K$1,'PY1 Data(H)'!$A$1:$BR$1,_xlfn.XLOOKUP($A43,'PY1 Data(H)'!$A$1:$A$135,'PY1 Data(H)'!$A$1:$BR$135))</f>
        <v>48315</v>
      </c>
      <c r="L43" s="119" cm="1">
        <f t="array" ref="L43">_xlfn.XLOOKUP(L$1,'PY1 Data(H)'!$A$1:$BR$1,_xlfn.XLOOKUP($A43,'PY1 Data(H)'!$A$1:$A$135,'PY1 Data(H)'!$A$1:$BR$135))</f>
        <v>0</v>
      </c>
      <c r="M43" s="119" cm="1">
        <f t="array" ref="M43">_xlfn.XLOOKUP(M$1,'PY1 Data(H)'!$A$1:$BR$1,_xlfn.XLOOKUP($A43,'PY1 Data(H)'!$A$1:$A$135,'PY1 Data(H)'!$A$1:$BR$135))</f>
        <v>0</v>
      </c>
      <c r="N43" s="119" cm="1">
        <f t="array" ref="N43">_xlfn.XLOOKUP(N$1,'PY1 Data(H)'!$A$1:$BR$1,_xlfn.XLOOKUP($A43,'PY1 Data(H)'!$A$1:$A$135,'PY1 Data(H)'!$A$1:$BR$135))</f>
        <v>0</v>
      </c>
      <c r="O43" s="119" t="e" cm="1">
        <f t="array" ref="O43">_xlfn.XLOOKUP(O$1,'PY1 Data(H)'!$A$1:$BR$1,_xlfn.XLOOKUP($A43,'PY1 Data(H)'!$A$1:$A$135,'PY1 Data(H)'!$A$1:$BR$135))</f>
        <v>#N/A</v>
      </c>
      <c r="P43" s="119" cm="1">
        <f t="array" ref="P43">_xlfn.XLOOKUP(P$1,'PY1 Data(H)'!$A$1:$BR$1,_xlfn.XLOOKUP($A43,'PY1 Data(H)'!$A$1:$A$135,'PY1 Data(H)'!$A$1:$BR$135))</f>
        <v>0</v>
      </c>
      <c r="Q43" s="119" cm="1">
        <f t="array" ref="Q43">_xlfn.XLOOKUP(Q$1,'PY1 Data(H)'!$A$1:$BR$1,_xlfn.XLOOKUP($A43,'PY1 Data(H)'!$A$1:$A$135,'PY1 Data(H)'!$A$1:$BR$135))</f>
        <v>29252</v>
      </c>
      <c r="R43" s="119" cm="1">
        <f t="array" ref="R43">_xlfn.XLOOKUP(R$1,'PY1 Data(H)'!$A$1:$BR$1,_xlfn.XLOOKUP($A43,'PY1 Data(H)'!$A$1:$A$135,'PY1 Data(H)'!$A$1:$BR$135))</f>
        <v>3047</v>
      </c>
      <c r="S43" s="119" cm="1">
        <f t="array" ref="S43">_xlfn.XLOOKUP(S$1,'PY1 Data(H)'!$A$1:$BR$1,_xlfn.XLOOKUP($A43,'PY1 Data(H)'!$A$1:$A$135,'PY1 Data(H)'!$A$1:$BR$135))</f>
        <v>0</v>
      </c>
    </row>
    <row r="44" spans="1:19" x14ac:dyDescent="0.3">
      <c r="A44">
        <v>380</v>
      </c>
      <c r="D44" s="119" cm="1">
        <f t="array" ref="D44">_xlfn.XLOOKUP(D$1,'PY1 Data(H)'!$A$1:$BR$1,_xlfn.XLOOKUP($A44,'PY1 Data(H)'!$A$1:$A$135,'PY1 Data(H)'!$A$1:$BR$135))</f>
        <v>0</v>
      </c>
      <c r="E44" s="119" cm="1">
        <f t="array" ref="E44">_xlfn.XLOOKUP(E$1,'PY1 Data(H)'!$A$1:$BR$1,_xlfn.XLOOKUP($A44,'PY1 Data(H)'!$A$1:$A$135,'PY1 Data(H)'!$A$1:$BR$135))</f>
        <v>0</v>
      </c>
      <c r="F44" s="119" cm="1">
        <f t="array" ref="F44">_xlfn.XLOOKUP(F$1,'PY1 Data(H)'!$A$1:$BR$1,_xlfn.XLOOKUP($A44,'PY1 Data(H)'!$A$1:$A$135,'PY1 Data(H)'!$A$1:$BR$135))</f>
        <v>0</v>
      </c>
      <c r="G44" s="119" cm="1">
        <f t="array" ref="G44">_xlfn.XLOOKUP(G$1,'PY1 Data(H)'!$A$1:$BR$1,_xlfn.XLOOKUP($A44,'PY1 Data(H)'!$A$1:$A$135,'PY1 Data(H)'!$A$1:$BR$135))</f>
        <v>0</v>
      </c>
      <c r="H44" s="119" cm="1">
        <f t="array" ref="H44">_xlfn.XLOOKUP(H$1,'PY1 Data(H)'!$A$1:$BR$1,_xlfn.XLOOKUP($A44,'PY1 Data(H)'!$A$1:$A$135,'PY1 Data(H)'!$A$1:$BR$135))</f>
        <v>0</v>
      </c>
      <c r="I44" s="119" cm="1">
        <f t="array" ref="I44">_xlfn.XLOOKUP(I$1,'PY1 Data(H)'!$A$1:$BR$1,_xlfn.XLOOKUP($A44,'PY1 Data(H)'!$A$1:$A$135,'PY1 Data(H)'!$A$1:$BR$135))</f>
        <v>0</v>
      </c>
      <c r="J44" s="119" cm="1">
        <f t="array" ref="J44">_xlfn.XLOOKUP(J$1,'PY1 Data(H)'!$A$1:$BR$1,_xlfn.XLOOKUP($A44,'PY1 Data(H)'!$A$1:$A$135,'PY1 Data(H)'!$A$1:$BR$135))</f>
        <v>0</v>
      </c>
      <c r="K44" s="119" cm="1">
        <f t="array" ref="K44">_xlfn.XLOOKUP(K$1,'PY1 Data(H)'!$A$1:$BR$1,_xlfn.XLOOKUP($A44,'PY1 Data(H)'!$A$1:$A$135,'PY1 Data(H)'!$A$1:$BR$135))</f>
        <v>0</v>
      </c>
      <c r="L44" s="119" cm="1">
        <f t="array" ref="L44">_xlfn.XLOOKUP(L$1,'PY1 Data(H)'!$A$1:$BR$1,_xlfn.XLOOKUP($A44,'PY1 Data(H)'!$A$1:$A$135,'PY1 Data(H)'!$A$1:$BR$135))</f>
        <v>0</v>
      </c>
      <c r="M44" s="119" cm="1">
        <f t="array" ref="M44">_xlfn.XLOOKUP(M$1,'PY1 Data(H)'!$A$1:$BR$1,_xlfn.XLOOKUP($A44,'PY1 Data(H)'!$A$1:$A$135,'PY1 Data(H)'!$A$1:$BR$135))</f>
        <v>0</v>
      </c>
      <c r="N44" s="119" cm="1">
        <f t="array" ref="N44">_xlfn.XLOOKUP(N$1,'PY1 Data(H)'!$A$1:$BR$1,_xlfn.XLOOKUP($A44,'PY1 Data(H)'!$A$1:$A$135,'PY1 Data(H)'!$A$1:$BR$135))</f>
        <v>0</v>
      </c>
      <c r="O44" s="119" t="e" cm="1">
        <f t="array" ref="O44">_xlfn.XLOOKUP(O$1,'PY1 Data(H)'!$A$1:$BR$1,_xlfn.XLOOKUP($A44,'PY1 Data(H)'!$A$1:$A$135,'PY1 Data(H)'!$A$1:$BR$135))</f>
        <v>#N/A</v>
      </c>
      <c r="P44" s="119" cm="1">
        <f t="array" ref="P44">_xlfn.XLOOKUP(P$1,'PY1 Data(H)'!$A$1:$BR$1,_xlfn.XLOOKUP($A44,'PY1 Data(H)'!$A$1:$A$135,'PY1 Data(H)'!$A$1:$BR$135))</f>
        <v>0</v>
      </c>
      <c r="Q44" s="119" cm="1">
        <f t="array" ref="Q44">_xlfn.XLOOKUP(Q$1,'PY1 Data(H)'!$A$1:$BR$1,_xlfn.XLOOKUP($A44,'PY1 Data(H)'!$A$1:$A$135,'PY1 Data(H)'!$A$1:$BR$135))</f>
        <v>0</v>
      </c>
      <c r="R44" s="119" cm="1">
        <f t="array" ref="R44">_xlfn.XLOOKUP(R$1,'PY1 Data(H)'!$A$1:$BR$1,_xlfn.XLOOKUP($A44,'PY1 Data(H)'!$A$1:$A$135,'PY1 Data(H)'!$A$1:$BR$135))</f>
        <v>0</v>
      </c>
      <c r="S44" s="119" cm="1">
        <f t="array" ref="S44">_xlfn.XLOOKUP(S$1,'PY1 Data(H)'!$A$1:$BR$1,_xlfn.XLOOKUP($A44,'PY1 Data(H)'!$A$1:$A$135,'PY1 Data(H)'!$A$1:$BR$135))</f>
        <v>0</v>
      </c>
    </row>
    <row r="45" spans="1:19" x14ac:dyDescent="0.3">
      <c r="A45">
        <v>391</v>
      </c>
      <c r="D45" s="119" cm="1">
        <f t="array" ref="D45">_xlfn.XLOOKUP(D$1,'PY1 Data(H)'!$A$1:$BR$1,_xlfn.XLOOKUP($A45,'PY1 Data(H)'!$A$1:$A$135,'PY1 Data(H)'!$A$1:$BR$135))</f>
        <v>52061</v>
      </c>
      <c r="E45" s="119" cm="1">
        <f t="array" ref="E45">_xlfn.XLOOKUP(E$1,'PY1 Data(H)'!$A$1:$BR$1,_xlfn.XLOOKUP($A45,'PY1 Data(H)'!$A$1:$A$135,'PY1 Data(H)'!$A$1:$BR$135))</f>
        <v>32707</v>
      </c>
      <c r="F45" s="119" cm="1">
        <f t="array" ref="F45">_xlfn.XLOOKUP(F$1,'PY1 Data(H)'!$A$1:$BR$1,_xlfn.XLOOKUP($A45,'PY1 Data(H)'!$A$1:$A$135,'PY1 Data(H)'!$A$1:$BR$135))</f>
        <v>688475</v>
      </c>
      <c r="G45" s="119" cm="1">
        <f t="array" ref="G45">_xlfn.XLOOKUP(G$1,'PY1 Data(H)'!$A$1:$BR$1,_xlfn.XLOOKUP($A45,'PY1 Data(H)'!$A$1:$A$135,'PY1 Data(H)'!$A$1:$BR$135))</f>
        <v>1344091</v>
      </c>
      <c r="H45" s="119" cm="1">
        <f t="array" ref="H45">_xlfn.XLOOKUP(H$1,'PY1 Data(H)'!$A$1:$BR$1,_xlfn.XLOOKUP($A45,'PY1 Data(H)'!$A$1:$A$135,'PY1 Data(H)'!$A$1:$BR$135))</f>
        <v>71514</v>
      </c>
      <c r="I45" s="119" cm="1">
        <f t="array" ref="I45">_xlfn.XLOOKUP(I$1,'PY1 Data(H)'!$A$1:$BR$1,_xlfn.XLOOKUP($A45,'PY1 Data(H)'!$A$1:$A$135,'PY1 Data(H)'!$A$1:$BR$135))</f>
        <v>678278</v>
      </c>
      <c r="J45" s="119" cm="1">
        <f t="array" ref="J45">_xlfn.XLOOKUP(J$1,'PY1 Data(H)'!$A$1:$BR$1,_xlfn.XLOOKUP($A45,'PY1 Data(H)'!$A$1:$A$135,'PY1 Data(H)'!$A$1:$BR$135))</f>
        <v>1828349</v>
      </c>
      <c r="K45" s="119" cm="1">
        <f t="array" ref="K45">_xlfn.XLOOKUP(K$1,'PY1 Data(H)'!$A$1:$BR$1,_xlfn.XLOOKUP($A45,'PY1 Data(H)'!$A$1:$A$135,'PY1 Data(H)'!$A$1:$BR$135))</f>
        <v>1494292</v>
      </c>
      <c r="L45" s="119" cm="1">
        <f t="array" ref="L45">_xlfn.XLOOKUP(L$1,'PY1 Data(H)'!$A$1:$BR$1,_xlfn.XLOOKUP($A45,'PY1 Data(H)'!$A$1:$A$135,'PY1 Data(H)'!$A$1:$BR$135))</f>
        <v>1173435</v>
      </c>
      <c r="M45" s="119" cm="1">
        <f t="array" ref="M45">_xlfn.XLOOKUP(M$1,'PY1 Data(H)'!$A$1:$BR$1,_xlfn.XLOOKUP($A45,'PY1 Data(H)'!$A$1:$A$135,'PY1 Data(H)'!$A$1:$BR$135))</f>
        <v>393182</v>
      </c>
      <c r="N45" s="119" cm="1">
        <f t="array" ref="N45">_xlfn.XLOOKUP(N$1,'PY1 Data(H)'!$A$1:$BR$1,_xlfn.XLOOKUP($A45,'PY1 Data(H)'!$A$1:$A$135,'PY1 Data(H)'!$A$1:$BR$135))</f>
        <v>0</v>
      </c>
      <c r="O45" s="119" t="e" cm="1">
        <f t="array" ref="O45">_xlfn.XLOOKUP(O$1,'PY1 Data(H)'!$A$1:$BR$1,_xlfn.XLOOKUP($A45,'PY1 Data(H)'!$A$1:$A$135,'PY1 Data(H)'!$A$1:$BR$135))</f>
        <v>#N/A</v>
      </c>
      <c r="P45" s="119" cm="1">
        <f t="array" ref="P45">_xlfn.XLOOKUP(P$1,'PY1 Data(H)'!$A$1:$BR$1,_xlfn.XLOOKUP($A45,'PY1 Data(H)'!$A$1:$A$135,'PY1 Data(H)'!$A$1:$BR$135))</f>
        <v>914414</v>
      </c>
      <c r="Q45" s="119" cm="1">
        <f t="array" ref="Q45">_xlfn.XLOOKUP(Q$1,'PY1 Data(H)'!$A$1:$BR$1,_xlfn.XLOOKUP($A45,'PY1 Data(H)'!$A$1:$A$135,'PY1 Data(H)'!$A$1:$BR$135))</f>
        <v>3393934</v>
      </c>
      <c r="R45" s="119" cm="1">
        <f t="array" ref="R45">_xlfn.XLOOKUP(R$1,'PY1 Data(H)'!$A$1:$BR$1,_xlfn.XLOOKUP($A45,'PY1 Data(H)'!$A$1:$A$135,'PY1 Data(H)'!$A$1:$BR$135))</f>
        <v>13164</v>
      </c>
      <c r="S45" s="119" cm="1">
        <f t="array" ref="S45">_xlfn.XLOOKUP(S$1,'PY1 Data(H)'!$A$1:$BR$1,_xlfn.XLOOKUP($A45,'PY1 Data(H)'!$A$1:$A$135,'PY1 Data(H)'!$A$1:$BR$135))</f>
        <v>1275219</v>
      </c>
    </row>
    <row r="46" spans="1:19" x14ac:dyDescent="0.3">
      <c r="A46">
        <v>7</v>
      </c>
      <c r="D46" s="119" cm="1">
        <f t="array" ref="D46">_xlfn.XLOOKUP(D$1,'PY1 Data(H)'!$A$1:$BR$1,_xlfn.XLOOKUP($A46,'PY1 Data(H)'!$A$1:$A$135,'PY1 Data(H)'!$A$1:$BR$135))</f>
        <v>0</v>
      </c>
      <c r="E46" s="119" cm="1">
        <f t="array" ref="E46">_xlfn.XLOOKUP(E$1,'PY1 Data(H)'!$A$1:$BR$1,_xlfn.XLOOKUP($A46,'PY1 Data(H)'!$A$1:$A$135,'PY1 Data(H)'!$A$1:$BR$135))</f>
        <v>13192</v>
      </c>
      <c r="F46" s="119" cm="1">
        <f t="array" ref="F46">_xlfn.XLOOKUP(F$1,'PY1 Data(H)'!$A$1:$BR$1,_xlfn.XLOOKUP($A46,'PY1 Data(H)'!$A$1:$A$135,'PY1 Data(H)'!$A$1:$BR$135))</f>
        <v>86567</v>
      </c>
      <c r="G46" s="119" cm="1">
        <f t="array" ref="G46">_xlfn.XLOOKUP(G$1,'PY1 Data(H)'!$A$1:$BR$1,_xlfn.XLOOKUP($A46,'PY1 Data(H)'!$A$1:$A$135,'PY1 Data(H)'!$A$1:$BR$135))</f>
        <v>53404</v>
      </c>
      <c r="H46" s="119" cm="1">
        <f t="array" ref="H46">_xlfn.XLOOKUP(H$1,'PY1 Data(H)'!$A$1:$BR$1,_xlfn.XLOOKUP($A46,'PY1 Data(H)'!$A$1:$A$135,'PY1 Data(H)'!$A$1:$BR$135))</f>
        <v>0</v>
      </c>
      <c r="I46" s="119" cm="1">
        <f t="array" ref="I46">_xlfn.XLOOKUP(I$1,'PY1 Data(H)'!$A$1:$BR$1,_xlfn.XLOOKUP($A46,'PY1 Data(H)'!$A$1:$A$135,'PY1 Data(H)'!$A$1:$BR$135))</f>
        <v>833</v>
      </c>
      <c r="J46" s="119" cm="1">
        <f t="array" ref="J46">_xlfn.XLOOKUP(J$1,'PY1 Data(H)'!$A$1:$BR$1,_xlfn.XLOOKUP($A46,'PY1 Data(H)'!$A$1:$A$135,'PY1 Data(H)'!$A$1:$BR$135))</f>
        <v>0</v>
      </c>
      <c r="K46" s="119" cm="1">
        <f t="array" ref="K46">_xlfn.XLOOKUP(K$1,'PY1 Data(H)'!$A$1:$BR$1,_xlfn.XLOOKUP($A46,'PY1 Data(H)'!$A$1:$A$135,'PY1 Data(H)'!$A$1:$BR$135))</f>
        <v>54021</v>
      </c>
      <c r="L46" s="119" cm="1">
        <f t="array" ref="L46">_xlfn.XLOOKUP(L$1,'PY1 Data(H)'!$A$1:$BR$1,_xlfn.XLOOKUP($A46,'PY1 Data(H)'!$A$1:$A$135,'PY1 Data(H)'!$A$1:$BR$135))</f>
        <v>0</v>
      </c>
      <c r="M46" s="119" cm="1">
        <f t="array" ref="M46">_xlfn.XLOOKUP(M$1,'PY1 Data(H)'!$A$1:$BR$1,_xlfn.XLOOKUP($A46,'PY1 Data(H)'!$A$1:$A$135,'PY1 Data(H)'!$A$1:$BR$135))</f>
        <v>0</v>
      </c>
      <c r="N46" s="119" cm="1">
        <f t="array" ref="N46">_xlfn.XLOOKUP(N$1,'PY1 Data(H)'!$A$1:$BR$1,_xlfn.XLOOKUP($A46,'PY1 Data(H)'!$A$1:$A$135,'PY1 Data(H)'!$A$1:$BR$135))</f>
        <v>0</v>
      </c>
      <c r="O46" s="119" t="e" cm="1">
        <f t="array" ref="O46">_xlfn.XLOOKUP(O$1,'PY1 Data(H)'!$A$1:$BR$1,_xlfn.XLOOKUP($A46,'PY1 Data(H)'!$A$1:$A$135,'PY1 Data(H)'!$A$1:$BR$135))</f>
        <v>#N/A</v>
      </c>
      <c r="P46" s="119" cm="1">
        <f t="array" ref="P46">_xlfn.XLOOKUP(P$1,'PY1 Data(H)'!$A$1:$BR$1,_xlfn.XLOOKUP($A46,'PY1 Data(H)'!$A$1:$A$135,'PY1 Data(H)'!$A$1:$BR$135))</f>
        <v>0</v>
      </c>
      <c r="Q46" s="119" cm="1">
        <f t="array" ref="Q46">_xlfn.XLOOKUP(Q$1,'PY1 Data(H)'!$A$1:$BR$1,_xlfn.XLOOKUP($A46,'PY1 Data(H)'!$A$1:$A$135,'PY1 Data(H)'!$A$1:$BR$135))</f>
        <v>1044</v>
      </c>
      <c r="R46" s="119" cm="1">
        <f t="array" ref="R46">_xlfn.XLOOKUP(R$1,'PY1 Data(H)'!$A$1:$BR$1,_xlfn.XLOOKUP($A46,'PY1 Data(H)'!$A$1:$A$135,'PY1 Data(H)'!$A$1:$BR$135))</f>
        <v>19617</v>
      </c>
      <c r="S46" s="119" cm="1">
        <f t="array" ref="S46">_xlfn.XLOOKUP(S$1,'PY1 Data(H)'!$A$1:$BR$1,_xlfn.XLOOKUP($A46,'PY1 Data(H)'!$A$1:$A$135,'PY1 Data(H)'!$A$1:$BR$135))</f>
        <v>37821</v>
      </c>
    </row>
    <row r="47" spans="1:19" x14ac:dyDescent="0.3">
      <c r="A47">
        <v>645</v>
      </c>
      <c r="D47" s="119" cm="1">
        <f t="array" ref="D47">_xlfn.XLOOKUP(D$1,'PY1 Data(H)'!$A$1:$BR$1,_xlfn.XLOOKUP($A47,'PY1 Data(H)'!$A$1:$A$135,'PY1 Data(H)'!$A$1:$BR$135))</f>
        <v>59457</v>
      </c>
      <c r="E47" s="119" cm="1">
        <f t="array" ref="E47">_xlfn.XLOOKUP(E$1,'PY1 Data(H)'!$A$1:$BR$1,_xlfn.XLOOKUP($A47,'PY1 Data(H)'!$A$1:$A$135,'PY1 Data(H)'!$A$1:$BR$135))</f>
        <v>0</v>
      </c>
      <c r="F47" s="119" cm="1">
        <f t="array" ref="F47">_xlfn.XLOOKUP(F$1,'PY1 Data(H)'!$A$1:$BR$1,_xlfn.XLOOKUP($A47,'PY1 Data(H)'!$A$1:$A$135,'PY1 Data(H)'!$A$1:$BR$135))</f>
        <v>0</v>
      </c>
      <c r="G47" s="119" cm="1">
        <f t="array" ref="G47">_xlfn.XLOOKUP(G$1,'PY1 Data(H)'!$A$1:$BR$1,_xlfn.XLOOKUP($A47,'PY1 Data(H)'!$A$1:$A$135,'PY1 Data(H)'!$A$1:$BR$135))</f>
        <v>127000</v>
      </c>
      <c r="H47" s="119" cm="1">
        <f t="array" ref="H47">_xlfn.XLOOKUP(H$1,'PY1 Data(H)'!$A$1:$BR$1,_xlfn.XLOOKUP($A47,'PY1 Data(H)'!$A$1:$A$135,'PY1 Data(H)'!$A$1:$BR$135))</f>
        <v>75000</v>
      </c>
      <c r="I47" s="119" cm="1">
        <f t="array" ref="I47">_xlfn.XLOOKUP(I$1,'PY1 Data(H)'!$A$1:$BR$1,_xlfn.XLOOKUP($A47,'PY1 Data(H)'!$A$1:$A$135,'PY1 Data(H)'!$A$1:$BR$135))</f>
        <v>0</v>
      </c>
      <c r="J47" s="119" cm="1">
        <f t="array" ref="J47">_xlfn.XLOOKUP(J$1,'PY1 Data(H)'!$A$1:$BR$1,_xlfn.XLOOKUP($A47,'PY1 Data(H)'!$A$1:$A$135,'PY1 Data(H)'!$A$1:$BR$135))</f>
        <v>21182</v>
      </c>
      <c r="K47" s="119" cm="1">
        <f t="array" ref="K47">_xlfn.XLOOKUP(K$1,'PY1 Data(H)'!$A$1:$BR$1,_xlfn.XLOOKUP($A47,'PY1 Data(H)'!$A$1:$A$135,'PY1 Data(H)'!$A$1:$BR$135))</f>
        <v>0</v>
      </c>
      <c r="L47" s="119" cm="1">
        <f t="array" ref="L47">_xlfn.XLOOKUP(L$1,'PY1 Data(H)'!$A$1:$BR$1,_xlfn.XLOOKUP($A47,'PY1 Data(H)'!$A$1:$A$135,'PY1 Data(H)'!$A$1:$BR$135))</f>
        <v>0</v>
      </c>
      <c r="M47" s="119" cm="1">
        <f t="array" ref="M47">_xlfn.XLOOKUP(M$1,'PY1 Data(H)'!$A$1:$BR$1,_xlfn.XLOOKUP($A47,'PY1 Data(H)'!$A$1:$A$135,'PY1 Data(H)'!$A$1:$BR$135))</f>
        <v>0</v>
      </c>
      <c r="N47" s="119" cm="1">
        <f t="array" ref="N47">_xlfn.XLOOKUP(N$1,'PY1 Data(H)'!$A$1:$BR$1,_xlfn.XLOOKUP($A47,'PY1 Data(H)'!$A$1:$A$135,'PY1 Data(H)'!$A$1:$BR$135))</f>
        <v>0</v>
      </c>
      <c r="O47" s="119" t="e" cm="1">
        <f t="array" ref="O47">_xlfn.XLOOKUP(O$1,'PY1 Data(H)'!$A$1:$BR$1,_xlfn.XLOOKUP($A47,'PY1 Data(H)'!$A$1:$A$135,'PY1 Data(H)'!$A$1:$BR$135))</f>
        <v>#N/A</v>
      </c>
      <c r="P47" s="119" cm="1">
        <f t="array" ref="P47">_xlfn.XLOOKUP(P$1,'PY1 Data(H)'!$A$1:$BR$1,_xlfn.XLOOKUP($A47,'PY1 Data(H)'!$A$1:$A$135,'PY1 Data(H)'!$A$1:$BR$135))</f>
        <v>0</v>
      </c>
      <c r="Q47" s="119" cm="1">
        <f t="array" ref="Q47">_xlfn.XLOOKUP(Q$1,'PY1 Data(H)'!$A$1:$BR$1,_xlfn.XLOOKUP($A47,'PY1 Data(H)'!$A$1:$A$135,'PY1 Data(H)'!$A$1:$BR$135))</f>
        <v>813656</v>
      </c>
      <c r="R47" s="119" cm="1">
        <f t="array" ref="R47">_xlfn.XLOOKUP(R$1,'PY1 Data(H)'!$A$1:$BR$1,_xlfn.XLOOKUP($A47,'PY1 Data(H)'!$A$1:$A$135,'PY1 Data(H)'!$A$1:$BR$135))</f>
        <v>0</v>
      </c>
      <c r="S47" s="119" cm="1">
        <f t="array" ref="S47">_xlfn.XLOOKUP(S$1,'PY1 Data(H)'!$A$1:$BR$1,_xlfn.XLOOKUP($A47,'PY1 Data(H)'!$A$1:$A$135,'PY1 Data(H)'!$A$1:$BR$135))</f>
        <v>37613</v>
      </c>
    </row>
    <row r="48" spans="1:19" x14ac:dyDescent="0.3">
      <c r="A48">
        <v>646</v>
      </c>
      <c r="D48" s="119" cm="1">
        <f t="array" ref="D48">_xlfn.XLOOKUP(D$1,'PY1 Data(H)'!$A$1:$BR$1,_xlfn.XLOOKUP($A48,'PY1 Data(H)'!$A$1:$A$135,'PY1 Data(H)'!$A$1:$BR$135))</f>
        <v>937214</v>
      </c>
      <c r="E48" s="119" cm="1">
        <f t="array" ref="E48">_xlfn.XLOOKUP(E$1,'PY1 Data(H)'!$A$1:$BR$1,_xlfn.XLOOKUP($A48,'PY1 Data(H)'!$A$1:$A$135,'PY1 Data(H)'!$A$1:$BR$135))</f>
        <v>689186</v>
      </c>
      <c r="F48" s="119" cm="1">
        <f t="array" ref="F48">_xlfn.XLOOKUP(F$1,'PY1 Data(H)'!$A$1:$BR$1,_xlfn.XLOOKUP($A48,'PY1 Data(H)'!$A$1:$A$135,'PY1 Data(H)'!$A$1:$BR$135))</f>
        <v>523138</v>
      </c>
      <c r="G48" s="119" cm="1">
        <f t="array" ref="G48">_xlfn.XLOOKUP(G$1,'PY1 Data(H)'!$A$1:$BR$1,_xlfn.XLOOKUP($A48,'PY1 Data(H)'!$A$1:$A$135,'PY1 Data(H)'!$A$1:$BR$135))</f>
        <v>-431721</v>
      </c>
      <c r="H48" s="119" cm="1">
        <f t="array" ref="H48">_xlfn.XLOOKUP(H$1,'PY1 Data(H)'!$A$1:$BR$1,_xlfn.XLOOKUP($A48,'PY1 Data(H)'!$A$1:$A$135,'PY1 Data(H)'!$A$1:$BR$135))</f>
        <v>1300138</v>
      </c>
      <c r="I48" s="119" cm="1">
        <f t="array" ref="I48">_xlfn.XLOOKUP(I$1,'PY1 Data(H)'!$A$1:$BR$1,_xlfn.XLOOKUP($A48,'PY1 Data(H)'!$A$1:$A$135,'PY1 Data(H)'!$A$1:$BR$135))</f>
        <v>54080</v>
      </c>
      <c r="J48" s="119" cm="1">
        <f t="array" ref="J48">_xlfn.XLOOKUP(J$1,'PY1 Data(H)'!$A$1:$BR$1,_xlfn.XLOOKUP($A48,'PY1 Data(H)'!$A$1:$A$135,'PY1 Data(H)'!$A$1:$BR$135))</f>
        <v>2093105</v>
      </c>
      <c r="K48" s="119" cm="1">
        <f t="array" ref="K48">_xlfn.XLOOKUP(K$1,'PY1 Data(H)'!$A$1:$BR$1,_xlfn.XLOOKUP($A48,'PY1 Data(H)'!$A$1:$A$135,'PY1 Data(H)'!$A$1:$BR$135))</f>
        <v>-847059</v>
      </c>
      <c r="L48" s="119" cm="1">
        <f t="array" ref="L48">_xlfn.XLOOKUP(L$1,'PY1 Data(H)'!$A$1:$BR$1,_xlfn.XLOOKUP($A48,'PY1 Data(H)'!$A$1:$A$135,'PY1 Data(H)'!$A$1:$BR$135))</f>
        <v>-506259</v>
      </c>
      <c r="M48" s="119" cm="1">
        <f t="array" ref="M48">_xlfn.XLOOKUP(M$1,'PY1 Data(H)'!$A$1:$BR$1,_xlfn.XLOOKUP($A48,'PY1 Data(H)'!$A$1:$A$135,'PY1 Data(H)'!$A$1:$BR$135))</f>
        <v>-1053</v>
      </c>
      <c r="N48" s="119" cm="1">
        <f t="array" ref="N48">_xlfn.XLOOKUP(N$1,'PY1 Data(H)'!$A$1:$BR$1,_xlfn.XLOOKUP($A48,'PY1 Data(H)'!$A$1:$A$135,'PY1 Data(H)'!$A$1:$BR$135))</f>
        <v>0</v>
      </c>
      <c r="O48" s="119" t="e" cm="1">
        <f t="array" ref="O48">_xlfn.XLOOKUP(O$1,'PY1 Data(H)'!$A$1:$BR$1,_xlfn.XLOOKUP($A48,'PY1 Data(H)'!$A$1:$A$135,'PY1 Data(H)'!$A$1:$BR$135))</f>
        <v>#N/A</v>
      </c>
      <c r="P48" s="119" cm="1">
        <f t="array" ref="P48">_xlfn.XLOOKUP(P$1,'PY1 Data(H)'!$A$1:$BR$1,_xlfn.XLOOKUP($A48,'PY1 Data(H)'!$A$1:$A$135,'PY1 Data(H)'!$A$1:$BR$135))</f>
        <v>-634267</v>
      </c>
      <c r="Q48" s="119" cm="1">
        <f t="array" ref="Q48">_xlfn.XLOOKUP(Q$1,'PY1 Data(H)'!$A$1:$BR$1,_xlfn.XLOOKUP($A48,'PY1 Data(H)'!$A$1:$A$135,'PY1 Data(H)'!$A$1:$BR$135))</f>
        <v>-1877965</v>
      </c>
      <c r="R48" s="119" cm="1">
        <f t="array" ref="R48">_xlfn.XLOOKUP(R$1,'PY1 Data(H)'!$A$1:$BR$1,_xlfn.XLOOKUP($A48,'PY1 Data(H)'!$A$1:$A$135,'PY1 Data(H)'!$A$1:$BR$135))</f>
        <v>329415</v>
      </c>
      <c r="S48" s="119" cm="1">
        <f t="array" ref="S48">_xlfn.XLOOKUP(S$1,'PY1 Data(H)'!$A$1:$BR$1,_xlfn.XLOOKUP($A48,'PY1 Data(H)'!$A$1:$A$135,'PY1 Data(H)'!$A$1:$BR$135))</f>
        <v>704634</v>
      </c>
    </row>
    <row r="49" spans="1:19" x14ac:dyDescent="0.3">
      <c r="A49">
        <v>9</v>
      </c>
      <c r="D49" s="119" cm="1">
        <f t="array" ref="D49">_xlfn.XLOOKUP(D$1,'PY1 Data(H)'!$A$1:$BR$1,_xlfn.XLOOKUP($A49,'PY1 Data(H)'!$A$1:$A$135,'PY1 Data(H)'!$A$1:$BR$135))</f>
        <v>1118732</v>
      </c>
      <c r="E49" s="119" cm="1">
        <f t="array" ref="E49">_xlfn.XLOOKUP(E$1,'PY1 Data(H)'!$A$1:$BR$1,_xlfn.XLOOKUP($A49,'PY1 Data(H)'!$A$1:$A$135,'PY1 Data(H)'!$A$1:$BR$135))</f>
        <v>735085</v>
      </c>
      <c r="F49" s="119" cm="1">
        <f t="array" ref="F49">_xlfn.XLOOKUP(F$1,'PY1 Data(H)'!$A$1:$BR$1,_xlfn.XLOOKUP($A49,'PY1 Data(H)'!$A$1:$A$135,'PY1 Data(H)'!$A$1:$BR$135))</f>
        <v>1298180</v>
      </c>
      <c r="G49" s="119" cm="1">
        <f t="array" ref="G49">_xlfn.XLOOKUP(G$1,'PY1 Data(H)'!$A$1:$BR$1,_xlfn.XLOOKUP($A49,'PY1 Data(H)'!$A$1:$A$135,'PY1 Data(H)'!$A$1:$BR$135))</f>
        <v>1756278</v>
      </c>
      <c r="H49" s="119" cm="1">
        <f t="array" ref="H49">_xlfn.XLOOKUP(H$1,'PY1 Data(H)'!$A$1:$BR$1,_xlfn.XLOOKUP($A49,'PY1 Data(H)'!$A$1:$A$135,'PY1 Data(H)'!$A$1:$BR$135))</f>
        <v>1446652</v>
      </c>
      <c r="I49" s="119" cm="1">
        <f t="array" ref="I49">_xlfn.XLOOKUP(I$1,'PY1 Data(H)'!$A$1:$BR$1,_xlfn.XLOOKUP($A49,'PY1 Data(H)'!$A$1:$A$135,'PY1 Data(H)'!$A$1:$BR$135))</f>
        <v>733191</v>
      </c>
      <c r="J49" s="119" cm="1">
        <f t="array" ref="J49">_xlfn.XLOOKUP(J$1,'PY1 Data(H)'!$A$1:$BR$1,_xlfn.XLOOKUP($A49,'PY1 Data(H)'!$A$1:$A$135,'PY1 Data(H)'!$A$1:$BR$135))</f>
        <v>3942636</v>
      </c>
      <c r="K49" s="119" cm="1">
        <f t="array" ref="K49">_xlfn.XLOOKUP(K$1,'PY1 Data(H)'!$A$1:$BR$1,_xlfn.XLOOKUP($A49,'PY1 Data(H)'!$A$1:$A$135,'PY1 Data(H)'!$A$1:$BR$135))</f>
        <v>701254</v>
      </c>
      <c r="L49" s="119" cm="1">
        <f t="array" ref="L49">_xlfn.XLOOKUP(L$1,'PY1 Data(H)'!$A$1:$BR$1,_xlfn.XLOOKUP($A49,'PY1 Data(H)'!$A$1:$A$135,'PY1 Data(H)'!$A$1:$BR$135))</f>
        <v>667176</v>
      </c>
      <c r="M49" s="119" cm="1">
        <f t="array" ref="M49">_xlfn.XLOOKUP(M$1,'PY1 Data(H)'!$A$1:$BR$1,_xlfn.XLOOKUP($A49,'PY1 Data(H)'!$A$1:$A$135,'PY1 Data(H)'!$A$1:$BR$135))</f>
        <v>392129</v>
      </c>
      <c r="N49" s="119" cm="1">
        <f t="array" ref="N49">_xlfn.XLOOKUP(N$1,'PY1 Data(H)'!$A$1:$BR$1,_xlfn.XLOOKUP($A49,'PY1 Data(H)'!$A$1:$A$135,'PY1 Data(H)'!$A$1:$BR$135))</f>
        <v>0</v>
      </c>
      <c r="O49" s="119" t="e" cm="1">
        <f t="array" ref="O49">_xlfn.XLOOKUP(O$1,'PY1 Data(H)'!$A$1:$BR$1,_xlfn.XLOOKUP($A49,'PY1 Data(H)'!$A$1:$A$135,'PY1 Data(H)'!$A$1:$BR$135))</f>
        <v>#N/A</v>
      </c>
      <c r="P49" s="119" cm="1">
        <f t="array" ref="P49">_xlfn.XLOOKUP(P$1,'PY1 Data(H)'!$A$1:$BR$1,_xlfn.XLOOKUP($A49,'PY1 Data(H)'!$A$1:$A$135,'PY1 Data(H)'!$A$1:$BR$135))</f>
        <v>291945</v>
      </c>
      <c r="Q49" s="119" cm="1">
        <f t="array" ref="Q49">_xlfn.XLOOKUP(Q$1,'PY1 Data(H)'!$A$1:$BR$1,_xlfn.XLOOKUP($A49,'PY1 Data(H)'!$A$1:$A$135,'PY1 Data(H)'!$A$1:$BR$135))</f>
        <v>2370147</v>
      </c>
      <c r="R49" s="119" cm="1">
        <f t="array" ref="R49">_xlfn.XLOOKUP(R$1,'PY1 Data(H)'!$A$1:$BR$1,_xlfn.XLOOKUP($A49,'PY1 Data(H)'!$A$1:$A$135,'PY1 Data(H)'!$A$1:$BR$135))</f>
        <v>362196</v>
      </c>
      <c r="S49" s="119" cm="1">
        <f t="array" ref="S49">_xlfn.XLOOKUP(S$1,'PY1 Data(H)'!$A$1:$BR$1,_xlfn.XLOOKUP($A49,'PY1 Data(H)'!$A$1:$A$135,'PY1 Data(H)'!$A$1:$BR$135))</f>
        <v>2181115</v>
      </c>
    </row>
    <row r="50" spans="1:19" x14ac:dyDescent="0.3">
      <c r="A50">
        <v>1052</v>
      </c>
      <c r="D50" s="119" cm="1">
        <f t="array" ref="D50">_xlfn.XLOOKUP(D$1,'PY1 Data(H)'!$A$1:$BR$1,_xlfn.XLOOKUP($A50,'PY1 Data(H)'!$A$1:$A$135,'PY1 Data(H)'!$A$1:$BR$135))</f>
        <v>0</v>
      </c>
      <c r="E50" s="119" cm="1">
        <f t="array" ref="E50">_xlfn.XLOOKUP(E$1,'PY1 Data(H)'!$A$1:$BR$1,_xlfn.XLOOKUP($A50,'PY1 Data(H)'!$A$1:$A$135,'PY1 Data(H)'!$A$1:$BR$135))</f>
        <v>0</v>
      </c>
      <c r="F50" s="119" cm="1">
        <f t="array" ref="F50">_xlfn.XLOOKUP(F$1,'PY1 Data(H)'!$A$1:$BR$1,_xlfn.XLOOKUP($A50,'PY1 Data(H)'!$A$1:$A$135,'PY1 Data(H)'!$A$1:$BR$135))</f>
        <v>0</v>
      </c>
      <c r="G50" s="119" cm="1">
        <f t="array" ref="G50">_xlfn.XLOOKUP(G$1,'PY1 Data(H)'!$A$1:$BR$1,_xlfn.XLOOKUP($A50,'PY1 Data(H)'!$A$1:$A$135,'PY1 Data(H)'!$A$1:$BR$135))</f>
        <v>0</v>
      </c>
      <c r="H50" s="119" cm="1">
        <f t="array" ref="H50">_xlfn.XLOOKUP(H$1,'PY1 Data(H)'!$A$1:$BR$1,_xlfn.XLOOKUP($A50,'PY1 Data(H)'!$A$1:$A$135,'PY1 Data(H)'!$A$1:$BR$135))</f>
        <v>0</v>
      </c>
      <c r="I50" s="119" cm="1">
        <f t="array" ref="I50">_xlfn.XLOOKUP(I$1,'PY1 Data(H)'!$A$1:$BR$1,_xlfn.XLOOKUP($A50,'PY1 Data(H)'!$A$1:$A$135,'PY1 Data(H)'!$A$1:$BR$135))</f>
        <v>0</v>
      </c>
      <c r="J50" s="119" cm="1">
        <f t="array" ref="J50">_xlfn.XLOOKUP(J$1,'PY1 Data(H)'!$A$1:$BR$1,_xlfn.XLOOKUP($A50,'PY1 Data(H)'!$A$1:$A$135,'PY1 Data(H)'!$A$1:$BR$135))</f>
        <v>0</v>
      </c>
      <c r="K50" s="119" cm="1">
        <f t="array" ref="K50">_xlfn.XLOOKUP(K$1,'PY1 Data(H)'!$A$1:$BR$1,_xlfn.XLOOKUP($A50,'PY1 Data(H)'!$A$1:$A$135,'PY1 Data(H)'!$A$1:$BR$135))</f>
        <v>0</v>
      </c>
      <c r="L50" s="119" cm="1">
        <f t="array" ref="L50">_xlfn.XLOOKUP(L$1,'PY1 Data(H)'!$A$1:$BR$1,_xlfn.XLOOKUP($A50,'PY1 Data(H)'!$A$1:$A$135,'PY1 Data(H)'!$A$1:$BR$135))</f>
        <v>0</v>
      </c>
      <c r="M50" s="119" cm="1">
        <f t="array" ref="M50">_xlfn.XLOOKUP(M$1,'PY1 Data(H)'!$A$1:$BR$1,_xlfn.XLOOKUP($A50,'PY1 Data(H)'!$A$1:$A$135,'PY1 Data(H)'!$A$1:$BR$135))</f>
        <v>0</v>
      </c>
      <c r="N50" s="119" cm="1">
        <f t="array" ref="N50">_xlfn.XLOOKUP(N$1,'PY1 Data(H)'!$A$1:$BR$1,_xlfn.XLOOKUP($A50,'PY1 Data(H)'!$A$1:$A$135,'PY1 Data(H)'!$A$1:$BR$135))</f>
        <v>0</v>
      </c>
      <c r="O50" s="119" t="e" cm="1">
        <f t="array" ref="O50">_xlfn.XLOOKUP(O$1,'PY1 Data(H)'!$A$1:$BR$1,_xlfn.XLOOKUP($A50,'PY1 Data(H)'!$A$1:$A$135,'PY1 Data(H)'!$A$1:$BR$135))</f>
        <v>#N/A</v>
      </c>
      <c r="P50" s="119" cm="1">
        <f t="array" ref="P50">_xlfn.XLOOKUP(P$1,'PY1 Data(H)'!$A$1:$BR$1,_xlfn.XLOOKUP($A50,'PY1 Data(H)'!$A$1:$A$135,'PY1 Data(H)'!$A$1:$BR$135))</f>
        <v>0</v>
      </c>
      <c r="Q50" s="119" cm="1">
        <f t="array" ref="Q50">_xlfn.XLOOKUP(Q$1,'PY1 Data(H)'!$A$1:$BR$1,_xlfn.XLOOKUP($A50,'PY1 Data(H)'!$A$1:$A$135,'PY1 Data(H)'!$A$1:$BR$135))</f>
        <v>0</v>
      </c>
      <c r="R50" s="119" cm="1">
        <f t="array" ref="R50">_xlfn.XLOOKUP(R$1,'PY1 Data(H)'!$A$1:$BR$1,_xlfn.XLOOKUP($A50,'PY1 Data(H)'!$A$1:$A$135,'PY1 Data(H)'!$A$1:$BR$135))</f>
        <v>0</v>
      </c>
      <c r="S50" s="119" cm="1">
        <f t="array" ref="S50">_xlfn.XLOOKUP(S$1,'PY1 Data(H)'!$A$1:$BR$1,_xlfn.XLOOKUP($A50,'PY1 Data(H)'!$A$1:$A$135,'PY1 Data(H)'!$A$1:$BR$135))</f>
        <v>0</v>
      </c>
    </row>
    <row r="51" spans="1:19" x14ac:dyDescent="0.3">
      <c r="D51" s="119" cm="1">
        <f t="array" ref="D51">_xlfn.XLOOKUP(D$1,'PY1 Data(H)'!$A$1:$BR$1,_xlfn.XLOOKUP($A51,'PY1 Data(H)'!$A$1:$A$135,'PY1 Data(H)'!$A$1:$BR$135))</f>
        <v>0</v>
      </c>
      <c r="E51" s="119" cm="1">
        <f t="array" ref="E51">_xlfn.XLOOKUP(E$1,'PY1 Data(H)'!$A$1:$BR$1,_xlfn.XLOOKUP($A51,'PY1 Data(H)'!$A$1:$A$135,'PY1 Data(H)'!$A$1:$BR$135))</f>
        <v>0</v>
      </c>
      <c r="F51" s="119" cm="1">
        <f t="array" ref="F51">_xlfn.XLOOKUP(F$1,'PY1 Data(H)'!$A$1:$BR$1,_xlfn.XLOOKUP($A51,'PY1 Data(H)'!$A$1:$A$135,'PY1 Data(H)'!$A$1:$BR$135))</f>
        <v>0</v>
      </c>
      <c r="G51" s="119" cm="1">
        <f t="array" ref="G51">_xlfn.XLOOKUP(G$1,'PY1 Data(H)'!$A$1:$BR$1,_xlfn.XLOOKUP($A51,'PY1 Data(H)'!$A$1:$A$135,'PY1 Data(H)'!$A$1:$BR$135))</f>
        <v>0</v>
      </c>
      <c r="H51" s="119" cm="1">
        <f t="array" ref="H51">_xlfn.XLOOKUP(H$1,'PY1 Data(H)'!$A$1:$BR$1,_xlfn.XLOOKUP($A51,'PY1 Data(H)'!$A$1:$A$135,'PY1 Data(H)'!$A$1:$BR$135))</f>
        <v>0</v>
      </c>
      <c r="I51" s="119" cm="1">
        <f t="array" ref="I51">_xlfn.XLOOKUP(I$1,'PY1 Data(H)'!$A$1:$BR$1,_xlfn.XLOOKUP($A51,'PY1 Data(H)'!$A$1:$A$135,'PY1 Data(H)'!$A$1:$BR$135))</f>
        <v>0</v>
      </c>
      <c r="J51" s="119" cm="1">
        <f t="array" ref="J51">_xlfn.XLOOKUP(J$1,'PY1 Data(H)'!$A$1:$BR$1,_xlfn.XLOOKUP($A51,'PY1 Data(H)'!$A$1:$A$135,'PY1 Data(H)'!$A$1:$BR$135))</f>
        <v>0</v>
      </c>
      <c r="K51" s="119" cm="1">
        <f t="array" ref="K51">_xlfn.XLOOKUP(K$1,'PY1 Data(H)'!$A$1:$BR$1,_xlfn.XLOOKUP($A51,'PY1 Data(H)'!$A$1:$A$135,'PY1 Data(H)'!$A$1:$BR$135))</f>
        <v>0</v>
      </c>
      <c r="L51" s="119" cm="1">
        <f t="array" ref="L51">_xlfn.XLOOKUP(L$1,'PY1 Data(H)'!$A$1:$BR$1,_xlfn.XLOOKUP($A51,'PY1 Data(H)'!$A$1:$A$135,'PY1 Data(H)'!$A$1:$BR$135))</f>
        <v>0</v>
      </c>
      <c r="M51" s="119" cm="1">
        <f t="array" ref="M51">_xlfn.XLOOKUP(M$1,'PY1 Data(H)'!$A$1:$BR$1,_xlfn.XLOOKUP($A51,'PY1 Data(H)'!$A$1:$A$135,'PY1 Data(H)'!$A$1:$BR$135))</f>
        <v>0</v>
      </c>
      <c r="N51" s="119" cm="1">
        <f t="array" ref="N51">_xlfn.XLOOKUP(N$1,'PY1 Data(H)'!$A$1:$BR$1,_xlfn.XLOOKUP($A51,'PY1 Data(H)'!$A$1:$A$135,'PY1 Data(H)'!$A$1:$BR$135))</f>
        <v>0</v>
      </c>
      <c r="O51" s="119" t="e" cm="1">
        <f t="array" ref="O51">_xlfn.XLOOKUP(O$1,'PY1 Data(H)'!$A$1:$BR$1,_xlfn.XLOOKUP($A51,'PY1 Data(H)'!$A$1:$A$135,'PY1 Data(H)'!$A$1:$BR$135))</f>
        <v>#N/A</v>
      </c>
      <c r="P51" s="119" cm="1">
        <f t="array" ref="P51">_xlfn.XLOOKUP(P$1,'PY1 Data(H)'!$A$1:$BR$1,_xlfn.XLOOKUP($A51,'PY1 Data(H)'!$A$1:$A$135,'PY1 Data(H)'!$A$1:$BR$135))</f>
        <v>0</v>
      </c>
      <c r="Q51" s="119" cm="1">
        <f t="array" ref="Q51">_xlfn.XLOOKUP(Q$1,'PY1 Data(H)'!$A$1:$BR$1,_xlfn.XLOOKUP($A51,'PY1 Data(H)'!$A$1:$A$135,'PY1 Data(H)'!$A$1:$BR$135))</f>
        <v>0</v>
      </c>
      <c r="R51" s="119" cm="1">
        <f t="array" ref="R51">_xlfn.XLOOKUP(R$1,'PY1 Data(H)'!$A$1:$BR$1,_xlfn.XLOOKUP($A51,'PY1 Data(H)'!$A$1:$A$135,'PY1 Data(H)'!$A$1:$BR$135))</f>
        <v>0</v>
      </c>
      <c r="S51" s="119" cm="1">
        <f t="array" ref="S51">_xlfn.XLOOKUP(S$1,'PY1 Data(H)'!$A$1:$BR$1,_xlfn.XLOOKUP($A51,'PY1 Data(H)'!$A$1:$A$135,'PY1 Data(H)'!$A$1:$BR$135))</f>
        <v>0</v>
      </c>
    </row>
    <row r="52" spans="1:19" x14ac:dyDescent="0.3">
      <c r="A52">
        <v>16</v>
      </c>
      <c r="D52" s="119" cm="1">
        <f t="array" ref="D52">_xlfn.XLOOKUP(D$1,'PY1 Data(H)'!$A$1:$BR$1,_xlfn.XLOOKUP($A52,'PY1 Data(H)'!$A$1:$A$135,'PY1 Data(H)'!$A$1:$BR$135))</f>
        <v>687095</v>
      </c>
      <c r="E52" s="119" cm="1">
        <f t="array" ref="E52">_xlfn.XLOOKUP(E$1,'PY1 Data(H)'!$A$1:$BR$1,_xlfn.XLOOKUP($A52,'PY1 Data(H)'!$A$1:$A$135,'PY1 Data(H)'!$A$1:$BR$135))</f>
        <v>153154</v>
      </c>
      <c r="F52" s="119" cm="1">
        <f t="array" ref="F52">_xlfn.XLOOKUP(F$1,'PY1 Data(H)'!$A$1:$BR$1,_xlfn.XLOOKUP($A52,'PY1 Data(H)'!$A$1:$A$135,'PY1 Data(H)'!$A$1:$BR$135))</f>
        <v>7065688</v>
      </c>
      <c r="G52" s="119" cm="1">
        <f t="array" ref="G52">_xlfn.XLOOKUP(G$1,'PY1 Data(H)'!$A$1:$BR$1,_xlfn.XLOOKUP($A52,'PY1 Data(H)'!$A$1:$A$135,'PY1 Data(H)'!$A$1:$BR$135))</f>
        <v>12841779</v>
      </c>
      <c r="H52" s="119" cm="1">
        <f t="array" ref="H52">_xlfn.XLOOKUP(H$1,'PY1 Data(H)'!$A$1:$BR$1,_xlfn.XLOOKUP($A52,'PY1 Data(H)'!$A$1:$A$135,'PY1 Data(H)'!$A$1:$BR$135))</f>
        <v>251647</v>
      </c>
      <c r="I52" s="119" cm="1">
        <f t="array" ref="I52">_xlfn.XLOOKUP(I$1,'PY1 Data(H)'!$A$1:$BR$1,_xlfn.XLOOKUP($A52,'PY1 Data(H)'!$A$1:$A$135,'PY1 Data(H)'!$A$1:$BR$135))</f>
        <v>2891863</v>
      </c>
      <c r="J52" s="119" cm="1">
        <f t="array" ref="J52">_xlfn.XLOOKUP(J$1,'PY1 Data(H)'!$A$1:$BR$1,_xlfn.XLOOKUP($A52,'PY1 Data(H)'!$A$1:$A$135,'PY1 Data(H)'!$A$1:$BR$135))</f>
        <v>13078367</v>
      </c>
      <c r="K52" s="119" cm="1">
        <f t="array" ref="K52">_xlfn.XLOOKUP(K$1,'PY1 Data(H)'!$A$1:$BR$1,_xlfn.XLOOKUP($A52,'PY1 Data(H)'!$A$1:$A$135,'PY1 Data(H)'!$A$1:$BR$135))</f>
        <v>8464341</v>
      </c>
      <c r="L52" s="119" cm="1">
        <f t="array" ref="L52">_xlfn.XLOOKUP(L$1,'PY1 Data(H)'!$A$1:$BR$1,_xlfn.XLOOKUP($A52,'PY1 Data(H)'!$A$1:$A$135,'PY1 Data(H)'!$A$1:$BR$135))</f>
        <v>8653075</v>
      </c>
      <c r="M52" s="119" cm="1">
        <f t="array" ref="M52">_xlfn.XLOOKUP(M$1,'PY1 Data(H)'!$A$1:$BR$1,_xlfn.XLOOKUP($A52,'PY1 Data(H)'!$A$1:$A$135,'PY1 Data(H)'!$A$1:$BR$135))</f>
        <v>146297</v>
      </c>
      <c r="N52" s="119" cm="1">
        <f t="array" ref="N52">_xlfn.XLOOKUP(N$1,'PY1 Data(H)'!$A$1:$BR$1,_xlfn.XLOOKUP($A52,'PY1 Data(H)'!$A$1:$A$135,'PY1 Data(H)'!$A$1:$BR$135))</f>
        <v>0</v>
      </c>
      <c r="O52" s="119" t="e" cm="1">
        <f t="array" ref="O52">_xlfn.XLOOKUP(O$1,'PY1 Data(H)'!$A$1:$BR$1,_xlfn.XLOOKUP($A52,'PY1 Data(H)'!$A$1:$A$135,'PY1 Data(H)'!$A$1:$BR$135))</f>
        <v>#N/A</v>
      </c>
      <c r="P52" s="119" cm="1">
        <f t="array" ref="P52">_xlfn.XLOOKUP(P$1,'PY1 Data(H)'!$A$1:$BR$1,_xlfn.XLOOKUP($A52,'PY1 Data(H)'!$A$1:$A$135,'PY1 Data(H)'!$A$1:$BR$135))</f>
        <v>6783561</v>
      </c>
      <c r="Q52" s="119" cm="1">
        <f t="array" ref="Q52">_xlfn.XLOOKUP(Q$1,'PY1 Data(H)'!$A$1:$BR$1,_xlfn.XLOOKUP($A52,'PY1 Data(H)'!$A$1:$A$135,'PY1 Data(H)'!$A$1:$BR$135))</f>
        <v>20644334</v>
      </c>
      <c r="R52" s="119" cm="1">
        <f t="array" ref="R52">_xlfn.XLOOKUP(R$1,'PY1 Data(H)'!$A$1:$BR$1,_xlfn.XLOOKUP($A52,'PY1 Data(H)'!$A$1:$A$135,'PY1 Data(H)'!$A$1:$BR$135))</f>
        <v>208077</v>
      </c>
      <c r="S52" s="119" cm="1">
        <f t="array" ref="S52">_xlfn.XLOOKUP(S$1,'PY1 Data(H)'!$A$1:$BR$1,_xlfn.XLOOKUP($A52,'PY1 Data(H)'!$A$1:$A$135,'PY1 Data(H)'!$A$1:$BR$135))</f>
        <v>7048908</v>
      </c>
    </row>
    <row r="53" spans="1:19" x14ac:dyDescent="0.3">
      <c r="A53">
        <v>532</v>
      </c>
      <c r="D53" s="119" cm="1">
        <f t="array" ref="D53">_xlfn.XLOOKUP(D$1,'PY1 Data(H)'!$A$1:$BR$1,_xlfn.XLOOKUP($A53,'PY1 Data(H)'!$A$1:$A$135,'PY1 Data(H)'!$A$1:$BR$135))</f>
        <v>566643</v>
      </c>
      <c r="E53" s="119" cm="1">
        <f t="array" ref="E53">_xlfn.XLOOKUP(E$1,'PY1 Data(H)'!$A$1:$BR$1,_xlfn.XLOOKUP($A53,'PY1 Data(H)'!$A$1:$A$135,'PY1 Data(H)'!$A$1:$BR$135))</f>
        <v>340451</v>
      </c>
      <c r="F53" s="119" cm="1">
        <f t="array" ref="F53">_xlfn.XLOOKUP(F$1,'PY1 Data(H)'!$A$1:$BR$1,_xlfn.XLOOKUP($A53,'PY1 Data(H)'!$A$1:$A$135,'PY1 Data(H)'!$A$1:$BR$135))</f>
        <v>9500141</v>
      </c>
      <c r="G53" s="119" cm="1">
        <f t="array" ref="G53">_xlfn.XLOOKUP(G$1,'PY1 Data(H)'!$A$1:$BR$1,_xlfn.XLOOKUP($A53,'PY1 Data(H)'!$A$1:$A$135,'PY1 Data(H)'!$A$1:$BR$135))</f>
        <v>12488300</v>
      </c>
      <c r="H53" s="119" cm="1">
        <f t="array" ref="H53">_xlfn.XLOOKUP(H$1,'PY1 Data(H)'!$A$1:$BR$1,_xlfn.XLOOKUP($A53,'PY1 Data(H)'!$A$1:$A$135,'PY1 Data(H)'!$A$1:$BR$135))</f>
        <v>203554</v>
      </c>
      <c r="I53" s="119" cm="1">
        <f t="array" ref="I53">_xlfn.XLOOKUP(I$1,'PY1 Data(H)'!$A$1:$BR$1,_xlfn.XLOOKUP($A53,'PY1 Data(H)'!$A$1:$A$135,'PY1 Data(H)'!$A$1:$BR$135))</f>
        <v>3076894</v>
      </c>
      <c r="J53" s="119" cm="1">
        <f t="array" ref="J53">_xlfn.XLOOKUP(J$1,'PY1 Data(H)'!$A$1:$BR$1,_xlfn.XLOOKUP($A53,'PY1 Data(H)'!$A$1:$A$135,'PY1 Data(H)'!$A$1:$BR$135))</f>
        <v>12528659</v>
      </c>
      <c r="K53" s="119" cm="1">
        <f t="array" ref="K53">_xlfn.XLOOKUP(K$1,'PY1 Data(H)'!$A$1:$BR$1,_xlfn.XLOOKUP($A53,'PY1 Data(H)'!$A$1:$A$135,'PY1 Data(H)'!$A$1:$BR$135))</f>
        <v>8464699</v>
      </c>
      <c r="L53" s="119" cm="1">
        <f t="array" ref="L53">_xlfn.XLOOKUP(L$1,'PY1 Data(H)'!$A$1:$BR$1,_xlfn.XLOOKUP($A53,'PY1 Data(H)'!$A$1:$A$135,'PY1 Data(H)'!$A$1:$BR$135))</f>
        <v>9487294</v>
      </c>
      <c r="M53" s="119" cm="1">
        <f t="array" ref="M53">_xlfn.XLOOKUP(M$1,'PY1 Data(H)'!$A$1:$BR$1,_xlfn.XLOOKUP($A53,'PY1 Data(H)'!$A$1:$A$135,'PY1 Data(H)'!$A$1:$BR$135))</f>
        <v>62089</v>
      </c>
      <c r="N53" s="119" cm="1">
        <f t="array" ref="N53">_xlfn.XLOOKUP(N$1,'PY1 Data(H)'!$A$1:$BR$1,_xlfn.XLOOKUP($A53,'PY1 Data(H)'!$A$1:$A$135,'PY1 Data(H)'!$A$1:$BR$135))</f>
        <v>0</v>
      </c>
      <c r="O53" s="119" t="e" cm="1">
        <f t="array" ref="O53">_xlfn.XLOOKUP(O$1,'PY1 Data(H)'!$A$1:$BR$1,_xlfn.XLOOKUP($A53,'PY1 Data(H)'!$A$1:$A$135,'PY1 Data(H)'!$A$1:$BR$135))</f>
        <v>#N/A</v>
      </c>
      <c r="P53" s="119" cm="1">
        <f t="array" ref="P53">_xlfn.XLOOKUP(P$1,'PY1 Data(H)'!$A$1:$BR$1,_xlfn.XLOOKUP($A53,'PY1 Data(H)'!$A$1:$A$135,'PY1 Data(H)'!$A$1:$BR$135))</f>
        <v>6904010</v>
      </c>
      <c r="Q53" s="119" cm="1">
        <f t="array" ref="Q53">_xlfn.XLOOKUP(Q$1,'PY1 Data(H)'!$A$1:$BR$1,_xlfn.XLOOKUP($A53,'PY1 Data(H)'!$A$1:$A$135,'PY1 Data(H)'!$A$1:$BR$135))</f>
        <v>20206956</v>
      </c>
      <c r="R53" s="119" cm="1">
        <f t="array" ref="R53">_xlfn.XLOOKUP(R$1,'PY1 Data(H)'!$A$1:$BR$1,_xlfn.XLOOKUP($A53,'PY1 Data(H)'!$A$1:$A$135,'PY1 Data(H)'!$A$1:$BR$135))</f>
        <v>185077</v>
      </c>
      <c r="S53" s="119" cm="1">
        <f t="array" ref="S53">_xlfn.XLOOKUP(S$1,'PY1 Data(H)'!$A$1:$BR$1,_xlfn.XLOOKUP($A53,'PY1 Data(H)'!$A$1:$A$135,'PY1 Data(H)'!$A$1:$BR$135))</f>
        <v>7277104</v>
      </c>
    </row>
    <row r="54" spans="1:19" x14ac:dyDescent="0.3">
      <c r="A54">
        <v>17</v>
      </c>
      <c r="D54" s="119" cm="1">
        <f t="array" ref="D54">_xlfn.XLOOKUP(D$1,'PY1 Data(H)'!$A$1:$BR$1,_xlfn.XLOOKUP($A54,'PY1 Data(H)'!$A$1:$A$135,'PY1 Data(H)'!$A$1:$BR$135))</f>
        <v>21552</v>
      </c>
      <c r="E54" s="119" cm="1">
        <f t="array" ref="E54">_xlfn.XLOOKUP(E$1,'PY1 Data(H)'!$A$1:$BR$1,_xlfn.XLOOKUP($A54,'PY1 Data(H)'!$A$1:$A$135,'PY1 Data(H)'!$A$1:$BR$135))</f>
        <v>254219</v>
      </c>
      <c r="F54" s="119" cm="1">
        <f t="array" ref="F54">_xlfn.XLOOKUP(F$1,'PY1 Data(H)'!$A$1:$BR$1,_xlfn.XLOOKUP($A54,'PY1 Data(H)'!$A$1:$A$135,'PY1 Data(H)'!$A$1:$BR$135))</f>
        <v>0</v>
      </c>
      <c r="G54" s="119" cm="1">
        <f t="array" ref="G54">_xlfn.XLOOKUP(G$1,'PY1 Data(H)'!$A$1:$BR$1,_xlfn.XLOOKUP($A54,'PY1 Data(H)'!$A$1:$A$135,'PY1 Data(H)'!$A$1:$BR$135))</f>
        <v>0</v>
      </c>
      <c r="H54" s="119" cm="1">
        <f t="array" ref="H54">_xlfn.XLOOKUP(H$1,'PY1 Data(H)'!$A$1:$BR$1,_xlfn.XLOOKUP($A54,'PY1 Data(H)'!$A$1:$A$135,'PY1 Data(H)'!$A$1:$BR$135))</f>
        <v>0</v>
      </c>
      <c r="I54" s="119" cm="1">
        <f t="array" ref="I54">_xlfn.XLOOKUP(I$1,'PY1 Data(H)'!$A$1:$BR$1,_xlfn.XLOOKUP($A54,'PY1 Data(H)'!$A$1:$A$135,'PY1 Data(H)'!$A$1:$BR$135))</f>
        <v>12010</v>
      </c>
      <c r="J54" s="119" cm="1">
        <f t="array" ref="J54">_xlfn.XLOOKUP(J$1,'PY1 Data(H)'!$A$1:$BR$1,_xlfn.XLOOKUP($A54,'PY1 Data(H)'!$A$1:$A$135,'PY1 Data(H)'!$A$1:$BR$135))</f>
        <v>0</v>
      </c>
      <c r="K54" s="119" cm="1">
        <f t="array" ref="K54">_xlfn.XLOOKUP(K$1,'PY1 Data(H)'!$A$1:$BR$1,_xlfn.XLOOKUP($A54,'PY1 Data(H)'!$A$1:$A$135,'PY1 Data(H)'!$A$1:$BR$135))</f>
        <v>0</v>
      </c>
      <c r="L54" s="119" cm="1">
        <f t="array" ref="L54">_xlfn.XLOOKUP(L$1,'PY1 Data(H)'!$A$1:$BR$1,_xlfn.XLOOKUP($A54,'PY1 Data(H)'!$A$1:$A$135,'PY1 Data(H)'!$A$1:$BR$135))</f>
        <v>0</v>
      </c>
      <c r="M54" s="119" cm="1">
        <f t="array" ref="M54">_xlfn.XLOOKUP(M$1,'PY1 Data(H)'!$A$1:$BR$1,_xlfn.XLOOKUP($A54,'PY1 Data(H)'!$A$1:$A$135,'PY1 Data(H)'!$A$1:$BR$135))</f>
        <v>0</v>
      </c>
      <c r="N54" s="119" cm="1">
        <f t="array" ref="N54">_xlfn.XLOOKUP(N$1,'PY1 Data(H)'!$A$1:$BR$1,_xlfn.XLOOKUP($A54,'PY1 Data(H)'!$A$1:$A$135,'PY1 Data(H)'!$A$1:$BR$135))</f>
        <v>0</v>
      </c>
      <c r="O54" s="119" t="e" cm="1">
        <f t="array" ref="O54">_xlfn.XLOOKUP(O$1,'PY1 Data(H)'!$A$1:$BR$1,_xlfn.XLOOKUP($A54,'PY1 Data(H)'!$A$1:$A$135,'PY1 Data(H)'!$A$1:$BR$135))</f>
        <v>#N/A</v>
      </c>
      <c r="P54" s="119" cm="1">
        <f t="array" ref="P54">_xlfn.XLOOKUP(P$1,'PY1 Data(H)'!$A$1:$BR$1,_xlfn.XLOOKUP($A54,'PY1 Data(H)'!$A$1:$A$135,'PY1 Data(H)'!$A$1:$BR$135))</f>
        <v>101031</v>
      </c>
      <c r="Q54" s="119" cm="1">
        <f t="array" ref="Q54">_xlfn.XLOOKUP(Q$1,'PY1 Data(H)'!$A$1:$BR$1,_xlfn.XLOOKUP($A54,'PY1 Data(H)'!$A$1:$A$135,'PY1 Data(H)'!$A$1:$BR$135))</f>
        <v>0</v>
      </c>
      <c r="R54" s="119" cm="1">
        <f t="array" ref="R54">_xlfn.XLOOKUP(R$1,'PY1 Data(H)'!$A$1:$BR$1,_xlfn.XLOOKUP($A54,'PY1 Data(H)'!$A$1:$A$135,'PY1 Data(H)'!$A$1:$BR$135))</f>
        <v>0</v>
      </c>
      <c r="S54" s="119" cm="1">
        <f t="array" ref="S54">_xlfn.XLOOKUP(S$1,'PY1 Data(H)'!$A$1:$BR$1,_xlfn.XLOOKUP($A54,'PY1 Data(H)'!$A$1:$A$135,'PY1 Data(H)'!$A$1:$BR$135))</f>
        <v>0</v>
      </c>
    </row>
    <row r="55" spans="1:19" x14ac:dyDescent="0.3">
      <c r="A55">
        <v>20</v>
      </c>
      <c r="D55" s="119" cm="1">
        <f t="array" ref="D55">_xlfn.XLOOKUP(D$1,'PY1 Data(H)'!$A$1:$BR$1,_xlfn.XLOOKUP($A55,'PY1 Data(H)'!$A$1:$A$135,'PY1 Data(H)'!$A$1:$BR$135))</f>
        <v>100447</v>
      </c>
      <c r="E55" s="119" cm="1">
        <f t="array" ref="E55">_xlfn.XLOOKUP(E$1,'PY1 Data(H)'!$A$1:$BR$1,_xlfn.XLOOKUP($A55,'PY1 Data(H)'!$A$1:$A$135,'PY1 Data(H)'!$A$1:$BR$135))</f>
        <v>0</v>
      </c>
      <c r="F55" s="119" cm="1">
        <f t="array" ref="F55">_xlfn.XLOOKUP(F$1,'PY1 Data(H)'!$A$1:$BR$1,_xlfn.XLOOKUP($A55,'PY1 Data(H)'!$A$1:$A$135,'PY1 Data(H)'!$A$1:$BR$135))</f>
        <v>0</v>
      </c>
      <c r="G55" s="119" cm="1">
        <f t="array" ref="G55">_xlfn.XLOOKUP(G$1,'PY1 Data(H)'!$A$1:$BR$1,_xlfn.XLOOKUP($A55,'PY1 Data(H)'!$A$1:$A$135,'PY1 Data(H)'!$A$1:$BR$135))</f>
        <v>0</v>
      </c>
      <c r="H55" s="119" cm="1">
        <f t="array" ref="H55">_xlfn.XLOOKUP(H$1,'PY1 Data(H)'!$A$1:$BR$1,_xlfn.XLOOKUP($A55,'PY1 Data(H)'!$A$1:$A$135,'PY1 Data(H)'!$A$1:$BR$135))</f>
        <v>0</v>
      </c>
      <c r="I55" s="119" cm="1">
        <f t="array" ref="I55">_xlfn.XLOOKUP(I$1,'PY1 Data(H)'!$A$1:$BR$1,_xlfn.XLOOKUP($A55,'PY1 Data(H)'!$A$1:$A$135,'PY1 Data(H)'!$A$1:$BR$135))</f>
        <v>0</v>
      </c>
      <c r="J55" s="119" cm="1">
        <f t="array" ref="J55">_xlfn.XLOOKUP(J$1,'PY1 Data(H)'!$A$1:$BR$1,_xlfn.XLOOKUP($A55,'PY1 Data(H)'!$A$1:$A$135,'PY1 Data(H)'!$A$1:$BR$135))</f>
        <v>0</v>
      </c>
      <c r="K55" s="119" cm="1">
        <f t="array" ref="K55">_xlfn.XLOOKUP(K$1,'PY1 Data(H)'!$A$1:$BR$1,_xlfn.XLOOKUP($A55,'PY1 Data(H)'!$A$1:$A$135,'PY1 Data(H)'!$A$1:$BR$135))</f>
        <v>0</v>
      </c>
      <c r="L55" s="119" cm="1">
        <f t="array" ref="L55">_xlfn.XLOOKUP(L$1,'PY1 Data(H)'!$A$1:$BR$1,_xlfn.XLOOKUP($A55,'PY1 Data(H)'!$A$1:$A$135,'PY1 Data(H)'!$A$1:$BR$135))</f>
        <v>0</v>
      </c>
      <c r="M55" s="119" cm="1">
        <f t="array" ref="M55">_xlfn.XLOOKUP(M$1,'PY1 Data(H)'!$A$1:$BR$1,_xlfn.XLOOKUP($A55,'PY1 Data(H)'!$A$1:$A$135,'PY1 Data(H)'!$A$1:$BR$135))</f>
        <v>77019</v>
      </c>
      <c r="N55" s="119" cm="1">
        <f t="array" ref="N55">_xlfn.XLOOKUP(N$1,'PY1 Data(H)'!$A$1:$BR$1,_xlfn.XLOOKUP($A55,'PY1 Data(H)'!$A$1:$A$135,'PY1 Data(H)'!$A$1:$BR$135))</f>
        <v>0</v>
      </c>
      <c r="O55" s="119" t="e" cm="1">
        <f t="array" ref="O55">_xlfn.XLOOKUP(O$1,'PY1 Data(H)'!$A$1:$BR$1,_xlfn.XLOOKUP($A55,'PY1 Data(H)'!$A$1:$A$135,'PY1 Data(H)'!$A$1:$BR$135))</f>
        <v>#N/A</v>
      </c>
      <c r="P55" s="119" cm="1">
        <f t="array" ref="P55">_xlfn.XLOOKUP(P$1,'PY1 Data(H)'!$A$1:$BR$1,_xlfn.XLOOKUP($A55,'PY1 Data(H)'!$A$1:$A$135,'PY1 Data(H)'!$A$1:$BR$135))</f>
        <v>0</v>
      </c>
      <c r="Q55" s="119" cm="1">
        <f t="array" ref="Q55">_xlfn.XLOOKUP(Q$1,'PY1 Data(H)'!$A$1:$BR$1,_xlfn.XLOOKUP($A55,'PY1 Data(H)'!$A$1:$A$135,'PY1 Data(H)'!$A$1:$BR$135))</f>
        <v>0</v>
      </c>
      <c r="R55" s="119" cm="1">
        <f t="array" ref="R55">_xlfn.XLOOKUP(R$1,'PY1 Data(H)'!$A$1:$BR$1,_xlfn.XLOOKUP($A55,'PY1 Data(H)'!$A$1:$A$135,'PY1 Data(H)'!$A$1:$BR$135))</f>
        <v>138574</v>
      </c>
      <c r="S55" s="119" cm="1">
        <f t="array" ref="S55">_xlfn.XLOOKUP(S$1,'PY1 Data(H)'!$A$1:$BR$1,_xlfn.XLOOKUP($A55,'PY1 Data(H)'!$A$1:$A$135,'PY1 Data(H)'!$A$1:$BR$135))</f>
        <v>16151</v>
      </c>
    </row>
    <row r="56" spans="1:19" x14ac:dyDescent="0.3">
      <c r="A56">
        <v>533</v>
      </c>
      <c r="D56" s="119" cm="1">
        <f t="array" ref="D56">_xlfn.XLOOKUP(D$1,'PY1 Data(H)'!$A$1:$BR$1,_xlfn.XLOOKUP($A56,'PY1 Data(H)'!$A$1:$A$135,'PY1 Data(H)'!$A$1:$BR$135))</f>
        <v>10965</v>
      </c>
      <c r="E56" s="119" cm="1">
        <f t="array" ref="E56">_xlfn.XLOOKUP(E$1,'PY1 Data(H)'!$A$1:$BR$1,_xlfn.XLOOKUP($A56,'PY1 Data(H)'!$A$1:$A$135,'PY1 Data(H)'!$A$1:$BR$135))</f>
        <v>0</v>
      </c>
      <c r="F56" s="119" cm="1">
        <f t="array" ref="F56">_xlfn.XLOOKUP(F$1,'PY1 Data(H)'!$A$1:$BR$1,_xlfn.XLOOKUP($A56,'PY1 Data(H)'!$A$1:$A$135,'PY1 Data(H)'!$A$1:$BR$135))</f>
        <v>0</v>
      </c>
      <c r="G56" s="119" cm="1">
        <f t="array" ref="G56">_xlfn.XLOOKUP(G$1,'PY1 Data(H)'!$A$1:$BR$1,_xlfn.XLOOKUP($A56,'PY1 Data(H)'!$A$1:$A$135,'PY1 Data(H)'!$A$1:$BR$135))</f>
        <v>0</v>
      </c>
      <c r="H56" s="119" cm="1">
        <f t="array" ref="H56">_xlfn.XLOOKUP(H$1,'PY1 Data(H)'!$A$1:$BR$1,_xlfn.XLOOKUP($A56,'PY1 Data(H)'!$A$1:$A$135,'PY1 Data(H)'!$A$1:$BR$135))</f>
        <v>0</v>
      </c>
      <c r="I56" s="119" cm="1">
        <f t="array" ref="I56">_xlfn.XLOOKUP(I$1,'PY1 Data(H)'!$A$1:$BR$1,_xlfn.XLOOKUP($A56,'PY1 Data(H)'!$A$1:$A$135,'PY1 Data(H)'!$A$1:$BR$135))</f>
        <v>242228</v>
      </c>
      <c r="J56" s="119" cm="1">
        <f t="array" ref="J56">_xlfn.XLOOKUP(J$1,'PY1 Data(H)'!$A$1:$BR$1,_xlfn.XLOOKUP($A56,'PY1 Data(H)'!$A$1:$A$135,'PY1 Data(H)'!$A$1:$BR$135))</f>
        <v>0</v>
      </c>
      <c r="K56" s="119" cm="1">
        <f t="array" ref="K56">_xlfn.XLOOKUP(K$1,'PY1 Data(H)'!$A$1:$BR$1,_xlfn.XLOOKUP($A56,'PY1 Data(H)'!$A$1:$A$135,'PY1 Data(H)'!$A$1:$BR$135))</f>
        <v>0</v>
      </c>
      <c r="L56" s="119" cm="1">
        <f t="array" ref="L56">_xlfn.XLOOKUP(L$1,'PY1 Data(H)'!$A$1:$BR$1,_xlfn.XLOOKUP($A56,'PY1 Data(H)'!$A$1:$A$135,'PY1 Data(H)'!$A$1:$BR$135))</f>
        <v>897723</v>
      </c>
      <c r="M56" s="119" cm="1">
        <f t="array" ref="M56">_xlfn.XLOOKUP(M$1,'PY1 Data(H)'!$A$1:$BR$1,_xlfn.XLOOKUP($A56,'PY1 Data(H)'!$A$1:$A$135,'PY1 Data(H)'!$A$1:$BR$135))</f>
        <v>0</v>
      </c>
      <c r="N56" s="119" cm="1">
        <f t="array" ref="N56">_xlfn.XLOOKUP(N$1,'PY1 Data(H)'!$A$1:$BR$1,_xlfn.XLOOKUP($A56,'PY1 Data(H)'!$A$1:$A$135,'PY1 Data(H)'!$A$1:$BR$135))</f>
        <v>0</v>
      </c>
      <c r="O56" s="119" t="e" cm="1">
        <f t="array" ref="O56">_xlfn.XLOOKUP(O$1,'PY1 Data(H)'!$A$1:$BR$1,_xlfn.XLOOKUP($A56,'PY1 Data(H)'!$A$1:$A$135,'PY1 Data(H)'!$A$1:$BR$135))</f>
        <v>#N/A</v>
      </c>
      <c r="P56" s="119" cm="1">
        <f t="array" ref="P56">_xlfn.XLOOKUP(P$1,'PY1 Data(H)'!$A$1:$BR$1,_xlfn.XLOOKUP($A56,'PY1 Data(H)'!$A$1:$A$135,'PY1 Data(H)'!$A$1:$BR$135))</f>
        <v>0</v>
      </c>
      <c r="Q56" s="119" cm="1">
        <f t="array" ref="Q56">_xlfn.XLOOKUP(Q$1,'PY1 Data(H)'!$A$1:$BR$1,_xlfn.XLOOKUP($A56,'PY1 Data(H)'!$A$1:$A$135,'PY1 Data(H)'!$A$1:$BR$135))</f>
        <v>274671</v>
      </c>
      <c r="R56" s="119" cm="1">
        <f t="array" ref="R56">_xlfn.XLOOKUP(R$1,'PY1 Data(H)'!$A$1:$BR$1,_xlfn.XLOOKUP($A56,'PY1 Data(H)'!$A$1:$A$135,'PY1 Data(H)'!$A$1:$BR$135))</f>
        <v>178506</v>
      </c>
      <c r="S56" s="119" cm="1">
        <f t="array" ref="S56">_xlfn.XLOOKUP(S$1,'PY1 Data(H)'!$A$1:$BR$1,_xlfn.XLOOKUP($A56,'PY1 Data(H)'!$A$1:$A$135,'PY1 Data(H)'!$A$1:$BR$135))</f>
        <v>491843</v>
      </c>
    </row>
    <row r="57" spans="1:19" x14ac:dyDescent="0.3">
      <c r="A57">
        <v>508</v>
      </c>
      <c r="D57" s="119" cm="1">
        <f t="array" ref="D57">_xlfn.XLOOKUP(D$1,'PY1 Data(H)'!$A$1:$BR$1,_xlfn.XLOOKUP($A57,'PY1 Data(H)'!$A$1:$A$135,'PY1 Data(H)'!$A$1:$BR$135))</f>
        <v>0</v>
      </c>
      <c r="E57" s="119" cm="1">
        <f t="array" ref="E57">_xlfn.XLOOKUP(E$1,'PY1 Data(H)'!$A$1:$BR$1,_xlfn.XLOOKUP($A57,'PY1 Data(H)'!$A$1:$A$135,'PY1 Data(H)'!$A$1:$BR$135))</f>
        <v>0</v>
      </c>
      <c r="F57" s="119" cm="1">
        <f t="array" ref="F57">_xlfn.XLOOKUP(F$1,'PY1 Data(H)'!$A$1:$BR$1,_xlfn.XLOOKUP($A57,'PY1 Data(H)'!$A$1:$A$135,'PY1 Data(H)'!$A$1:$BR$135))</f>
        <v>0</v>
      </c>
      <c r="G57" s="119" cm="1">
        <f t="array" ref="G57">_xlfn.XLOOKUP(G$1,'PY1 Data(H)'!$A$1:$BR$1,_xlfn.XLOOKUP($A57,'PY1 Data(H)'!$A$1:$A$135,'PY1 Data(H)'!$A$1:$BR$135))</f>
        <v>0</v>
      </c>
      <c r="H57" s="119" cm="1">
        <f t="array" ref="H57">_xlfn.XLOOKUP(H$1,'PY1 Data(H)'!$A$1:$BR$1,_xlfn.XLOOKUP($A57,'PY1 Data(H)'!$A$1:$A$135,'PY1 Data(H)'!$A$1:$BR$135))</f>
        <v>0</v>
      </c>
      <c r="I57" s="119" cm="1">
        <f t="array" ref="I57">_xlfn.XLOOKUP(I$1,'PY1 Data(H)'!$A$1:$BR$1,_xlfn.XLOOKUP($A57,'PY1 Data(H)'!$A$1:$A$135,'PY1 Data(H)'!$A$1:$BR$135))</f>
        <v>0</v>
      </c>
      <c r="J57" s="119" cm="1">
        <f t="array" ref="J57">_xlfn.XLOOKUP(J$1,'PY1 Data(H)'!$A$1:$BR$1,_xlfn.XLOOKUP($A57,'PY1 Data(H)'!$A$1:$A$135,'PY1 Data(H)'!$A$1:$BR$135))</f>
        <v>0</v>
      </c>
      <c r="K57" s="119" cm="1">
        <f t="array" ref="K57">_xlfn.XLOOKUP(K$1,'PY1 Data(H)'!$A$1:$BR$1,_xlfn.XLOOKUP($A57,'PY1 Data(H)'!$A$1:$A$135,'PY1 Data(H)'!$A$1:$BR$135))</f>
        <v>0</v>
      </c>
      <c r="L57" s="119" cm="1">
        <f t="array" ref="L57">_xlfn.XLOOKUP(L$1,'PY1 Data(H)'!$A$1:$BR$1,_xlfn.XLOOKUP($A57,'PY1 Data(H)'!$A$1:$A$135,'PY1 Data(H)'!$A$1:$BR$135))</f>
        <v>0</v>
      </c>
      <c r="M57" s="119" cm="1">
        <f t="array" ref="M57">_xlfn.XLOOKUP(M$1,'PY1 Data(H)'!$A$1:$BR$1,_xlfn.XLOOKUP($A57,'PY1 Data(H)'!$A$1:$A$135,'PY1 Data(H)'!$A$1:$BR$135))</f>
        <v>0</v>
      </c>
      <c r="N57" s="119" cm="1">
        <f t="array" ref="N57">_xlfn.XLOOKUP(N$1,'PY1 Data(H)'!$A$1:$BR$1,_xlfn.XLOOKUP($A57,'PY1 Data(H)'!$A$1:$A$135,'PY1 Data(H)'!$A$1:$BR$135))</f>
        <v>0</v>
      </c>
      <c r="O57" s="119" t="e" cm="1">
        <f t="array" ref="O57">_xlfn.XLOOKUP(O$1,'PY1 Data(H)'!$A$1:$BR$1,_xlfn.XLOOKUP($A57,'PY1 Data(H)'!$A$1:$A$135,'PY1 Data(H)'!$A$1:$BR$135))</f>
        <v>#N/A</v>
      </c>
      <c r="P57" s="119" cm="1">
        <f t="array" ref="P57">_xlfn.XLOOKUP(P$1,'PY1 Data(H)'!$A$1:$BR$1,_xlfn.XLOOKUP($A57,'PY1 Data(H)'!$A$1:$A$135,'PY1 Data(H)'!$A$1:$BR$135))</f>
        <v>0</v>
      </c>
      <c r="Q57" s="119" cm="1">
        <f t="array" ref="Q57">_xlfn.XLOOKUP(Q$1,'PY1 Data(H)'!$A$1:$BR$1,_xlfn.XLOOKUP($A57,'PY1 Data(H)'!$A$1:$A$135,'PY1 Data(H)'!$A$1:$BR$135))</f>
        <v>0</v>
      </c>
      <c r="R57" s="119" cm="1">
        <f t="array" ref="R57">_xlfn.XLOOKUP(R$1,'PY1 Data(H)'!$A$1:$BR$1,_xlfn.XLOOKUP($A57,'PY1 Data(H)'!$A$1:$A$135,'PY1 Data(H)'!$A$1:$BR$135))</f>
        <v>0</v>
      </c>
      <c r="S57" s="119" cm="1">
        <f t="array" ref="S57">_xlfn.XLOOKUP(S$1,'PY1 Data(H)'!$A$1:$BR$1,_xlfn.XLOOKUP($A57,'PY1 Data(H)'!$A$1:$A$135,'PY1 Data(H)'!$A$1:$BR$135))</f>
        <v>0</v>
      </c>
    </row>
    <row r="58" spans="1:19" x14ac:dyDescent="0.3">
      <c r="A58">
        <v>509</v>
      </c>
      <c r="D58" s="119" cm="1">
        <f t="array" ref="D58">_xlfn.XLOOKUP(D$1,'PY1 Data(H)'!$A$1:$BR$1,_xlfn.XLOOKUP($A58,'PY1 Data(H)'!$A$1:$A$135,'PY1 Data(H)'!$A$1:$BR$135))</f>
        <v>0</v>
      </c>
      <c r="E58" s="119" cm="1">
        <f t="array" ref="E58">_xlfn.XLOOKUP(E$1,'PY1 Data(H)'!$A$1:$BR$1,_xlfn.XLOOKUP($A58,'PY1 Data(H)'!$A$1:$A$135,'PY1 Data(H)'!$A$1:$BR$135))</f>
        <v>0</v>
      </c>
      <c r="F58" s="119" cm="1">
        <f t="array" ref="F58">_xlfn.XLOOKUP(F$1,'PY1 Data(H)'!$A$1:$BR$1,_xlfn.XLOOKUP($A58,'PY1 Data(H)'!$A$1:$A$135,'PY1 Data(H)'!$A$1:$BR$135))</f>
        <v>0</v>
      </c>
      <c r="G58" s="119" cm="1">
        <f t="array" ref="G58">_xlfn.XLOOKUP(G$1,'PY1 Data(H)'!$A$1:$BR$1,_xlfn.XLOOKUP($A58,'PY1 Data(H)'!$A$1:$A$135,'PY1 Data(H)'!$A$1:$BR$135))</f>
        <v>0</v>
      </c>
      <c r="H58" s="119" cm="1">
        <f t="array" ref="H58">_xlfn.XLOOKUP(H$1,'PY1 Data(H)'!$A$1:$BR$1,_xlfn.XLOOKUP($A58,'PY1 Data(H)'!$A$1:$A$135,'PY1 Data(H)'!$A$1:$BR$135))</f>
        <v>0</v>
      </c>
      <c r="I58" s="119" cm="1">
        <f t="array" ref="I58">_xlfn.XLOOKUP(I$1,'PY1 Data(H)'!$A$1:$BR$1,_xlfn.XLOOKUP($A58,'PY1 Data(H)'!$A$1:$A$135,'PY1 Data(H)'!$A$1:$BR$135))</f>
        <v>0</v>
      </c>
      <c r="J58" s="119" cm="1">
        <f t="array" ref="J58">_xlfn.XLOOKUP(J$1,'PY1 Data(H)'!$A$1:$BR$1,_xlfn.XLOOKUP($A58,'PY1 Data(H)'!$A$1:$A$135,'PY1 Data(H)'!$A$1:$BR$135))</f>
        <v>0</v>
      </c>
      <c r="K58" s="119" cm="1">
        <f t="array" ref="K58">_xlfn.XLOOKUP(K$1,'PY1 Data(H)'!$A$1:$BR$1,_xlfn.XLOOKUP($A58,'PY1 Data(H)'!$A$1:$A$135,'PY1 Data(H)'!$A$1:$BR$135))</f>
        <v>0</v>
      </c>
      <c r="L58" s="119" cm="1">
        <f t="array" ref="L58">_xlfn.XLOOKUP(L$1,'PY1 Data(H)'!$A$1:$BR$1,_xlfn.XLOOKUP($A58,'PY1 Data(H)'!$A$1:$A$135,'PY1 Data(H)'!$A$1:$BR$135))</f>
        <v>0</v>
      </c>
      <c r="M58" s="119" cm="1">
        <f t="array" ref="M58">_xlfn.XLOOKUP(M$1,'PY1 Data(H)'!$A$1:$BR$1,_xlfn.XLOOKUP($A58,'PY1 Data(H)'!$A$1:$A$135,'PY1 Data(H)'!$A$1:$BR$135))</f>
        <v>0</v>
      </c>
      <c r="N58" s="119" cm="1">
        <f t="array" ref="N58">_xlfn.XLOOKUP(N$1,'PY1 Data(H)'!$A$1:$BR$1,_xlfn.XLOOKUP($A58,'PY1 Data(H)'!$A$1:$A$135,'PY1 Data(H)'!$A$1:$BR$135))</f>
        <v>0</v>
      </c>
      <c r="O58" s="119" t="e" cm="1">
        <f t="array" ref="O58">_xlfn.XLOOKUP(O$1,'PY1 Data(H)'!$A$1:$BR$1,_xlfn.XLOOKUP($A58,'PY1 Data(H)'!$A$1:$A$135,'PY1 Data(H)'!$A$1:$BR$135))</f>
        <v>#N/A</v>
      </c>
      <c r="P58" s="119" cm="1">
        <f t="array" ref="P58">_xlfn.XLOOKUP(P$1,'PY1 Data(H)'!$A$1:$BR$1,_xlfn.XLOOKUP($A58,'PY1 Data(H)'!$A$1:$A$135,'PY1 Data(H)'!$A$1:$BR$135))</f>
        <v>0</v>
      </c>
      <c r="Q58" s="119" cm="1">
        <f t="array" ref="Q58">_xlfn.XLOOKUP(Q$1,'PY1 Data(H)'!$A$1:$BR$1,_xlfn.XLOOKUP($A58,'PY1 Data(H)'!$A$1:$A$135,'PY1 Data(H)'!$A$1:$BR$135))</f>
        <v>0</v>
      </c>
      <c r="R58" s="119" cm="1">
        <f t="array" ref="R58">_xlfn.XLOOKUP(R$1,'PY1 Data(H)'!$A$1:$BR$1,_xlfn.XLOOKUP($A58,'PY1 Data(H)'!$A$1:$A$135,'PY1 Data(H)'!$A$1:$BR$135))</f>
        <v>0</v>
      </c>
      <c r="S58" s="119" cm="1">
        <f t="array" ref="S58">_xlfn.XLOOKUP(S$1,'PY1 Data(H)'!$A$1:$BR$1,_xlfn.XLOOKUP($A58,'PY1 Data(H)'!$A$1:$A$135,'PY1 Data(H)'!$A$1:$BR$135))</f>
        <v>0</v>
      </c>
    </row>
    <row r="59" spans="1:19" x14ac:dyDescent="0.3">
      <c r="A59">
        <v>22</v>
      </c>
      <c r="D59" s="119" cm="1">
        <f t="array" ref="D59">_xlfn.XLOOKUP(D$1,'PY1 Data(H)'!$A$1:$BR$1,_xlfn.XLOOKUP($A59,'PY1 Data(H)'!$A$1:$A$135,'PY1 Data(H)'!$A$1:$BR$135))</f>
        <v>0</v>
      </c>
      <c r="E59" s="119" cm="1">
        <f t="array" ref="E59">_xlfn.XLOOKUP(E$1,'PY1 Data(H)'!$A$1:$BR$1,_xlfn.XLOOKUP($A59,'PY1 Data(H)'!$A$1:$A$135,'PY1 Data(H)'!$A$1:$BR$135))</f>
        <v>0</v>
      </c>
      <c r="F59" s="119" cm="1">
        <f t="array" ref="F59">_xlfn.XLOOKUP(F$1,'PY1 Data(H)'!$A$1:$BR$1,_xlfn.XLOOKUP($A59,'PY1 Data(H)'!$A$1:$A$135,'PY1 Data(H)'!$A$1:$BR$135))</f>
        <v>2361753</v>
      </c>
      <c r="G59" s="119" cm="1">
        <f t="array" ref="G59">_xlfn.XLOOKUP(G$1,'PY1 Data(H)'!$A$1:$BR$1,_xlfn.XLOOKUP($A59,'PY1 Data(H)'!$A$1:$A$135,'PY1 Data(H)'!$A$1:$BR$135))</f>
        <v>0</v>
      </c>
      <c r="H59" s="119" cm="1">
        <f t="array" ref="H59">_xlfn.XLOOKUP(H$1,'PY1 Data(H)'!$A$1:$BR$1,_xlfn.XLOOKUP($A59,'PY1 Data(H)'!$A$1:$A$135,'PY1 Data(H)'!$A$1:$BR$135))</f>
        <v>15437</v>
      </c>
      <c r="I59" s="119" cm="1">
        <f t="array" ref="I59">_xlfn.XLOOKUP(I$1,'PY1 Data(H)'!$A$1:$BR$1,_xlfn.XLOOKUP($A59,'PY1 Data(H)'!$A$1:$A$135,'PY1 Data(H)'!$A$1:$BR$135))</f>
        <v>0</v>
      </c>
      <c r="J59" s="119" cm="1">
        <f t="array" ref="J59">_xlfn.XLOOKUP(J$1,'PY1 Data(H)'!$A$1:$BR$1,_xlfn.XLOOKUP($A59,'PY1 Data(H)'!$A$1:$A$135,'PY1 Data(H)'!$A$1:$BR$135))</f>
        <v>0</v>
      </c>
      <c r="K59" s="119" cm="1">
        <f t="array" ref="K59">_xlfn.XLOOKUP(K$1,'PY1 Data(H)'!$A$1:$BR$1,_xlfn.XLOOKUP($A59,'PY1 Data(H)'!$A$1:$A$135,'PY1 Data(H)'!$A$1:$BR$135))</f>
        <v>0</v>
      </c>
      <c r="L59" s="119" cm="1">
        <f t="array" ref="L59">_xlfn.XLOOKUP(L$1,'PY1 Data(H)'!$A$1:$BR$1,_xlfn.XLOOKUP($A59,'PY1 Data(H)'!$A$1:$A$135,'PY1 Data(H)'!$A$1:$BR$135))</f>
        <v>0</v>
      </c>
      <c r="M59" s="119" cm="1">
        <f t="array" ref="M59">_xlfn.XLOOKUP(M$1,'PY1 Data(H)'!$A$1:$BR$1,_xlfn.XLOOKUP($A59,'PY1 Data(H)'!$A$1:$A$135,'PY1 Data(H)'!$A$1:$BR$135))</f>
        <v>0</v>
      </c>
      <c r="N59" s="119" cm="1">
        <f t="array" ref="N59">_xlfn.XLOOKUP(N$1,'PY1 Data(H)'!$A$1:$BR$1,_xlfn.XLOOKUP($A59,'PY1 Data(H)'!$A$1:$A$135,'PY1 Data(H)'!$A$1:$BR$135))</f>
        <v>0</v>
      </c>
      <c r="O59" s="119" t="e" cm="1">
        <f t="array" ref="O59">_xlfn.XLOOKUP(O$1,'PY1 Data(H)'!$A$1:$BR$1,_xlfn.XLOOKUP($A59,'PY1 Data(H)'!$A$1:$A$135,'PY1 Data(H)'!$A$1:$BR$135))</f>
        <v>#N/A</v>
      </c>
      <c r="P59" s="119" cm="1">
        <f t="array" ref="P59">_xlfn.XLOOKUP(P$1,'PY1 Data(H)'!$A$1:$BR$1,_xlfn.XLOOKUP($A59,'PY1 Data(H)'!$A$1:$A$135,'PY1 Data(H)'!$A$1:$BR$135))</f>
        <v>0</v>
      </c>
      <c r="Q59" s="119" cm="1">
        <f t="array" ref="Q59">_xlfn.XLOOKUP(Q$1,'PY1 Data(H)'!$A$1:$BR$1,_xlfn.XLOOKUP($A59,'PY1 Data(H)'!$A$1:$A$135,'PY1 Data(H)'!$A$1:$BR$135))</f>
        <v>0</v>
      </c>
      <c r="R59" s="119" cm="1">
        <f t="array" ref="R59">_xlfn.XLOOKUP(R$1,'PY1 Data(H)'!$A$1:$BR$1,_xlfn.XLOOKUP($A59,'PY1 Data(H)'!$A$1:$A$135,'PY1 Data(H)'!$A$1:$BR$135))</f>
        <v>0</v>
      </c>
      <c r="S59" s="119" cm="1">
        <f t="array" ref="S59">_xlfn.XLOOKUP(S$1,'PY1 Data(H)'!$A$1:$BR$1,_xlfn.XLOOKUP($A59,'PY1 Data(H)'!$A$1:$A$135,'PY1 Data(H)'!$A$1:$BR$135))</f>
        <v>0</v>
      </c>
    </row>
    <row r="60" spans="1:19" x14ac:dyDescent="0.3">
      <c r="A60">
        <v>23</v>
      </c>
      <c r="D60" s="119" cm="1">
        <f t="array" ref="D60">_xlfn.XLOOKUP(D$1,'PY1 Data(H)'!$A$1:$BR$1,_xlfn.XLOOKUP($A60,'PY1 Data(H)'!$A$1:$A$135,'PY1 Data(H)'!$A$1:$BR$135))</f>
        <v>52522</v>
      </c>
      <c r="E60" s="119" cm="1">
        <f t="array" ref="E60">_xlfn.XLOOKUP(E$1,'PY1 Data(H)'!$A$1:$BR$1,_xlfn.XLOOKUP($A60,'PY1 Data(H)'!$A$1:$A$135,'PY1 Data(H)'!$A$1:$BR$135))</f>
        <v>66922</v>
      </c>
      <c r="F60" s="119" cm="1">
        <f t="array" ref="F60">_xlfn.XLOOKUP(F$1,'PY1 Data(H)'!$A$1:$BR$1,_xlfn.XLOOKUP($A60,'PY1 Data(H)'!$A$1:$A$135,'PY1 Data(H)'!$A$1:$BR$135))</f>
        <v>-72700</v>
      </c>
      <c r="G60" s="119" cm="1">
        <f t="array" ref="G60">_xlfn.XLOOKUP(G$1,'PY1 Data(H)'!$A$1:$BR$1,_xlfn.XLOOKUP($A60,'PY1 Data(H)'!$A$1:$A$135,'PY1 Data(H)'!$A$1:$BR$135))</f>
        <v>353479</v>
      </c>
      <c r="H60" s="119" cm="1">
        <f t="array" ref="H60">_xlfn.XLOOKUP(H$1,'PY1 Data(H)'!$A$1:$BR$1,_xlfn.XLOOKUP($A60,'PY1 Data(H)'!$A$1:$A$135,'PY1 Data(H)'!$A$1:$BR$135))</f>
        <v>63530</v>
      </c>
      <c r="I60" s="119" cm="1">
        <f t="array" ref="I60">_xlfn.XLOOKUP(I$1,'PY1 Data(H)'!$A$1:$BR$1,_xlfn.XLOOKUP($A60,'PY1 Data(H)'!$A$1:$A$135,'PY1 Data(H)'!$A$1:$BR$135))</f>
        <v>69207</v>
      </c>
      <c r="J60" s="119" cm="1">
        <f t="array" ref="J60">_xlfn.XLOOKUP(J$1,'PY1 Data(H)'!$A$1:$BR$1,_xlfn.XLOOKUP($A60,'PY1 Data(H)'!$A$1:$A$135,'PY1 Data(H)'!$A$1:$BR$135))</f>
        <v>549708</v>
      </c>
      <c r="K60" s="119" cm="1">
        <f t="array" ref="K60">_xlfn.XLOOKUP(K$1,'PY1 Data(H)'!$A$1:$BR$1,_xlfn.XLOOKUP($A60,'PY1 Data(H)'!$A$1:$A$135,'PY1 Data(H)'!$A$1:$BR$135))</f>
        <v>-358</v>
      </c>
      <c r="L60" s="119" cm="1">
        <f t="array" ref="L60">_xlfn.XLOOKUP(L$1,'PY1 Data(H)'!$A$1:$BR$1,_xlfn.XLOOKUP($A60,'PY1 Data(H)'!$A$1:$A$135,'PY1 Data(H)'!$A$1:$BR$135))</f>
        <v>63504</v>
      </c>
      <c r="M60" s="119" cm="1">
        <f t="array" ref="M60">_xlfn.XLOOKUP(M$1,'PY1 Data(H)'!$A$1:$BR$1,_xlfn.XLOOKUP($A60,'PY1 Data(H)'!$A$1:$A$135,'PY1 Data(H)'!$A$1:$BR$135))</f>
        <v>7189</v>
      </c>
      <c r="N60" s="119" cm="1">
        <f t="array" ref="N60">_xlfn.XLOOKUP(N$1,'PY1 Data(H)'!$A$1:$BR$1,_xlfn.XLOOKUP($A60,'PY1 Data(H)'!$A$1:$A$135,'PY1 Data(H)'!$A$1:$BR$135))</f>
        <v>0</v>
      </c>
      <c r="O60" s="119" t="e" cm="1">
        <f t="array" ref="O60">_xlfn.XLOOKUP(O$1,'PY1 Data(H)'!$A$1:$BR$1,_xlfn.XLOOKUP($A60,'PY1 Data(H)'!$A$1:$A$135,'PY1 Data(H)'!$A$1:$BR$135))</f>
        <v>#N/A</v>
      </c>
      <c r="P60" s="119" cm="1">
        <f t="array" ref="P60">_xlfn.XLOOKUP(P$1,'PY1 Data(H)'!$A$1:$BR$1,_xlfn.XLOOKUP($A60,'PY1 Data(H)'!$A$1:$A$135,'PY1 Data(H)'!$A$1:$BR$135))</f>
        <v>-19418</v>
      </c>
      <c r="Q60" s="119" cm="1">
        <f t="array" ref="Q60">_xlfn.XLOOKUP(Q$1,'PY1 Data(H)'!$A$1:$BR$1,_xlfn.XLOOKUP($A60,'PY1 Data(H)'!$A$1:$A$135,'PY1 Data(H)'!$A$1:$BR$135))</f>
        <v>712049</v>
      </c>
      <c r="R60" s="119" cm="1">
        <f t="array" ref="R60">_xlfn.XLOOKUP(R$1,'PY1 Data(H)'!$A$1:$BR$1,_xlfn.XLOOKUP($A60,'PY1 Data(H)'!$A$1:$A$135,'PY1 Data(H)'!$A$1:$BR$135))</f>
        <v>62932</v>
      </c>
      <c r="S60" s="119" cm="1">
        <f t="array" ref="S60">_xlfn.XLOOKUP(S$1,'PY1 Data(H)'!$A$1:$BR$1,_xlfn.XLOOKUP($A60,'PY1 Data(H)'!$A$1:$A$135,'PY1 Data(H)'!$A$1:$BR$135))</f>
        <v>247496</v>
      </c>
    </row>
    <row r="61" spans="1:19" x14ac:dyDescent="0.3">
      <c r="A61">
        <v>507</v>
      </c>
      <c r="D61" s="119" cm="1">
        <f t="array" ref="D61">_xlfn.XLOOKUP(D$1,'PY1 Data(H)'!$A$1:$BR$1,_xlfn.XLOOKUP($A61,'PY1 Data(H)'!$A$1:$A$135,'PY1 Data(H)'!$A$1:$BR$135))</f>
        <v>0</v>
      </c>
      <c r="E61" s="119" cm="1">
        <f t="array" ref="E61">_xlfn.XLOOKUP(E$1,'PY1 Data(H)'!$A$1:$BR$1,_xlfn.XLOOKUP($A61,'PY1 Data(H)'!$A$1:$A$135,'PY1 Data(H)'!$A$1:$BR$135))</f>
        <v>0</v>
      </c>
      <c r="F61" s="119" cm="1">
        <f t="array" ref="F61">_xlfn.XLOOKUP(F$1,'PY1 Data(H)'!$A$1:$BR$1,_xlfn.XLOOKUP($A61,'PY1 Data(H)'!$A$1:$A$135,'PY1 Data(H)'!$A$1:$BR$135))</f>
        <v>0</v>
      </c>
      <c r="G61" s="119" cm="1">
        <f t="array" ref="G61">_xlfn.XLOOKUP(G$1,'PY1 Data(H)'!$A$1:$BR$1,_xlfn.XLOOKUP($A61,'PY1 Data(H)'!$A$1:$A$135,'PY1 Data(H)'!$A$1:$BR$135))</f>
        <v>0</v>
      </c>
      <c r="H61" s="119" cm="1">
        <f t="array" ref="H61">_xlfn.XLOOKUP(H$1,'PY1 Data(H)'!$A$1:$BR$1,_xlfn.XLOOKUP($A61,'PY1 Data(H)'!$A$1:$A$135,'PY1 Data(H)'!$A$1:$BR$135))</f>
        <v>1</v>
      </c>
      <c r="I61" s="119" cm="1">
        <f t="array" ref="I61">_xlfn.XLOOKUP(I$1,'PY1 Data(H)'!$A$1:$BR$1,_xlfn.XLOOKUP($A61,'PY1 Data(H)'!$A$1:$A$135,'PY1 Data(H)'!$A$1:$BR$135))</f>
        <v>0</v>
      </c>
      <c r="J61" s="119" cm="1">
        <f t="array" ref="J61">_xlfn.XLOOKUP(J$1,'PY1 Data(H)'!$A$1:$BR$1,_xlfn.XLOOKUP($A61,'PY1 Data(H)'!$A$1:$A$135,'PY1 Data(H)'!$A$1:$BR$135))</f>
        <v>0</v>
      </c>
      <c r="K61" s="119" cm="1">
        <f t="array" ref="K61">_xlfn.XLOOKUP(K$1,'PY1 Data(H)'!$A$1:$BR$1,_xlfn.XLOOKUP($A61,'PY1 Data(H)'!$A$1:$A$135,'PY1 Data(H)'!$A$1:$BR$135))</f>
        <v>0</v>
      </c>
      <c r="L61" s="119" cm="1">
        <f t="array" ref="L61">_xlfn.XLOOKUP(L$1,'PY1 Data(H)'!$A$1:$BR$1,_xlfn.XLOOKUP($A61,'PY1 Data(H)'!$A$1:$A$135,'PY1 Data(H)'!$A$1:$BR$135))</f>
        <v>0</v>
      </c>
      <c r="M61" s="119" cm="1">
        <f t="array" ref="M61">_xlfn.XLOOKUP(M$1,'PY1 Data(H)'!$A$1:$BR$1,_xlfn.XLOOKUP($A61,'PY1 Data(H)'!$A$1:$A$135,'PY1 Data(H)'!$A$1:$BR$135))</f>
        <v>0</v>
      </c>
      <c r="N61" s="119" cm="1">
        <f t="array" ref="N61">_xlfn.XLOOKUP(N$1,'PY1 Data(H)'!$A$1:$BR$1,_xlfn.XLOOKUP($A61,'PY1 Data(H)'!$A$1:$A$135,'PY1 Data(H)'!$A$1:$BR$135))</f>
        <v>0</v>
      </c>
      <c r="O61" s="119" t="e" cm="1">
        <f t="array" ref="O61">_xlfn.XLOOKUP(O$1,'PY1 Data(H)'!$A$1:$BR$1,_xlfn.XLOOKUP($A61,'PY1 Data(H)'!$A$1:$A$135,'PY1 Data(H)'!$A$1:$BR$135))</f>
        <v>#N/A</v>
      </c>
      <c r="P61" s="119" cm="1">
        <f t="array" ref="P61">_xlfn.XLOOKUP(P$1,'PY1 Data(H)'!$A$1:$BR$1,_xlfn.XLOOKUP($A61,'PY1 Data(H)'!$A$1:$A$135,'PY1 Data(H)'!$A$1:$BR$135))</f>
        <v>0</v>
      </c>
      <c r="Q61" s="119" cm="1">
        <f t="array" ref="Q61">_xlfn.XLOOKUP(Q$1,'PY1 Data(H)'!$A$1:$BR$1,_xlfn.XLOOKUP($A61,'PY1 Data(H)'!$A$1:$A$135,'PY1 Data(H)'!$A$1:$BR$135))</f>
        <v>0</v>
      </c>
      <c r="R61" s="119" cm="1">
        <f t="array" ref="R61">_xlfn.XLOOKUP(R$1,'PY1 Data(H)'!$A$1:$BR$1,_xlfn.XLOOKUP($A61,'PY1 Data(H)'!$A$1:$A$135,'PY1 Data(H)'!$A$1:$BR$135))</f>
        <v>0</v>
      </c>
      <c r="S61" s="119" cm="1">
        <f t="array" ref="S61">_xlfn.XLOOKUP(S$1,'PY1 Data(H)'!$A$1:$BR$1,_xlfn.XLOOKUP($A61,'PY1 Data(H)'!$A$1:$A$135,'PY1 Data(H)'!$A$1:$BR$135))</f>
        <v>0</v>
      </c>
    </row>
    <row r="62" spans="1:19" x14ac:dyDescent="0.3">
      <c r="A62">
        <v>647</v>
      </c>
      <c r="D62" s="119" cm="1">
        <f t="array" ref="D62">_xlfn.XLOOKUP(D$1,'PY1 Data(H)'!$A$1:$BR$1,_xlfn.XLOOKUP($A62,'PY1 Data(H)'!$A$1:$A$135,'PY1 Data(H)'!$A$1:$BR$135))</f>
        <v>0</v>
      </c>
      <c r="E62" s="119" cm="1">
        <f t="array" ref="E62">_xlfn.XLOOKUP(E$1,'PY1 Data(H)'!$A$1:$BR$1,_xlfn.XLOOKUP($A62,'PY1 Data(H)'!$A$1:$A$135,'PY1 Data(H)'!$A$1:$BR$135))</f>
        <v>0</v>
      </c>
      <c r="F62" s="119" cm="1">
        <f t="array" ref="F62">_xlfn.XLOOKUP(F$1,'PY1 Data(H)'!$A$1:$BR$1,_xlfn.XLOOKUP($A62,'PY1 Data(H)'!$A$1:$A$135,'PY1 Data(H)'!$A$1:$BR$135))</f>
        <v>0</v>
      </c>
      <c r="G62" s="119" cm="1">
        <f t="array" ref="G62">_xlfn.XLOOKUP(G$1,'PY1 Data(H)'!$A$1:$BR$1,_xlfn.XLOOKUP($A62,'PY1 Data(H)'!$A$1:$A$135,'PY1 Data(H)'!$A$1:$BR$135))</f>
        <v>0</v>
      </c>
      <c r="H62" s="119" cm="1">
        <f t="array" ref="H62">_xlfn.XLOOKUP(H$1,'PY1 Data(H)'!$A$1:$BR$1,_xlfn.XLOOKUP($A62,'PY1 Data(H)'!$A$1:$A$135,'PY1 Data(H)'!$A$1:$BR$135))</f>
        <v>0</v>
      </c>
      <c r="I62" s="119" cm="1">
        <f t="array" ref="I62">_xlfn.XLOOKUP(I$1,'PY1 Data(H)'!$A$1:$BR$1,_xlfn.XLOOKUP($A62,'PY1 Data(H)'!$A$1:$A$135,'PY1 Data(H)'!$A$1:$BR$135))</f>
        <v>0</v>
      </c>
      <c r="J62" s="119" cm="1">
        <f t="array" ref="J62">_xlfn.XLOOKUP(J$1,'PY1 Data(H)'!$A$1:$BR$1,_xlfn.XLOOKUP($A62,'PY1 Data(H)'!$A$1:$A$135,'PY1 Data(H)'!$A$1:$BR$135))</f>
        <v>0</v>
      </c>
      <c r="K62" s="119" cm="1">
        <f t="array" ref="K62">_xlfn.XLOOKUP(K$1,'PY1 Data(H)'!$A$1:$BR$1,_xlfn.XLOOKUP($A62,'PY1 Data(H)'!$A$1:$A$135,'PY1 Data(H)'!$A$1:$BR$135))</f>
        <v>0</v>
      </c>
      <c r="L62" s="119" cm="1">
        <f t="array" ref="L62">_xlfn.XLOOKUP(L$1,'PY1 Data(H)'!$A$1:$BR$1,_xlfn.XLOOKUP($A62,'PY1 Data(H)'!$A$1:$A$135,'PY1 Data(H)'!$A$1:$BR$135))</f>
        <v>0</v>
      </c>
      <c r="M62" s="119" cm="1">
        <f t="array" ref="M62">_xlfn.XLOOKUP(M$1,'PY1 Data(H)'!$A$1:$BR$1,_xlfn.XLOOKUP($A62,'PY1 Data(H)'!$A$1:$A$135,'PY1 Data(H)'!$A$1:$BR$135))</f>
        <v>0</v>
      </c>
      <c r="N62" s="119" cm="1">
        <f t="array" ref="N62">_xlfn.XLOOKUP(N$1,'PY1 Data(H)'!$A$1:$BR$1,_xlfn.XLOOKUP($A62,'PY1 Data(H)'!$A$1:$A$135,'PY1 Data(H)'!$A$1:$BR$135))</f>
        <v>0</v>
      </c>
      <c r="O62" s="119" t="e" cm="1">
        <f t="array" ref="O62">_xlfn.XLOOKUP(O$1,'PY1 Data(H)'!$A$1:$BR$1,_xlfn.XLOOKUP($A62,'PY1 Data(H)'!$A$1:$A$135,'PY1 Data(H)'!$A$1:$BR$135))</f>
        <v>#N/A</v>
      </c>
      <c r="P62" s="119" cm="1">
        <f t="array" ref="P62">_xlfn.XLOOKUP(P$1,'PY1 Data(H)'!$A$1:$BR$1,_xlfn.XLOOKUP($A62,'PY1 Data(H)'!$A$1:$A$135,'PY1 Data(H)'!$A$1:$BR$135))</f>
        <v>0</v>
      </c>
      <c r="Q62" s="119" cm="1">
        <f t="array" ref="Q62">_xlfn.XLOOKUP(Q$1,'PY1 Data(H)'!$A$1:$BR$1,_xlfn.XLOOKUP($A62,'PY1 Data(H)'!$A$1:$A$135,'PY1 Data(H)'!$A$1:$BR$135))</f>
        <v>0</v>
      </c>
      <c r="R62" s="119" cm="1">
        <f t="array" ref="R62">_xlfn.XLOOKUP(R$1,'PY1 Data(H)'!$A$1:$BR$1,_xlfn.XLOOKUP($A62,'PY1 Data(H)'!$A$1:$A$135,'PY1 Data(H)'!$A$1:$BR$135))</f>
        <v>0</v>
      </c>
      <c r="S62" s="119" cm="1">
        <f t="array" ref="S62">_xlfn.XLOOKUP(S$1,'PY1 Data(H)'!$A$1:$BR$1,_xlfn.XLOOKUP($A62,'PY1 Data(H)'!$A$1:$A$135,'PY1 Data(H)'!$A$1:$BR$135))</f>
        <v>0</v>
      </c>
    </row>
    <row r="63" spans="1:19" x14ac:dyDescent="0.3">
      <c r="D63" s="119" cm="1">
        <f t="array" ref="D63">_xlfn.XLOOKUP(D$1,'PY1 Data(H)'!$A$1:$BR$1,_xlfn.XLOOKUP($A63,'PY1 Data(H)'!$A$1:$A$135,'PY1 Data(H)'!$A$1:$BR$135))</f>
        <v>0</v>
      </c>
      <c r="E63" s="119" cm="1">
        <f t="array" ref="E63">_xlfn.XLOOKUP(E$1,'PY1 Data(H)'!$A$1:$BR$1,_xlfn.XLOOKUP($A63,'PY1 Data(H)'!$A$1:$A$135,'PY1 Data(H)'!$A$1:$BR$135))</f>
        <v>0</v>
      </c>
      <c r="F63" s="119" cm="1">
        <f t="array" ref="F63">_xlfn.XLOOKUP(F$1,'PY1 Data(H)'!$A$1:$BR$1,_xlfn.XLOOKUP($A63,'PY1 Data(H)'!$A$1:$A$135,'PY1 Data(H)'!$A$1:$BR$135))</f>
        <v>0</v>
      </c>
      <c r="G63" s="119" cm="1">
        <f t="array" ref="G63">_xlfn.XLOOKUP(G$1,'PY1 Data(H)'!$A$1:$BR$1,_xlfn.XLOOKUP($A63,'PY1 Data(H)'!$A$1:$A$135,'PY1 Data(H)'!$A$1:$BR$135))</f>
        <v>0</v>
      </c>
      <c r="H63" s="119" cm="1">
        <f t="array" ref="H63">_xlfn.XLOOKUP(H$1,'PY1 Data(H)'!$A$1:$BR$1,_xlfn.XLOOKUP($A63,'PY1 Data(H)'!$A$1:$A$135,'PY1 Data(H)'!$A$1:$BR$135))</f>
        <v>0</v>
      </c>
      <c r="I63" s="119" cm="1">
        <f t="array" ref="I63">_xlfn.XLOOKUP(I$1,'PY1 Data(H)'!$A$1:$BR$1,_xlfn.XLOOKUP($A63,'PY1 Data(H)'!$A$1:$A$135,'PY1 Data(H)'!$A$1:$BR$135))</f>
        <v>0</v>
      </c>
      <c r="J63" s="119" cm="1">
        <f t="array" ref="J63">_xlfn.XLOOKUP(J$1,'PY1 Data(H)'!$A$1:$BR$1,_xlfn.XLOOKUP($A63,'PY1 Data(H)'!$A$1:$A$135,'PY1 Data(H)'!$A$1:$BR$135))</f>
        <v>0</v>
      </c>
      <c r="K63" s="119" cm="1">
        <f t="array" ref="K63">_xlfn.XLOOKUP(K$1,'PY1 Data(H)'!$A$1:$BR$1,_xlfn.XLOOKUP($A63,'PY1 Data(H)'!$A$1:$A$135,'PY1 Data(H)'!$A$1:$BR$135))</f>
        <v>0</v>
      </c>
      <c r="L63" s="119" cm="1">
        <f t="array" ref="L63">_xlfn.XLOOKUP(L$1,'PY1 Data(H)'!$A$1:$BR$1,_xlfn.XLOOKUP($A63,'PY1 Data(H)'!$A$1:$A$135,'PY1 Data(H)'!$A$1:$BR$135))</f>
        <v>0</v>
      </c>
      <c r="M63" s="119" cm="1">
        <f t="array" ref="M63">_xlfn.XLOOKUP(M$1,'PY1 Data(H)'!$A$1:$BR$1,_xlfn.XLOOKUP($A63,'PY1 Data(H)'!$A$1:$A$135,'PY1 Data(H)'!$A$1:$BR$135))</f>
        <v>0</v>
      </c>
      <c r="N63" s="119" cm="1">
        <f t="array" ref="N63">_xlfn.XLOOKUP(N$1,'PY1 Data(H)'!$A$1:$BR$1,_xlfn.XLOOKUP($A63,'PY1 Data(H)'!$A$1:$A$135,'PY1 Data(H)'!$A$1:$BR$135))</f>
        <v>0</v>
      </c>
      <c r="O63" s="119" t="e" cm="1">
        <f t="array" ref="O63">_xlfn.XLOOKUP(O$1,'PY1 Data(H)'!$A$1:$BR$1,_xlfn.XLOOKUP($A63,'PY1 Data(H)'!$A$1:$A$135,'PY1 Data(H)'!$A$1:$BR$135))</f>
        <v>#N/A</v>
      </c>
      <c r="P63" s="119" cm="1">
        <f t="array" ref="P63">_xlfn.XLOOKUP(P$1,'PY1 Data(H)'!$A$1:$BR$1,_xlfn.XLOOKUP($A63,'PY1 Data(H)'!$A$1:$A$135,'PY1 Data(H)'!$A$1:$BR$135))</f>
        <v>0</v>
      </c>
      <c r="Q63" s="119" cm="1">
        <f t="array" ref="Q63">_xlfn.XLOOKUP(Q$1,'PY1 Data(H)'!$A$1:$BR$1,_xlfn.XLOOKUP($A63,'PY1 Data(H)'!$A$1:$A$135,'PY1 Data(H)'!$A$1:$BR$135))</f>
        <v>0</v>
      </c>
      <c r="R63" s="119" cm="1">
        <f t="array" ref="R63">_xlfn.XLOOKUP(R$1,'PY1 Data(H)'!$A$1:$BR$1,_xlfn.XLOOKUP($A63,'PY1 Data(H)'!$A$1:$A$135,'PY1 Data(H)'!$A$1:$BR$135))</f>
        <v>0</v>
      </c>
      <c r="S63" s="119" cm="1">
        <f t="array" ref="S63">_xlfn.XLOOKUP(S$1,'PY1 Data(H)'!$A$1:$BR$1,_xlfn.XLOOKUP($A63,'PY1 Data(H)'!$A$1:$A$135,'PY1 Data(H)'!$A$1:$BR$135))</f>
        <v>0</v>
      </c>
    </row>
    <row r="64" spans="1:19" x14ac:dyDescent="0.3">
      <c r="A64">
        <v>534</v>
      </c>
      <c r="D64" s="119" cm="1">
        <f t="array" ref="D64">_xlfn.XLOOKUP(D$1,'PY1 Data(H)'!$A$1:$BR$1,_xlfn.XLOOKUP($A64,'PY1 Data(H)'!$A$1:$A$135,'PY1 Data(H)'!$A$1:$BR$135))</f>
        <v>0</v>
      </c>
      <c r="E64" s="119" cm="1">
        <f t="array" ref="E64">_xlfn.XLOOKUP(E$1,'PY1 Data(H)'!$A$1:$BR$1,_xlfn.XLOOKUP($A64,'PY1 Data(H)'!$A$1:$A$135,'PY1 Data(H)'!$A$1:$BR$135))</f>
        <v>0</v>
      </c>
      <c r="F64" s="119" cm="1">
        <f t="array" ref="F64">_xlfn.XLOOKUP(F$1,'PY1 Data(H)'!$A$1:$BR$1,_xlfn.XLOOKUP($A64,'PY1 Data(H)'!$A$1:$A$135,'PY1 Data(H)'!$A$1:$BR$135))</f>
        <v>0</v>
      </c>
      <c r="G64" s="119" cm="1">
        <f t="array" ref="G64">_xlfn.XLOOKUP(G$1,'PY1 Data(H)'!$A$1:$BR$1,_xlfn.XLOOKUP($A64,'PY1 Data(H)'!$A$1:$A$135,'PY1 Data(H)'!$A$1:$BR$135))</f>
        <v>0</v>
      </c>
      <c r="H64" s="119" cm="1">
        <f t="array" ref="H64">_xlfn.XLOOKUP(H$1,'PY1 Data(H)'!$A$1:$BR$1,_xlfn.XLOOKUP($A64,'PY1 Data(H)'!$A$1:$A$135,'PY1 Data(H)'!$A$1:$BR$135))</f>
        <v>0</v>
      </c>
      <c r="I64" s="119" cm="1">
        <f t="array" ref="I64">_xlfn.XLOOKUP(I$1,'PY1 Data(H)'!$A$1:$BR$1,_xlfn.XLOOKUP($A64,'PY1 Data(H)'!$A$1:$A$135,'PY1 Data(H)'!$A$1:$BR$135))</f>
        <v>0</v>
      </c>
      <c r="J64" s="119" cm="1">
        <f t="array" ref="J64">_xlfn.XLOOKUP(J$1,'PY1 Data(H)'!$A$1:$BR$1,_xlfn.XLOOKUP($A64,'PY1 Data(H)'!$A$1:$A$135,'PY1 Data(H)'!$A$1:$BR$135))</f>
        <v>0</v>
      </c>
      <c r="K64" s="119" cm="1">
        <f t="array" ref="K64">_xlfn.XLOOKUP(K$1,'PY1 Data(H)'!$A$1:$BR$1,_xlfn.XLOOKUP($A64,'PY1 Data(H)'!$A$1:$A$135,'PY1 Data(H)'!$A$1:$BR$135))</f>
        <v>4775</v>
      </c>
      <c r="L64" s="119" cm="1">
        <f t="array" ref="L64">_xlfn.XLOOKUP(L$1,'PY1 Data(H)'!$A$1:$BR$1,_xlfn.XLOOKUP($A64,'PY1 Data(H)'!$A$1:$A$135,'PY1 Data(H)'!$A$1:$BR$135))</f>
        <v>0</v>
      </c>
      <c r="M64" s="119" cm="1">
        <f t="array" ref="M64">_xlfn.XLOOKUP(M$1,'PY1 Data(H)'!$A$1:$BR$1,_xlfn.XLOOKUP($A64,'PY1 Data(H)'!$A$1:$A$135,'PY1 Data(H)'!$A$1:$BR$135))</f>
        <v>2344</v>
      </c>
      <c r="N64" s="119" cm="1">
        <f t="array" ref="N64">_xlfn.XLOOKUP(N$1,'PY1 Data(H)'!$A$1:$BR$1,_xlfn.XLOOKUP($A64,'PY1 Data(H)'!$A$1:$A$135,'PY1 Data(H)'!$A$1:$BR$135))</f>
        <v>0</v>
      </c>
      <c r="O64" s="119" t="e" cm="1">
        <f t="array" ref="O64">_xlfn.XLOOKUP(O$1,'PY1 Data(H)'!$A$1:$BR$1,_xlfn.XLOOKUP($A64,'PY1 Data(H)'!$A$1:$A$135,'PY1 Data(H)'!$A$1:$BR$135))</f>
        <v>#N/A</v>
      </c>
      <c r="P64" s="119" cm="1">
        <f t="array" ref="P64">_xlfn.XLOOKUP(P$1,'PY1 Data(H)'!$A$1:$BR$1,_xlfn.XLOOKUP($A64,'PY1 Data(H)'!$A$1:$A$135,'PY1 Data(H)'!$A$1:$BR$135))</f>
        <v>0</v>
      </c>
      <c r="Q64" s="119" cm="1">
        <f t="array" ref="Q64">_xlfn.XLOOKUP(Q$1,'PY1 Data(H)'!$A$1:$BR$1,_xlfn.XLOOKUP($A64,'PY1 Data(H)'!$A$1:$A$135,'PY1 Data(H)'!$A$1:$BR$135))</f>
        <v>0</v>
      </c>
      <c r="R64" s="119" cm="1">
        <f t="array" ref="R64">_xlfn.XLOOKUP(R$1,'PY1 Data(H)'!$A$1:$BR$1,_xlfn.XLOOKUP($A64,'PY1 Data(H)'!$A$1:$A$135,'PY1 Data(H)'!$A$1:$BR$135))</f>
        <v>0</v>
      </c>
      <c r="S64" s="119" cm="1">
        <f t="array" ref="S64">_xlfn.XLOOKUP(S$1,'PY1 Data(H)'!$A$1:$BR$1,_xlfn.XLOOKUP($A64,'PY1 Data(H)'!$A$1:$A$135,'PY1 Data(H)'!$A$1:$BR$135))</f>
        <v>0</v>
      </c>
    </row>
    <row r="65" spans="1:19" x14ac:dyDescent="0.3">
      <c r="A65">
        <v>13</v>
      </c>
      <c r="D65" s="119" cm="1">
        <f t="array" ref="D65">_xlfn.XLOOKUP(D$1,'PY1 Data(H)'!$A$1:$BR$1,_xlfn.XLOOKUP($A65,'PY1 Data(H)'!$A$1:$A$135,'PY1 Data(H)'!$A$1:$BR$135))</f>
        <v>0</v>
      </c>
      <c r="E65" s="119" cm="1">
        <f t="array" ref="E65">_xlfn.XLOOKUP(E$1,'PY1 Data(H)'!$A$1:$BR$1,_xlfn.XLOOKUP($A65,'PY1 Data(H)'!$A$1:$A$135,'PY1 Data(H)'!$A$1:$BR$135))</f>
        <v>0</v>
      </c>
      <c r="F65" s="119" cm="1">
        <f t="array" ref="F65">_xlfn.XLOOKUP(F$1,'PY1 Data(H)'!$A$1:$BR$1,_xlfn.XLOOKUP($A65,'PY1 Data(H)'!$A$1:$A$135,'PY1 Data(H)'!$A$1:$BR$135))</f>
        <v>0</v>
      </c>
      <c r="G65" s="119" cm="1">
        <f t="array" ref="G65">_xlfn.XLOOKUP(G$1,'PY1 Data(H)'!$A$1:$BR$1,_xlfn.XLOOKUP($A65,'PY1 Data(H)'!$A$1:$A$135,'PY1 Data(H)'!$A$1:$BR$135))</f>
        <v>0</v>
      </c>
      <c r="H65" s="119" cm="1">
        <f t="array" ref="H65">_xlfn.XLOOKUP(H$1,'PY1 Data(H)'!$A$1:$BR$1,_xlfn.XLOOKUP($A65,'PY1 Data(H)'!$A$1:$A$135,'PY1 Data(H)'!$A$1:$BR$135))</f>
        <v>0</v>
      </c>
      <c r="I65" s="119" cm="1">
        <f t="array" ref="I65">_xlfn.XLOOKUP(I$1,'PY1 Data(H)'!$A$1:$BR$1,_xlfn.XLOOKUP($A65,'PY1 Data(H)'!$A$1:$A$135,'PY1 Data(H)'!$A$1:$BR$135))</f>
        <v>0</v>
      </c>
      <c r="J65" s="119" cm="1">
        <f t="array" ref="J65">_xlfn.XLOOKUP(J$1,'PY1 Data(H)'!$A$1:$BR$1,_xlfn.XLOOKUP($A65,'PY1 Data(H)'!$A$1:$A$135,'PY1 Data(H)'!$A$1:$BR$135))</f>
        <v>0</v>
      </c>
      <c r="K65" s="119" cm="1">
        <f t="array" ref="K65">_xlfn.XLOOKUP(K$1,'PY1 Data(H)'!$A$1:$BR$1,_xlfn.XLOOKUP($A65,'PY1 Data(H)'!$A$1:$A$135,'PY1 Data(H)'!$A$1:$BR$135))</f>
        <v>676629</v>
      </c>
      <c r="L65" s="119" cm="1">
        <f t="array" ref="L65">_xlfn.XLOOKUP(L$1,'PY1 Data(H)'!$A$1:$BR$1,_xlfn.XLOOKUP($A65,'PY1 Data(H)'!$A$1:$A$135,'PY1 Data(H)'!$A$1:$BR$135))</f>
        <v>0</v>
      </c>
      <c r="M65" s="119" cm="1">
        <f t="array" ref="M65">_xlfn.XLOOKUP(M$1,'PY1 Data(H)'!$A$1:$BR$1,_xlfn.XLOOKUP($A65,'PY1 Data(H)'!$A$1:$A$135,'PY1 Data(H)'!$A$1:$BR$135))</f>
        <v>467649</v>
      </c>
      <c r="N65" s="119" cm="1">
        <f t="array" ref="N65">_xlfn.XLOOKUP(N$1,'PY1 Data(H)'!$A$1:$BR$1,_xlfn.XLOOKUP($A65,'PY1 Data(H)'!$A$1:$A$135,'PY1 Data(H)'!$A$1:$BR$135))</f>
        <v>0</v>
      </c>
      <c r="O65" s="119" t="e" cm="1">
        <f t="array" ref="O65">_xlfn.XLOOKUP(O$1,'PY1 Data(H)'!$A$1:$BR$1,_xlfn.XLOOKUP($A65,'PY1 Data(H)'!$A$1:$A$135,'PY1 Data(H)'!$A$1:$BR$135))</f>
        <v>#N/A</v>
      </c>
      <c r="P65" s="119" cm="1">
        <f t="array" ref="P65">_xlfn.XLOOKUP(P$1,'PY1 Data(H)'!$A$1:$BR$1,_xlfn.XLOOKUP($A65,'PY1 Data(H)'!$A$1:$A$135,'PY1 Data(H)'!$A$1:$BR$135))</f>
        <v>0</v>
      </c>
      <c r="Q65" s="119" cm="1">
        <f t="array" ref="Q65">_xlfn.XLOOKUP(Q$1,'PY1 Data(H)'!$A$1:$BR$1,_xlfn.XLOOKUP($A65,'PY1 Data(H)'!$A$1:$A$135,'PY1 Data(H)'!$A$1:$BR$135))</f>
        <v>0</v>
      </c>
      <c r="R65" s="119" cm="1">
        <f t="array" ref="R65">_xlfn.XLOOKUP(R$1,'PY1 Data(H)'!$A$1:$BR$1,_xlfn.XLOOKUP($A65,'PY1 Data(H)'!$A$1:$A$135,'PY1 Data(H)'!$A$1:$BR$135))</f>
        <v>0</v>
      </c>
      <c r="S65" s="119" cm="1">
        <f t="array" ref="S65">_xlfn.XLOOKUP(S$1,'PY1 Data(H)'!$A$1:$BR$1,_xlfn.XLOOKUP($A65,'PY1 Data(H)'!$A$1:$A$135,'PY1 Data(H)'!$A$1:$BR$135))</f>
        <v>0</v>
      </c>
    </row>
    <row r="66" spans="1:19" x14ac:dyDescent="0.3">
      <c r="A66">
        <v>14</v>
      </c>
      <c r="D66" s="119" cm="1">
        <f t="array" ref="D66">_xlfn.XLOOKUP(D$1,'PY1 Data(H)'!$A$1:$BR$1,_xlfn.XLOOKUP($A66,'PY1 Data(H)'!$A$1:$A$135,'PY1 Data(H)'!$A$1:$BR$135))</f>
        <v>0</v>
      </c>
      <c r="E66" s="119" cm="1">
        <f t="array" ref="E66">_xlfn.XLOOKUP(E$1,'PY1 Data(H)'!$A$1:$BR$1,_xlfn.XLOOKUP($A66,'PY1 Data(H)'!$A$1:$A$135,'PY1 Data(H)'!$A$1:$BR$135))</f>
        <v>0</v>
      </c>
      <c r="F66" s="119" cm="1">
        <f t="array" ref="F66">_xlfn.XLOOKUP(F$1,'PY1 Data(H)'!$A$1:$BR$1,_xlfn.XLOOKUP($A66,'PY1 Data(H)'!$A$1:$A$135,'PY1 Data(H)'!$A$1:$BR$135))</f>
        <v>0</v>
      </c>
      <c r="G66" s="119" cm="1">
        <f t="array" ref="G66">_xlfn.XLOOKUP(G$1,'PY1 Data(H)'!$A$1:$BR$1,_xlfn.XLOOKUP($A66,'PY1 Data(H)'!$A$1:$A$135,'PY1 Data(H)'!$A$1:$BR$135))</f>
        <v>0</v>
      </c>
      <c r="H66" s="119" cm="1">
        <f t="array" ref="H66">_xlfn.XLOOKUP(H$1,'PY1 Data(H)'!$A$1:$BR$1,_xlfn.XLOOKUP($A66,'PY1 Data(H)'!$A$1:$A$135,'PY1 Data(H)'!$A$1:$BR$135))</f>
        <v>0</v>
      </c>
      <c r="I66" s="119" cm="1">
        <f t="array" ref="I66">_xlfn.XLOOKUP(I$1,'PY1 Data(H)'!$A$1:$BR$1,_xlfn.XLOOKUP($A66,'PY1 Data(H)'!$A$1:$A$135,'PY1 Data(H)'!$A$1:$BR$135))</f>
        <v>0</v>
      </c>
      <c r="J66" s="119" cm="1">
        <f t="array" ref="J66">_xlfn.XLOOKUP(J$1,'PY1 Data(H)'!$A$1:$BR$1,_xlfn.XLOOKUP($A66,'PY1 Data(H)'!$A$1:$A$135,'PY1 Data(H)'!$A$1:$BR$135))</f>
        <v>0</v>
      </c>
      <c r="K66" s="119" cm="1">
        <f t="array" ref="K66">_xlfn.XLOOKUP(K$1,'PY1 Data(H)'!$A$1:$BR$1,_xlfn.XLOOKUP($A66,'PY1 Data(H)'!$A$1:$A$135,'PY1 Data(H)'!$A$1:$BR$135))</f>
        <v>26352</v>
      </c>
      <c r="L66" s="119" cm="1">
        <f t="array" ref="L66">_xlfn.XLOOKUP(L$1,'PY1 Data(H)'!$A$1:$BR$1,_xlfn.XLOOKUP($A66,'PY1 Data(H)'!$A$1:$A$135,'PY1 Data(H)'!$A$1:$BR$135))</f>
        <v>0</v>
      </c>
      <c r="M66" s="119" cm="1">
        <f t="array" ref="M66">_xlfn.XLOOKUP(M$1,'PY1 Data(H)'!$A$1:$BR$1,_xlfn.XLOOKUP($A66,'PY1 Data(H)'!$A$1:$A$135,'PY1 Data(H)'!$A$1:$BR$135))</f>
        <v>92549</v>
      </c>
      <c r="N66" s="119" cm="1">
        <f t="array" ref="N66">_xlfn.XLOOKUP(N$1,'PY1 Data(H)'!$A$1:$BR$1,_xlfn.XLOOKUP($A66,'PY1 Data(H)'!$A$1:$A$135,'PY1 Data(H)'!$A$1:$BR$135))</f>
        <v>0</v>
      </c>
      <c r="O66" s="119" t="e" cm="1">
        <f t="array" ref="O66">_xlfn.XLOOKUP(O$1,'PY1 Data(H)'!$A$1:$BR$1,_xlfn.XLOOKUP($A66,'PY1 Data(H)'!$A$1:$A$135,'PY1 Data(H)'!$A$1:$BR$135))</f>
        <v>#N/A</v>
      </c>
      <c r="P66" s="119" cm="1">
        <f t="array" ref="P66">_xlfn.XLOOKUP(P$1,'PY1 Data(H)'!$A$1:$BR$1,_xlfn.XLOOKUP($A66,'PY1 Data(H)'!$A$1:$A$135,'PY1 Data(H)'!$A$1:$BR$135))</f>
        <v>0</v>
      </c>
      <c r="Q66" s="119" cm="1">
        <f t="array" ref="Q66">_xlfn.XLOOKUP(Q$1,'PY1 Data(H)'!$A$1:$BR$1,_xlfn.XLOOKUP($A66,'PY1 Data(H)'!$A$1:$A$135,'PY1 Data(H)'!$A$1:$BR$135))</f>
        <v>0</v>
      </c>
      <c r="R66" s="119" cm="1">
        <f t="array" ref="R66">_xlfn.XLOOKUP(R$1,'PY1 Data(H)'!$A$1:$BR$1,_xlfn.XLOOKUP($A66,'PY1 Data(H)'!$A$1:$A$135,'PY1 Data(H)'!$A$1:$BR$135))</f>
        <v>0</v>
      </c>
      <c r="S66" s="119" cm="1">
        <f t="array" ref="S66">_xlfn.XLOOKUP(S$1,'PY1 Data(H)'!$A$1:$BR$1,_xlfn.XLOOKUP($A66,'PY1 Data(H)'!$A$1:$A$135,'PY1 Data(H)'!$A$1:$BR$135))</f>
        <v>0</v>
      </c>
    </row>
    <row r="67" spans="1:19" x14ac:dyDescent="0.3">
      <c r="A67">
        <v>32</v>
      </c>
      <c r="D67" s="119" cm="1">
        <f t="array" ref="D67">_xlfn.XLOOKUP(D$1,'PY1 Data(H)'!$A$1:$BR$1,_xlfn.XLOOKUP($A67,'PY1 Data(H)'!$A$1:$A$135,'PY1 Data(H)'!$A$1:$BR$135))</f>
        <v>0</v>
      </c>
      <c r="E67" s="119" cm="1">
        <f t="array" ref="E67">_xlfn.XLOOKUP(E$1,'PY1 Data(H)'!$A$1:$BR$1,_xlfn.XLOOKUP($A67,'PY1 Data(H)'!$A$1:$A$135,'PY1 Data(H)'!$A$1:$BR$135))</f>
        <v>0</v>
      </c>
      <c r="F67" s="119" cm="1">
        <f t="array" ref="F67">_xlfn.XLOOKUP(F$1,'PY1 Data(H)'!$A$1:$BR$1,_xlfn.XLOOKUP($A67,'PY1 Data(H)'!$A$1:$A$135,'PY1 Data(H)'!$A$1:$BR$135))</f>
        <v>0</v>
      </c>
      <c r="G67" s="119" cm="1">
        <f t="array" ref="G67">_xlfn.XLOOKUP(G$1,'PY1 Data(H)'!$A$1:$BR$1,_xlfn.XLOOKUP($A67,'PY1 Data(H)'!$A$1:$A$135,'PY1 Data(H)'!$A$1:$BR$135))</f>
        <v>0</v>
      </c>
      <c r="H67" s="119" cm="1">
        <f t="array" ref="H67">_xlfn.XLOOKUP(H$1,'PY1 Data(H)'!$A$1:$BR$1,_xlfn.XLOOKUP($A67,'PY1 Data(H)'!$A$1:$A$135,'PY1 Data(H)'!$A$1:$BR$135))</f>
        <v>0</v>
      </c>
      <c r="I67" s="119" cm="1">
        <f t="array" ref="I67">_xlfn.XLOOKUP(I$1,'PY1 Data(H)'!$A$1:$BR$1,_xlfn.XLOOKUP($A67,'PY1 Data(H)'!$A$1:$A$135,'PY1 Data(H)'!$A$1:$BR$135))</f>
        <v>0</v>
      </c>
      <c r="J67" s="119" cm="1">
        <f t="array" ref="J67">_xlfn.XLOOKUP(J$1,'PY1 Data(H)'!$A$1:$BR$1,_xlfn.XLOOKUP($A67,'PY1 Data(H)'!$A$1:$A$135,'PY1 Data(H)'!$A$1:$BR$135))</f>
        <v>0</v>
      </c>
      <c r="K67" s="119" cm="1">
        <f t="array" ref="K67">_xlfn.XLOOKUP(K$1,'PY1 Data(H)'!$A$1:$BR$1,_xlfn.XLOOKUP($A67,'PY1 Data(H)'!$A$1:$A$135,'PY1 Data(H)'!$A$1:$BR$135))</f>
        <v>97619</v>
      </c>
      <c r="L67" s="119" cm="1">
        <f t="array" ref="L67">_xlfn.XLOOKUP(L$1,'PY1 Data(H)'!$A$1:$BR$1,_xlfn.XLOOKUP($A67,'PY1 Data(H)'!$A$1:$A$135,'PY1 Data(H)'!$A$1:$BR$135))</f>
        <v>0</v>
      </c>
      <c r="M67" s="119" cm="1">
        <f t="array" ref="M67">_xlfn.XLOOKUP(M$1,'PY1 Data(H)'!$A$1:$BR$1,_xlfn.XLOOKUP($A67,'PY1 Data(H)'!$A$1:$A$135,'PY1 Data(H)'!$A$1:$BR$135))</f>
        <v>53289</v>
      </c>
      <c r="N67" s="119" cm="1">
        <f t="array" ref="N67">_xlfn.XLOOKUP(N$1,'PY1 Data(H)'!$A$1:$BR$1,_xlfn.XLOOKUP($A67,'PY1 Data(H)'!$A$1:$A$135,'PY1 Data(H)'!$A$1:$BR$135))</f>
        <v>0</v>
      </c>
      <c r="O67" s="119" t="e" cm="1">
        <f t="array" ref="O67">_xlfn.XLOOKUP(O$1,'PY1 Data(H)'!$A$1:$BR$1,_xlfn.XLOOKUP($A67,'PY1 Data(H)'!$A$1:$A$135,'PY1 Data(H)'!$A$1:$BR$135))</f>
        <v>#N/A</v>
      </c>
      <c r="P67" s="119" cm="1">
        <f t="array" ref="P67">_xlfn.XLOOKUP(P$1,'PY1 Data(H)'!$A$1:$BR$1,_xlfn.XLOOKUP($A67,'PY1 Data(H)'!$A$1:$A$135,'PY1 Data(H)'!$A$1:$BR$135))</f>
        <v>0</v>
      </c>
      <c r="Q67" s="119" cm="1">
        <f t="array" ref="Q67">_xlfn.XLOOKUP(Q$1,'PY1 Data(H)'!$A$1:$BR$1,_xlfn.XLOOKUP($A67,'PY1 Data(H)'!$A$1:$A$135,'PY1 Data(H)'!$A$1:$BR$135))</f>
        <v>0</v>
      </c>
      <c r="R67" s="119" cm="1">
        <f t="array" ref="R67">_xlfn.XLOOKUP(R$1,'PY1 Data(H)'!$A$1:$BR$1,_xlfn.XLOOKUP($A67,'PY1 Data(H)'!$A$1:$A$135,'PY1 Data(H)'!$A$1:$BR$135))</f>
        <v>0</v>
      </c>
      <c r="S67" s="119" cm="1">
        <f t="array" ref="S67">_xlfn.XLOOKUP(S$1,'PY1 Data(H)'!$A$1:$BR$1,_xlfn.XLOOKUP($A67,'PY1 Data(H)'!$A$1:$A$135,'PY1 Data(H)'!$A$1:$BR$135))</f>
        <v>0</v>
      </c>
    </row>
    <row r="68" spans="1:19" x14ac:dyDescent="0.3">
      <c r="A68">
        <v>31</v>
      </c>
      <c r="D68" s="119" cm="1">
        <f t="array" ref="D68">_xlfn.XLOOKUP(D$1,'PY1 Data(H)'!$A$1:$BR$1,_xlfn.XLOOKUP($A68,'PY1 Data(H)'!$A$1:$A$135,'PY1 Data(H)'!$A$1:$BR$135))</f>
        <v>0</v>
      </c>
      <c r="E68" s="119" cm="1">
        <f t="array" ref="E68">_xlfn.XLOOKUP(E$1,'PY1 Data(H)'!$A$1:$BR$1,_xlfn.XLOOKUP($A68,'PY1 Data(H)'!$A$1:$A$135,'PY1 Data(H)'!$A$1:$BR$135))</f>
        <v>0</v>
      </c>
      <c r="F68" s="119" cm="1">
        <f t="array" ref="F68">_xlfn.XLOOKUP(F$1,'PY1 Data(H)'!$A$1:$BR$1,_xlfn.XLOOKUP($A68,'PY1 Data(H)'!$A$1:$A$135,'PY1 Data(H)'!$A$1:$BR$135))</f>
        <v>0</v>
      </c>
      <c r="G68" s="119" cm="1">
        <f t="array" ref="G68">_xlfn.XLOOKUP(G$1,'PY1 Data(H)'!$A$1:$BR$1,_xlfn.XLOOKUP($A68,'PY1 Data(H)'!$A$1:$A$135,'PY1 Data(H)'!$A$1:$BR$135))</f>
        <v>0</v>
      </c>
      <c r="H68" s="119" cm="1">
        <f t="array" ref="H68">_xlfn.XLOOKUP(H$1,'PY1 Data(H)'!$A$1:$BR$1,_xlfn.XLOOKUP($A68,'PY1 Data(H)'!$A$1:$A$135,'PY1 Data(H)'!$A$1:$BR$135))</f>
        <v>0</v>
      </c>
      <c r="I68" s="119" cm="1">
        <f t="array" ref="I68">_xlfn.XLOOKUP(I$1,'PY1 Data(H)'!$A$1:$BR$1,_xlfn.XLOOKUP($A68,'PY1 Data(H)'!$A$1:$A$135,'PY1 Data(H)'!$A$1:$BR$135))</f>
        <v>0</v>
      </c>
      <c r="J68" s="119" cm="1">
        <f t="array" ref="J68">_xlfn.XLOOKUP(J$1,'PY1 Data(H)'!$A$1:$BR$1,_xlfn.XLOOKUP($A68,'PY1 Data(H)'!$A$1:$A$135,'PY1 Data(H)'!$A$1:$BR$135))</f>
        <v>0</v>
      </c>
      <c r="K68" s="119" cm="1">
        <f t="array" ref="K68">_xlfn.XLOOKUP(K$1,'PY1 Data(H)'!$A$1:$BR$1,_xlfn.XLOOKUP($A68,'PY1 Data(H)'!$A$1:$A$135,'PY1 Data(H)'!$A$1:$BR$135))</f>
        <v>-44697</v>
      </c>
      <c r="L68" s="119" cm="1">
        <f t="array" ref="L68">_xlfn.XLOOKUP(L$1,'PY1 Data(H)'!$A$1:$BR$1,_xlfn.XLOOKUP($A68,'PY1 Data(H)'!$A$1:$A$135,'PY1 Data(H)'!$A$1:$BR$135))</f>
        <v>0</v>
      </c>
      <c r="M68" s="119" cm="1">
        <f t="array" ref="M68">_xlfn.XLOOKUP(M$1,'PY1 Data(H)'!$A$1:$BR$1,_xlfn.XLOOKUP($A68,'PY1 Data(H)'!$A$1:$A$135,'PY1 Data(H)'!$A$1:$BR$135))</f>
        <v>-22983</v>
      </c>
      <c r="N68" s="119" cm="1">
        <f t="array" ref="N68">_xlfn.XLOOKUP(N$1,'PY1 Data(H)'!$A$1:$BR$1,_xlfn.XLOOKUP($A68,'PY1 Data(H)'!$A$1:$A$135,'PY1 Data(H)'!$A$1:$BR$135))</f>
        <v>0</v>
      </c>
      <c r="O68" s="119" t="e" cm="1">
        <f t="array" ref="O68">_xlfn.XLOOKUP(O$1,'PY1 Data(H)'!$A$1:$BR$1,_xlfn.XLOOKUP($A68,'PY1 Data(H)'!$A$1:$A$135,'PY1 Data(H)'!$A$1:$BR$135))</f>
        <v>#N/A</v>
      </c>
      <c r="P68" s="119" cm="1">
        <f t="array" ref="P68">_xlfn.XLOOKUP(P$1,'PY1 Data(H)'!$A$1:$BR$1,_xlfn.XLOOKUP($A68,'PY1 Data(H)'!$A$1:$A$135,'PY1 Data(H)'!$A$1:$BR$135))</f>
        <v>0</v>
      </c>
      <c r="Q68" s="119" cm="1">
        <f t="array" ref="Q68">_xlfn.XLOOKUP(Q$1,'PY1 Data(H)'!$A$1:$BR$1,_xlfn.XLOOKUP($A68,'PY1 Data(H)'!$A$1:$A$135,'PY1 Data(H)'!$A$1:$BR$135))</f>
        <v>0</v>
      </c>
      <c r="R68" s="119" cm="1">
        <f t="array" ref="R68">_xlfn.XLOOKUP(R$1,'PY1 Data(H)'!$A$1:$BR$1,_xlfn.XLOOKUP($A68,'PY1 Data(H)'!$A$1:$A$135,'PY1 Data(H)'!$A$1:$BR$135))</f>
        <v>0</v>
      </c>
      <c r="S68" s="119" cm="1">
        <f t="array" ref="S68">_xlfn.XLOOKUP(S$1,'PY1 Data(H)'!$A$1:$BR$1,_xlfn.XLOOKUP($A68,'PY1 Data(H)'!$A$1:$A$135,'PY1 Data(H)'!$A$1:$BR$135))</f>
        <v>0</v>
      </c>
    </row>
    <row r="69" spans="1:19" x14ac:dyDescent="0.3">
      <c r="A69">
        <v>193</v>
      </c>
      <c r="D69" s="119" cm="1">
        <f t="array" ref="D69">_xlfn.XLOOKUP(D$1,'PY1 Data(H)'!$A$1:$BR$1,_xlfn.XLOOKUP($A69,'PY1 Data(H)'!$A$1:$A$135,'PY1 Data(H)'!$A$1:$BR$135))</f>
        <v>0</v>
      </c>
      <c r="E69" s="119" cm="1">
        <f t="array" ref="E69">_xlfn.XLOOKUP(E$1,'PY1 Data(H)'!$A$1:$BR$1,_xlfn.XLOOKUP($A69,'PY1 Data(H)'!$A$1:$A$135,'PY1 Data(H)'!$A$1:$BR$135))</f>
        <v>0</v>
      </c>
      <c r="F69" s="119" cm="1">
        <f t="array" ref="F69">_xlfn.XLOOKUP(F$1,'PY1 Data(H)'!$A$1:$BR$1,_xlfn.XLOOKUP($A69,'PY1 Data(H)'!$A$1:$A$135,'PY1 Data(H)'!$A$1:$BR$135))</f>
        <v>0</v>
      </c>
      <c r="G69" s="119" cm="1">
        <f t="array" ref="G69">_xlfn.XLOOKUP(G$1,'PY1 Data(H)'!$A$1:$BR$1,_xlfn.XLOOKUP($A69,'PY1 Data(H)'!$A$1:$A$135,'PY1 Data(H)'!$A$1:$BR$135))</f>
        <v>0</v>
      </c>
      <c r="H69" s="119" cm="1">
        <f t="array" ref="H69">_xlfn.XLOOKUP(H$1,'PY1 Data(H)'!$A$1:$BR$1,_xlfn.XLOOKUP($A69,'PY1 Data(H)'!$A$1:$A$135,'PY1 Data(H)'!$A$1:$BR$135))</f>
        <v>0</v>
      </c>
      <c r="I69" s="119" cm="1">
        <f t="array" ref="I69">_xlfn.XLOOKUP(I$1,'PY1 Data(H)'!$A$1:$BR$1,_xlfn.XLOOKUP($A69,'PY1 Data(H)'!$A$1:$A$135,'PY1 Data(H)'!$A$1:$BR$135))</f>
        <v>0</v>
      </c>
      <c r="J69" s="119" cm="1">
        <f t="array" ref="J69">_xlfn.XLOOKUP(J$1,'PY1 Data(H)'!$A$1:$BR$1,_xlfn.XLOOKUP($A69,'PY1 Data(H)'!$A$1:$A$135,'PY1 Data(H)'!$A$1:$BR$135))</f>
        <v>0</v>
      </c>
      <c r="K69" s="119" cm="1">
        <f t="array" ref="K69">_xlfn.XLOOKUP(K$1,'PY1 Data(H)'!$A$1:$BR$1,_xlfn.XLOOKUP($A69,'PY1 Data(H)'!$A$1:$A$135,'PY1 Data(H)'!$A$1:$BR$135))</f>
        <v>0</v>
      </c>
      <c r="L69" s="119" cm="1">
        <f t="array" ref="L69">_xlfn.XLOOKUP(L$1,'PY1 Data(H)'!$A$1:$BR$1,_xlfn.XLOOKUP($A69,'PY1 Data(H)'!$A$1:$A$135,'PY1 Data(H)'!$A$1:$BR$135))</f>
        <v>0</v>
      </c>
      <c r="M69" s="119" cm="1">
        <f t="array" ref="M69">_xlfn.XLOOKUP(M$1,'PY1 Data(H)'!$A$1:$BR$1,_xlfn.XLOOKUP($A69,'PY1 Data(H)'!$A$1:$A$135,'PY1 Data(H)'!$A$1:$BR$135))</f>
        <v>0</v>
      </c>
      <c r="N69" s="119" cm="1">
        <f t="array" ref="N69">_xlfn.XLOOKUP(N$1,'PY1 Data(H)'!$A$1:$BR$1,_xlfn.XLOOKUP($A69,'PY1 Data(H)'!$A$1:$A$135,'PY1 Data(H)'!$A$1:$BR$135))</f>
        <v>0</v>
      </c>
      <c r="O69" s="119" t="e" cm="1">
        <f t="array" ref="O69">_xlfn.XLOOKUP(O$1,'PY1 Data(H)'!$A$1:$BR$1,_xlfn.XLOOKUP($A69,'PY1 Data(H)'!$A$1:$A$135,'PY1 Data(H)'!$A$1:$BR$135))</f>
        <v>#N/A</v>
      </c>
      <c r="P69" s="119" cm="1">
        <f t="array" ref="P69">_xlfn.XLOOKUP(P$1,'PY1 Data(H)'!$A$1:$BR$1,_xlfn.XLOOKUP($A69,'PY1 Data(H)'!$A$1:$A$135,'PY1 Data(H)'!$A$1:$BR$135))</f>
        <v>0</v>
      </c>
      <c r="Q69" s="119" cm="1">
        <f t="array" ref="Q69">_xlfn.XLOOKUP(Q$1,'PY1 Data(H)'!$A$1:$BR$1,_xlfn.XLOOKUP($A69,'PY1 Data(H)'!$A$1:$A$135,'PY1 Data(H)'!$A$1:$BR$135))</f>
        <v>0</v>
      </c>
      <c r="R69" s="119" cm="1">
        <f t="array" ref="R69">_xlfn.XLOOKUP(R$1,'PY1 Data(H)'!$A$1:$BR$1,_xlfn.XLOOKUP($A69,'PY1 Data(H)'!$A$1:$A$135,'PY1 Data(H)'!$A$1:$BR$135))</f>
        <v>0</v>
      </c>
      <c r="S69" s="119" cm="1">
        <f t="array" ref="S69">_xlfn.XLOOKUP(S$1,'PY1 Data(H)'!$A$1:$BR$1,_xlfn.XLOOKUP($A69,'PY1 Data(H)'!$A$1:$A$135,'PY1 Data(H)'!$A$1:$BR$135))</f>
        <v>0</v>
      </c>
    </row>
    <row r="70" spans="1:19" x14ac:dyDescent="0.3">
      <c r="A70">
        <v>33</v>
      </c>
      <c r="D70" s="119" cm="1">
        <f t="array" ref="D70">_xlfn.XLOOKUP(D$1,'PY1 Data(H)'!$A$1:$BR$1,_xlfn.XLOOKUP($A70,'PY1 Data(H)'!$A$1:$A$135,'PY1 Data(H)'!$A$1:$BR$135))</f>
        <v>0</v>
      </c>
      <c r="E70" s="119" cm="1">
        <f t="array" ref="E70">_xlfn.XLOOKUP(E$1,'PY1 Data(H)'!$A$1:$BR$1,_xlfn.XLOOKUP($A70,'PY1 Data(H)'!$A$1:$A$135,'PY1 Data(H)'!$A$1:$BR$135))</f>
        <v>0</v>
      </c>
      <c r="F70" s="119" cm="1">
        <f t="array" ref="F70">_xlfn.XLOOKUP(F$1,'PY1 Data(H)'!$A$1:$BR$1,_xlfn.XLOOKUP($A70,'PY1 Data(H)'!$A$1:$A$135,'PY1 Data(H)'!$A$1:$BR$135))</f>
        <v>0</v>
      </c>
      <c r="G70" s="119" cm="1">
        <f t="array" ref="G70">_xlfn.XLOOKUP(G$1,'PY1 Data(H)'!$A$1:$BR$1,_xlfn.XLOOKUP($A70,'PY1 Data(H)'!$A$1:$A$135,'PY1 Data(H)'!$A$1:$BR$135))</f>
        <v>0</v>
      </c>
      <c r="H70" s="119" cm="1">
        <f t="array" ref="H70">_xlfn.XLOOKUP(H$1,'PY1 Data(H)'!$A$1:$BR$1,_xlfn.XLOOKUP($A70,'PY1 Data(H)'!$A$1:$A$135,'PY1 Data(H)'!$A$1:$BR$135))</f>
        <v>0</v>
      </c>
      <c r="I70" s="119" cm="1">
        <f t="array" ref="I70">_xlfn.XLOOKUP(I$1,'PY1 Data(H)'!$A$1:$BR$1,_xlfn.XLOOKUP($A70,'PY1 Data(H)'!$A$1:$A$135,'PY1 Data(H)'!$A$1:$BR$135))</f>
        <v>0</v>
      </c>
      <c r="J70" s="119" cm="1">
        <f t="array" ref="J70">_xlfn.XLOOKUP(J$1,'PY1 Data(H)'!$A$1:$BR$1,_xlfn.XLOOKUP($A70,'PY1 Data(H)'!$A$1:$A$135,'PY1 Data(H)'!$A$1:$BR$135))</f>
        <v>0</v>
      </c>
      <c r="K70" s="119" cm="1">
        <f t="array" ref="K70">_xlfn.XLOOKUP(K$1,'PY1 Data(H)'!$A$1:$BR$1,_xlfn.XLOOKUP($A70,'PY1 Data(H)'!$A$1:$A$135,'PY1 Data(H)'!$A$1:$BR$135))</f>
        <v>35513</v>
      </c>
      <c r="L70" s="119" cm="1">
        <f t="array" ref="L70">_xlfn.XLOOKUP(L$1,'PY1 Data(H)'!$A$1:$BR$1,_xlfn.XLOOKUP($A70,'PY1 Data(H)'!$A$1:$A$135,'PY1 Data(H)'!$A$1:$BR$135))</f>
        <v>0</v>
      </c>
      <c r="M70" s="119" cm="1">
        <f t="array" ref="M70">_xlfn.XLOOKUP(M$1,'PY1 Data(H)'!$A$1:$BR$1,_xlfn.XLOOKUP($A70,'PY1 Data(H)'!$A$1:$A$135,'PY1 Data(H)'!$A$1:$BR$135))</f>
        <v>-62726</v>
      </c>
      <c r="N70" s="119" cm="1">
        <f t="array" ref="N70">_xlfn.XLOOKUP(N$1,'PY1 Data(H)'!$A$1:$BR$1,_xlfn.XLOOKUP($A70,'PY1 Data(H)'!$A$1:$A$135,'PY1 Data(H)'!$A$1:$BR$135))</f>
        <v>0</v>
      </c>
      <c r="O70" s="119" t="e" cm="1">
        <f t="array" ref="O70">_xlfn.XLOOKUP(O$1,'PY1 Data(H)'!$A$1:$BR$1,_xlfn.XLOOKUP($A70,'PY1 Data(H)'!$A$1:$A$135,'PY1 Data(H)'!$A$1:$BR$135))</f>
        <v>#N/A</v>
      </c>
      <c r="P70" s="119" cm="1">
        <f t="array" ref="P70">_xlfn.XLOOKUP(P$1,'PY1 Data(H)'!$A$1:$BR$1,_xlfn.XLOOKUP($A70,'PY1 Data(H)'!$A$1:$A$135,'PY1 Data(H)'!$A$1:$BR$135))</f>
        <v>0</v>
      </c>
      <c r="Q70" s="119" cm="1">
        <f t="array" ref="Q70">_xlfn.XLOOKUP(Q$1,'PY1 Data(H)'!$A$1:$BR$1,_xlfn.XLOOKUP($A70,'PY1 Data(H)'!$A$1:$A$135,'PY1 Data(H)'!$A$1:$BR$135))</f>
        <v>0</v>
      </c>
      <c r="R70" s="119" cm="1">
        <f t="array" ref="R70">_xlfn.XLOOKUP(R$1,'PY1 Data(H)'!$A$1:$BR$1,_xlfn.XLOOKUP($A70,'PY1 Data(H)'!$A$1:$A$135,'PY1 Data(H)'!$A$1:$BR$135))</f>
        <v>0</v>
      </c>
      <c r="S70" s="119" cm="1">
        <f t="array" ref="S70">_xlfn.XLOOKUP(S$1,'PY1 Data(H)'!$A$1:$BR$1,_xlfn.XLOOKUP($A70,'PY1 Data(H)'!$A$1:$A$135,'PY1 Data(H)'!$A$1:$BR$135))</f>
        <v>0</v>
      </c>
    </row>
    <row r="71" spans="1:19" x14ac:dyDescent="0.3">
      <c r="D71" s="119" cm="1">
        <f t="array" ref="D71">_xlfn.XLOOKUP(D$1,'PY1 Data(H)'!$A$1:$BR$1,_xlfn.XLOOKUP($A71,'PY1 Data(H)'!$A$1:$A$135,'PY1 Data(H)'!$A$1:$BR$135))</f>
        <v>0</v>
      </c>
      <c r="E71" s="119" cm="1">
        <f t="array" ref="E71">_xlfn.XLOOKUP(E$1,'PY1 Data(H)'!$A$1:$BR$1,_xlfn.XLOOKUP($A71,'PY1 Data(H)'!$A$1:$A$135,'PY1 Data(H)'!$A$1:$BR$135))</f>
        <v>0</v>
      </c>
      <c r="F71" s="119" cm="1">
        <f t="array" ref="F71">_xlfn.XLOOKUP(F$1,'PY1 Data(H)'!$A$1:$BR$1,_xlfn.XLOOKUP($A71,'PY1 Data(H)'!$A$1:$A$135,'PY1 Data(H)'!$A$1:$BR$135))</f>
        <v>0</v>
      </c>
      <c r="G71" s="119" cm="1">
        <f t="array" ref="G71">_xlfn.XLOOKUP(G$1,'PY1 Data(H)'!$A$1:$BR$1,_xlfn.XLOOKUP($A71,'PY1 Data(H)'!$A$1:$A$135,'PY1 Data(H)'!$A$1:$BR$135))</f>
        <v>0</v>
      </c>
      <c r="H71" s="119" cm="1">
        <f t="array" ref="H71">_xlfn.XLOOKUP(H$1,'PY1 Data(H)'!$A$1:$BR$1,_xlfn.XLOOKUP($A71,'PY1 Data(H)'!$A$1:$A$135,'PY1 Data(H)'!$A$1:$BR$135))</f>
        <v>0</v>
      </c>
      <c r="I71" s="119" cm="1">
        <f t="array" ref="I71">_xlfn.XLOOKUP(I$1,'PY1 Data(H)'!$A$1:$BR$1,_xlfn.XLOOKUP($A71,'PY1 Data(H)'!$A$1:$A$135,'PY1 Data(H)'!$A$1:$BR$135))</f>
        <v>0</v>
      </c>
      <c r="J71" s="119" cm="1">
        <f t="array" ref="J71">_xlfn.XLOOKUP(J$1,'PY1 Data(H)'!$A$1:$BR$1,_xlfn.XLOOKUP($A71,'PY1 Data(H)'!$A$1:$A$135,'PY1 Data(H)'!$A$1:$BR$135))</f>
        <v>0</v>
      </c>
      <c r="K71" s="119" cm="1">
        <f t="array" ref="K71">_xlfn.XLOOKUP(K$1,'PY1 Data(H)'!$A$1:$BR$1,_xlfn.XLOOKUP($A71,'PY1 Data(H)'!$A$1:$A$135,'PY1 Data(H)'!$A$1:$BR$135))</f>
        <v>0</v>
      </c>
      <c r="L71" s="119" cm="1">
        <f t="array" ref="L71">_xlfn.XLOOKUP(L$1,'PY1 Data(H)'!$A$1:$BR$1,_xlfn.XLOOKUP($A71,'PY1 Data(H)'!$A$1:$A$135,'PY1 Data(H)'!$A$1:$BR$135))</f>
        <v>0</v>
      </c>
      <c r="M71" s="119" cm="1">
        <f t="array" ref="M71">_xlfn.XLOOKUP(M$1,'PY1 Data(H)'!$A$1:$BR$1,_xlfn.XLOOKUP($A71,'PY1 Data(H)'!$A$1:$A$135,'PY1 Data(H)'!$A$1:$BR$135))</f>
        <v>0</v>
      </c>
      <c r="N71" s="119" cm="1">
        <f t="array" ref="N71">_xlfn.XLOOKUP(N$1,'PY1 Data(H)'!$A$1:$BR$1,_xlfn.XLOOKUP($A71,'PY1 Data(H)'!$A$1:$A$135,'PY1 Data(H)'!$A$1:$BR$135))</f>
        <v>0</v>
      </c>
      <c r="O71" s="119" t="e" cm="1">
        <f t="array" ref="O71">_xlfn.XLOOKUP(O$1,'PY1 Data(H)'!$A$1:$BR$1,_xlfn.XLOOKUP($A71,'PY1 Data(H)'!$A$1:$A$135,'PY1 Data(H)'!$A$1:$BR$135))</f>
        <v>#N/A</v>
      </c>
      <c r="P71" s="119" cm="1">
        <f t="array" ref="P71">_xlfn.XLOOKUP(P$1,'PY1 Data(H)'!$A$1:$BR$1,_xlfn.XLOOKUP($A71,'PY1 Data(H)'!$A$1:$A$135,'PY1 Data(H)'!$A$1:$BR$135))</f>
        <v>0</v>
      </c>
      <c r="Q71" s="119" cm="1">
        <f t="array" ref="Q71">_xlfn.XLOOKUP(Q$1,'PY1 Data(H)'!$A$1:$BR$1,_xlfn.XLOOKUP($A71,'PY1 Data(H)'!$A$1:$A$135,'PY1 Data(H)'!$A$1:$BR$135))</f>
        <v>0</v>
      </c>
      <c r="R71" s="119" cm="1">
        <f t="array" ref="R71">_xlfn.XLOOKUP(R$1,'PY1 Data(H)'!$A$1:$BR$1,_xlfn.XLOOKUP($A71,'PY1 Data(H)'!$A$1:$A$135,'PY1 Data(H)'!$A$1:$BR$135))</f>
        <v>0</v>
      </c>
      <c r="S71" s="119" cm="1">
        <f t="array" ref="S71">_xlfn.XLOOKUP(S$1,'PY1 Data(H)'!$A$1:$BR$1,_xlfn.XLOOKUP($A71,'PY1 Data(H)'!$A$1:$A$135,'PY1 Data(H)'!$A$1:$BR$135))</f>
        <v>0</v>
      </c>
    </row>
    <row r="72" spans="1:19" x14ac:dyDescent="0.3">
      <c r="A72">
        <v>512</v>
      </c>
      <c r="D72" s="119" cm="1">
        <f t="array" ref="D72">_xlfn.XLOOKUP(D$1,'PY1 Data(H)'!$A$1:$BR$1,_xlfn.XLOOKUP($A72,'PY1 Data(H)'!$A$1:$A$135,'PY1 Data(H)'!$A$1:$BR$135))</f>
        <v>0</v>
      </c>
      <c r="E72" s="119" cm="1">
        <f t="array" ref="E72">_xlfn.XLOOKUP(E$1,'PY1 Data(H)'!$A$1:$BR$1,_xlfn.XLOOKUP($A72,'PY1 Data(H)'!$A$1:$A$135,'PY1 Data(H)'!$A$1:$BR$135))</f>
        <v>0</v>
      </c>
      <c r="F72" s="119" cm="1">
        <f t="array" ref="F72">_xlfn.XLOOKUP(F$1,'PY1 Data(H)'!$A$1:$BR$1,_xlfn.XLOOKUP($A72,'PY1 Data(H)'!$A$1:$A$135,'PY1 Data(H)'!$A$1:$BR$135))</f>
        <v>0</v>
      </c>
      <c r="G72" s="119" cm="1">
        <f t="array" ref="G72">_xlfn.XLOOKUP(G$1,'PY1 Data(H)'!$A$1:$BR$1,_xlfn.XLOOKUP($A72,'PY1 Data(H)'!$A$1:$A$135,'PY1 Data(H)'!$A$1:$BR$135))</f>
        <v>644290</v>
      </c>
      <c r="H72" s="119" cm="1">
        <f t="array" ref="H72">_xlfn.XLOOKUP(H$1,'PY1 Data(H)'!$A$1:$BR$1,_xlfn.XLOOKUP($A72,'PY1 Data(H)'!$A$1:$A$135,'PY1 Data(H)'!$A$1:$BR$135))</f>
        <v>0</v>
      </c>
      <c r="I72" s="119" cm="1">
        <f t="array" ref="I72">_xlfn.XLOOKUP(I$1,'PY1 Data(H)'!$A$1:$BR$1,_xlfn.XLOOKUP($A72,'PY1 Data(H)'!$A$1:$A$135,'PY1 Data(H)'!$A$1:$BR$135))</f>
        <v>10487</v>
      </c>
      <c r="J72" s="119" cm="1">
        <f t="array" ref="J72">_xlfn.XLOOKUP(J$1,'PY1 Data(H)'!$A$1:$BR$1,_xlfn.XLOOKUP($A72,'PY1 Data(H)'!$A$1:$A$135,'PY1 Data(H)'!$A$1:$BR$135))</f>
        <v>48842</v>
      </c>
      <c r="K72" s="119" cm="1">
        <f t="array" ref="K72">_xlfn.XLOOKUP(K$1,'PY1 Data(H)'!$A$1:$BR$1,_xlfn.XLOOKUP($A72,'PY1 Data(H)'!$A$1:$A$135,'PY1 Data(H)'!$A$1:$BR$135))</f>
        <v>0</v>
      </c>
      <c r="L72" s="119" cm="1">
        <f t="array" ref="L72">_xlfn.XLOOKUP(L$1,'PY1 Data(H)'!$A$1:$BR$1,_xlfn.XLOOKUP($A72,'PY1 Data(H)'!$A$1:$A$135,'PY1 Data(H)'!$A$1:$BR$135))</f>
        <v>0</v>
      </c>
      <c r="M72" s="119" cm="1">
        <f t="array" ref="M72">_xlfn.XLOOKUP(M$1,'PY1 Data(H)'!$A$1:$BR$1,_xlfn.XLOOKUP($A72,'PY1 Data(H)'!$A$1:$A$135,'PY1 Data(H)'!$A$1:$BR$135))</f>
        <v>0</v>
      </c>
      <c r="N72" s="119" cm="1">
        <f t="array" ref="N72">_xlfn.XLOOKUP(N$1,'PY1 Data(H)'!$A$1:$BR$1,_xlfn.XLOOKUP($A72,'PY1 Data(H)'!$A$1:$A$135,'PY1 Data(H)'!$A$1:$BR$135))</f>
        <v>0</v>
      </c>
      <c r="O72" s="119" t="e" cm="1">
        <f t="array" ref="O72">_xlfn.XLOOKUP(O$1,'PY1 Data(H)'!$A$1:$BR$1,_xlfn.XLOOKUP($A72,'PY1 Data(H)'!$A$1:$A$135,'PY1 Data(H)'!$A$1:$BR$135))</f>
        <v>#N/A</v>
      </c>
      <c r="P72" s="119" cm="1">
        <f t="array" ref="P72">_xlfn.XLOOKUP(P$1,'PY1 Data(H)'!$A$1:$BR$1,_xlfn.XLOOKUP($A72,'PY1 Data(H)'!$A$1:$A$135,'PY1 Data(H)'!$A$1:$BR$135))</f>
        <v>0</v>
      </c>
      <c r="Q72" s="119" cm="1">
        <f t="array" ref="Q72">_xlfn.XLOOKUP(Q$1,'PY1 Data(H)'!$A$1:$BR$1,_xlfn.XLOOKUP($A72,'PY1 Data(H)'!$A$1:$A$135,'PY1 Data(H)'!$A$1:$BR$135))</f>
        <v>267233</v>
      </c>
      <c r="R72" s="119" cm="1">
        <f t="array" ref="R72">_xlfn.XLOOKUP(R$1,'PY1 Data(H)'!$A$1:$BR$1,_xlfn.XLOOKUP($A72,'PY1 Data(H)'!$A$1:$A$135,'PY1 Data(H)'!$A$1:$BR$135))</f>
        <v>0</v>
      </c>
      <c r="S72" s="119" cm="1">
        <f t="array" ref="S72">_xlfn.XLOOKUP(S$1,'PY1 Data(H)'!$A$1:$BR$1,_xlfn.XLOOKUP($A72,'PY1 Data(H)'!$A$1:$A$135,'PY1 Data(H)'!$A$1:$BR$135))</f>
        <v>253517</v>
      </c>
    </row>
    <row r="73" spans="1:19" x14ac:dyDescent="0.3">
      <c r="D73" s="119" cm="1">
        <f t="array" ref="D73">_xlfn.XLOOKUP(D$1,'PY1 Data(H)'!$A$1:$BR$1,_xlfn.XLOOKUP($A73,'PY1 Data(H)'!$A$1:$A$135,'PY1 Data(H)'!$A$1:$BR$135))</f>
        <v>0</v>
      </c>
      <c r="E73" s="119" cm="1">
        <f t="array" ref="E73">_xlfn.XLOOKUP(E$1,'PY1 Data(H)'!$A$1:$BR$1,_xlfn.XLOOKUP($A73,'PY1 Data(H)'!$A$1:$A$135,'PY1 Data(H)'!$A$1:$BR$135))</f>
        <v>0</v>
      </c>
      <c r="F73" s="119" cm="1">
        <f t="array" ref="F73">_xlfn.XLOOKUP(F$1,'PY1 Data(H)'!$A$1:$BR$1,_xlfn.XLOOKUP($A73,'PY1 Data(H)'!$A$1:$A$135,'PY1 Data(H)'!$A$1:$BR$135))</f>
        <v>0</v>
      </c>
      <c r="G73" s="119" cm="1">
        <f t="array" ref="G73">_xlfn.XLOOKUP(G$1,'PY1 Data(H)'!$A$1:$BR$1,_xlfn.XLOOKUP($A73,'PY1 Data(H)'!$A$1:$A$135,'PY1 Data(H)'!$A$1:$BR$135))</f>
        <v>0</v>
      </c>
      <c r="H73" s="119" cm="1">
        <f t="array" ref="H73">_xlfn.XLOOKUP(H$1,'PY1 Data(H)'!$A$1:$BR$1,_xlfn.XLOOKUP($A73,'PY1 Data(H)'!$A$1:$A$135,'PY1 Data(H)'!$A$1:$BR$135))</f>
        <v>0</v>
      </c>
      <c r="I73" s="119" cm="1">
        <f t="array" ref="I73">_xlfn.XLOOKUP(I$1,'PY1 Data(H)'!$A$1:$BR$1,_xlfn.XLOOKUP($A73,'PY1 Data(H)'!$A$1:$A$135,'PY1 Data(H)'!$A$1:$BR$135))</f>
        <v>0</v>
      </c>
      <c r="J73" s="119" cm="1">
        <f t="array" ref="J73">_xlfn.XLOOKUP(J$1,'PY1 Data(H)'!$A$1:$BR$1,_xlfn.XLOOKUP($A73,'PY1 Data(H)'!$A$1:$A$135,'PY1 Data(H)'!$A$1:$BR$135))</f>
        <v>0</v>
      </c>
      <c r="K73" s="119" cm="1">
        <f t="array" ref="K73">_xlfn.XLOOKUP(K$1,'PY1 Data(H)'!$A$1:$BR$1,_xlfn.XLOOKUP($A73,'PY1 Data(H)'!$A$1:$A$135,'PY1 Data(H)'!$A$1:$BR$135))</f>
        <v>0</v>
      </c>
      <c r="L73" s="119" cm="1">
        <f t="array" ref="L73">_xlfn.XLOOKUP(L$1,'PY1 Data(H)'!$A$1:$BR$1,_xlfn.XLOOKUP($A73,'PY1 Data(H)'!$A$1:$A$135,'PY1 Data(H)'!$A$1:$BR$135))</f>
        <v>0</v>
      </c>
      <c r="M73" s="119" cm="1">
        <f t="array" ref="M73">_xlfn.XLOOKUP(M$1,'PY1 Data(H)'!$A$1:$BR$1,_xlfn.XLOOKUP($A73,'PY1 Data(H)'!$A$1:$A$135,'PY1 Data(H)'!$A$1:$BR$135))</f>
        <v>0</v>
      </c>
      <c r="N73" s="119" cm="1">
        <f t="array" ref="N73">_xlfn.XLOOKUP(N$1,'PY1 Data(H)'!$A$1:$BR$1,_xlfn.XLOOKUP($A73,'PY1 Data(H)'!$A$1:$A$135,'PY1 Data(H)'!$A$1:$BR$135))</f>
        <v>0</v>
      </c>
      <c r="O73" s="119" t="e" cm="1">
        <f t="array" ref="O73">_xlfn.XLOOKUP(O$1,'PY1 Data(H)'!$A$1:$BR$1,_xlfn.XLOOKUP($A73,'PY1 Data(H)'!$A$1:$A$135,'PY1 Data(H)'!$A$1:$BR$135))</f>
        <v>#N/A</v>
      </c>
      <c r="P73" s="119" cm="1">
        <f t="array" ref="P73">_xlfn.XLOOKUP(P$1,'PY1 Data(H)'!$A$1:$BR$1,_xlfn.XLOOKUP($A73,'PY1 Data(H)'!$A$1:$A$135,'PY1 Data(H)'!$A$1:$BR$135))</f>
        <v>0</v>
      </c>
      <c r="Q73" s="119" cm="1">
        <f t="array" ref="Q73">_xlfn.XLOOKUP(Q$1,'PY1 Data(H)'!$A$1:$BR$1,_xlfn.XLOOKUP($A73,'PY1 Data(H)'!$A$1:$A$135,'PY1 Data(H)'!$A$1:$BR$135))</f>
        <v>0</v>
      </c>
      <c r="R73" s="119" cm="1">
        <f t="array" ref="R73">_xlfn.XLOOKUP(R$1,'PY1 Data(H)'!$A$1:$BR$1,_xlfn.XLOOKUP($A73,'PY1 Data(H)'!$A$1:$A$135,'PY1 Data(H)'!$A$1:$BR$135))</f>
        <v>0</v>
      </c>
      <c r="S73" s="119" cm="1">
        <f t="array" ref="S73">_xlfn.XLOOKUP(S$1,'PY1 Data(H)'!$A$1:$BR$1,_xlfn.XLOOKUP($A73,'PY1 Data(H)'!$A$1:$A$135,'PY1 Data(H)'!$A$1:$BR$135))</f>
        <v>0</v>
      </c>
    </row>
    <row r="74" spans="1:19" x14ac:dyDescent="0.3">
      <c r="A74">
        <v>622</v>
      </c>
      <c r="D74" s="119" cm="1">
        <f t="array" ref="D74">_xlfn.XLOOKUP(D$1,'PY1 Data(H)'!$A$1:$BR$1,_xlfn.XLOOKUP($A74,'PY1 Data(H)'!$A$1:$A$135,'PY1 Data(H)'!$A$1:$BR$135))</f>
        <v>299051</v>
      </c>
      <c r="E74" s="119" cm="1">
        <f t="array" ref="E74">_xlfn.XLOOKUP(E$1,'PY1 Data(H)'!$A$1:$BR$1,_xlfn.XLOOKUP($A74,'PY1 Data(H)'!$A$1:$A$135,'PY1 Data(H)'!$A$1:$BR$135))</f>
        <v>240468</v>
      </c>
      <c r="F74" s="119" cm="1">
        <f t="array" ref="F74">_xlfn.XLOOKUP(F$1,'PY1 Data(H)'!$A$1:$BR$1,_xlfn.XLOOKUP($A74,'PY1 Data(H)'!$A$1:$A$135,'PY1 Data(H)'!$A$1:$BR$135))</f>
        <v>590128</v>
      </c>
      <c r="G74" s="119" cm="1">
        <f t="array" ref="G74">_xlfn.XLOOKUP(G$1,'PY1 Data(H)'!$A$1:$BR$1,_xlfn.XLOOKUP($A74,'PY1 Data(H)'!$A$1:$A$135,'PY1 Data(H)'!$A$1:$BR$135))</f>
        <v>256877</v>
      </c>
      <c r="H74" s="119" cm="1">
        <f t="array" ref="H74">_xlfn.XLOOKUP(H$1,'PY1 Data(H)'!$A$1:$BR$1,_xlfn.XLOOKUP($A74,'PY1 Data(H)'!$A$1:$A$135,'PY1 Data(H)'!$A$1:$BR$135))</f>
        <v>234640</v>
      </c>
      <c r="I74" s="119" cm="1">
        <f t="array" ref="I74">_xlfn.XLOOKUP(I$1,'PY1 Data(H)'!$A$1:$BR$1,_xlfn.XLOOKUP($A74,'PY1 Data(H)'!$A$1:$A$135,'PY1 Data(H)'!$A$1:$BR$135))</f>
        <v>180964</v>
      </c>
      <c r="J74" s="119" cm="1">
        <f t="array" ref="J74">_xlfn.XLOOKUP(J$1,'PY1 Data(H)'!$A$1:$BR$1,_xlfn.XLOOKUP($A74,'PY1 Data(H)'!$A$1:$A$135,'PY1 Data(H)'!$A$1:$BR$135))</f>
        <v>443056</v>
      </c>
      <c r="K74" s="119" cm="1">
        <f t="array" ref="K74">_xlfn.XLOOKUP(K$1,'PY1 Data(H)'!$A$1:$BR$1,_xlfn.XLOOKUP($A74,'PY1 Data(H)'!$A$1:$A$135,'PY1 Data(H)'!$A$1:$BR$135))</f>
        <v>244148</v>
      </c>
      <c r="L74" s="119" cm="1">
        <f t="array" ref="L74">_xlfn.XLOOKUP(L$1,'PY1 Data(H)'!$A$1:$BR$1,_xlfn.XLOOKUP($A74,'PY1 Data(H)'!$A$1:$A$135,'PY1 Data(H)'!$A$1:$BR$135))</f>
        <v>111186</v>
      </c>
      <c r="M74" s="119" cm="1">
        <f t="array" ref="M74">_xlfn.XLOOKUP(M$1,'PY1 Data(H)'!$A$1:$BR$1,_xlfn.XLOOKUP($A74,'PY1 Data(H)'!$A$1:$A$135,'PY1 Data(H)'!$A$1:$BR$135))</f>
        <v>217157</v>
      </c>
      <c r="N74" s="119" cm="1">
        <f t="array" ref="N74">_xlfn.XLOOKUP(N$1,'PY1 Data(H)'!$A$1:$BR$1,_xlfn.XLOOKUP($A74,'PY1 Data(H)'!$A$1:$A$135,'PY1 Data(H)'!$A$1:$BR$135))</f>
        <v>0</v>
      </c>
      <c r="O74" s="119" t="e" cm="1">
        <f t="array" ref="O74">_xlfn.XLOOKUP(O$1,'PY1 Data(H)'!$A$1:$BR$1,_xlfn.XLOOKUP($A74,'PY1 Data(H)'!$A$1:$A$135,'PY1 Data(H)'!$A$1:$BR$135))</f>
        <v>#N/A</v>
      </c>
      <c r="P74" s="119" cm="1">
        <f t="array" ref="P74">_xlfn.XLOOKUP(P$1,'PY1 Data(H)'!$A$1:$BR$1,_xlfn.XLOOKUP($A74,'PY1 Data(H)'!$A$1:$A$135,'PY1 Data(H)'!$A$1:$BR$135))</f>
        <v>188326</v>
      </c>
      <c r="Q74" s="119" cm="1">
        <f t="array" ref="Q74">_xlfn.XLOOKUP(Q$1,'PY1 Data(H)'!$A$1:$BR$1,_xlfn.XLOOKUP($A74,'PY1 Data(H)'!$A$1:$A$135,'PY1 Data(H)'!$A$1:$BR$135))</f>
        <v>399195</v>
      </c>
      <c r="R74" s="119" cm="1">
        <f t="array" ref="R74">_xlfn.XLOOKUP(R$1,'PY1 Data(H)'!$A$1:$BR$1,_xlfn.XLOOKUP($A74,'PY1 Data(H)'!$A$1:$A$135,'PY1 Data(H)'!$A$1:$BR$135))</f>
        <v>256877</v>
      </c>
      <c r="S74" s="119" cm="1">
        <f t="array" ref="S74">_xlfn.XLOOKUP(S$1,'PY1 Data(H)'!$A$1:$BR$1,_xlfn.XLOOKUP($A74,'PY1 Data(H)'!$A$1:$A$135,'PY1 Data(H)'!$A$1:$BR$135))</f>
        <v>718183</v>
      </c>
    </row>
    <row r="75" spans="1:19" x14ac:dyDescent="0.3">
      <c r="A75">
        <v>577</v>
      </c>
      <c r="D75" s="119" cm="1">
        <f t="array" ref="D75">_xlfn.XLOOKUP(D$1,'PY1 Data(H)'!$A$1:$BR$1,_xlfn.XLOOKUP($A75,'PY1 Data(H)'!$A$1:$A$135,'PY1 Data(H)'!$A$1:$BR$135))</f>
        <v>2</v>
      </c>
      <c r="E75" s="119" cm="1">
        <f t="array" ref="E75">_xlfn.XLOOKUP(E$1,'PY1 Data(H)'!$A$1:$BR$1,_xlfn.XLOOKUP($A75,'PY1 Data(H)'!$A$1:$A$135,'PY1 Data(H)'!$A$1:$BR$135))</f>
        <v>2</v>
      </c>
      <c r="F75" s="119" cm="1">
        <f t="array" ref="F75">_xlfn.XLOOKUP(F$1,'PY1 Data(H)'!$A$1:$BR$1,_xlfn.XLOOKUP($A75,'PY1 Data(H)'!$A$1:$A$135,'PY1 Data(H)'!$A$1:$BR$135))</f>
        <v>2</v>
      </c>
      <c r="G75" s="119" cm="1">
        <f t="array" ref="G75">_xlfn.XLOOKUP(G$1,'PY1 Data(H)'!$A$1:$BR$1,_xlfn.XLOOKUP($A75,'PY1 Data(H)'!$A$1:$A$135,'PY1 Data(H)'!$A$1:$BR$135))</f>
        <v>2</v>
      </c>
      <c r="H75" s="119" cm="1">
        <f t="array" ref="H75">_xlfn.XLOOKUP(H$1,'PY1 Data(H)'!$A$1:$BR$1,_xlfn.XLOOKUP($A75,'PY1 Data(H)'!$A$1:$A$135,'PY1 Data(H)'!$A$1:$BR$135))</f>
        <v>2</v>
      </c>
      <c r="I75" s="119" cm="1">
        <f t="array" ref="I75">_xlfn.XLOOKUP(I$1,'PY1 Data(H)'!$A$1:$BR$1,_xlfn.XLOOKUP($A75,'PY1 Data(H)'!$A$1:$A$135,'PY1 Data(H)'!$A$1:$BR$135))</f>
        <v>1</v>
      </c>
      <c r="J75" s="119" cm="1">
        <f t="array" ref="J75">_xlfn.XLOOKUP(J$1,'PY1 Data(H)'!$A$1:$BR$1,_xlfn.XLOOKUP($A75,'PY1 Data(H)'!$A$1:$A$135,'PY1 Data(H)'!$A$1:$BR$135))</f>
        <v>2</v>
      </c>
      <c r="K75" s="119" cm="1">
        <f t="array" ref="K75">_xlfn.XLOOKUP(K$1,'PY1 Data(H)'!$A$1:$BR$1,_xlfn.XLOOKUP($A75,'PY1 Data(H)'!$A$1:$A$135,'PY1 Data(H)'!$A$1:$BR$135))</f>
        <v>2</v>
      </c>
      <c r="L75" s="119" cm="1">
        <f t="array" ref="L75">_xlfn.XLOOKUP(L$1,'PY1 Data(H)'!$A$1:$BR$1,_xlfn.XLOOKUP($A75,'PY1 Data(H)'!$A$1:$A$135,'PY1 Data(H)'!$A$1:$BR$135))</f>
        <v>2</v>
      </c>
      <c r="M75" s="119" cm="1">
        <f t="array" ref="M75">_xlfn.XLOOKUP(M$1,'PY1 Data(H)'!$A$1:$BR$1,_xlfn.XLOOKUP($A75,'PY1 Data(H)'!$A$1:$A$135,'PY1 Data(H)'!$A$1:$BR$135))</f>
        <v>2</v>
      </c>
      <c r="N75" s="119" cm="1">
        <f t="array" ref="N75">_xlfn.XLOOKUP(N$1,'PY1 Data(H)'!$A$1:$BR$1,_xlfn.XLOOKUP($A75,'PY1 Data(H)'!$A$1:$A$135,'PY1 Data(H)'!$A$1:$BR$135))</f>
        <v>0</v>
      </c>
      <c r="O75" s="119" t="e" cm="1">
        <f t="array" ref="O75">_xlfn.XLOOKUP(O$1,'PY1 Data(H)'!$A$1:$BR$1,_xlfn.XLOOKUP($A75,'PY1 Data(H)'!$A$1:$A$135,'PY1 Data(H)'!$A$1:$BR$135))</f>
        <v>#N/A</v>
      </c>
      <c r="P75" s="119" cm="1">
        <f t="array" ref="P75">_xlfn.XLOOKUP(P$1,'PY1 Data(H)'!$A$1:$BR$1,_xlfn.XLOOKUP($A75,'PY1 Data(H)'!$A$1:$A$135,'PY1 Data(H)'!$A$1:$BR$135))</f>
        <v>2</v>
      </c>
      <c r="Q75" s="119" cm="1">
        <f t="array" ref="Q75">_xlfn.XLOOKUP(Q$1,'PY1 Data(H)'!$A$1:$BR$1,_xlfn.XLOOKUP($A75,'PY1 Data(H)'!$A$1:$A$135,'PY1 Data(H)'!$A$1:$BR$135))</f>
        <v>2</v>
      </c>
      <c r="R75" s="119" cm="1">
        <f t="array" ref="R75">_xlfn.XLOOKUP(R$1,'PY1 Data(H)'!$A$1:$BR$1,_xlfn.XLOOKUP($A75,'PY1 Data(H)'!$A$1:$A$135,'PY1 Data(H)'!$A$1:$BR$135))</f>
        <v>2</v>
      </c>
      <c r="S75" s="119" cm="1">
        <f t="array" ref="S75">_xlfn.XLOOKUP(S$1,'PY1 Data(H)'!$A$1:$BR$1,_xlfn.XLOOKUP($A75,'PY1 Data(H)'!$A$1:$A$135,'PY1 Data(H)'!$A$1:$BR$135))</f>
        <v>2</v>
      </c>
    </row>
    <row r="76" spans="1:19" x14ac:dyDescent="0.3">
      <c r="D76" s="119" cm="1">
        <f t="array" ref="D76">_xlfn.XLOOKUP(D$1,'PY1 Data(H)'!$A$1:$BR$1,_xlfn.XLOOKUP($A76,'PY1 Data(H)'!$A$1:$A$135,'PY1 Data(H)'!$A$1:$BR$135))</f>
        <v>0</v>
      </c>
      <c r="E76" s="119" cm="1">
        <f t="array" ref="E76">_xlfn.XLOOKUP(E$1,'PY1 Data(H)'!$A$1:$BR$1,_xlfn.XLOOKUP($A76,'PY1 Data(H)'!$A$1:$A$135,'PY1 Data(H)'!$A$1:$BR$135))</f>
        <v>0</v>
      </c>
      <c r="F76" s="119" cm="1">
        <f t="array" ref="F76">_xlfn.XLOOKUP(F$1,'PY1 Data(H)'!$A$1:$BR$1,_xlfn.XLOOKUP($A76,'PY1 Data(H)'!$A$1:$A$135,'PY1 Data(H)'!$A$1:$BR$135))</f>
        <v>0</v>
      </c>
      <c r="G76" s="119" cm="1">
        <f t="array" ref="G76">_xlfn.XLOOKUP(G$1,'PY1 Data(H)'!$A$1:$BR$1,_xlfn.XLOOKUP($A76,'PY1 Data(H)'!$A$1:$A$135,'PY1 Data(H)'!$A$1:$BR$135))</f>
        <v>0</v>
      </c>
      <c r="H76" s="119" cm="1">
        <f t="array" ref="H76">_xlfn.XLOOKUP(H$1,'PY1 Data(H)'!$A$1:$BR$1,_xlfn.XLOOKUP($A76,'PY1 Data(H)'!$A$1:$A$135,'PY1 Data(H)'!$A$1:$BR$135))</f>
        <v>0</v>
      </c>
      <c r="I76" s="119" cm="1">
        <f t="array" ref="I76">_xlfn.XLOOKUP(I$1,'PY1 Data(H)'!$A$1:$BR$1,_xlfn.XLOOKUP($A76,'PY1 Data(H)'!$A$1:$A$135,'PY1 Data(H)'!$A$1:$BR$135))</f>
        <v>0</v>
      </c>
      <c r="J76" s="119" cm="1">
        <f t="array" ref="J76">_xlfn.XLOOKUP(J$1,'PY1 Data(H)'!$A$1:$BR$1,_xlfn.XLOOKUP($A76,'PY1 Data(H)'!$A$1:$A$135,'PY1 Data(H)'!$A$1:$BR$135))</f>
        <v>0</v>
      </c>
      <c r="K76" s="119" cm="1">
        <f t="array" ref="K76">_xlfn.XLOOKUP(K$1,'PY1 Data(H)'!$A$1:$BR$1,_xlfn.XLOOKUP($A76,'PY1 Data(H)'!$A$1:$A$135,'PY1 Data(H)'!$A$1:$BR$135))</f>
        <v>0</v>
      </c>
      <c r="L76" s="119" cm="1">
        <f t="array" ref="L76">_xlfn.XLOOKUP(L$1,'PY1 Data(H)'!$A$1:$BR$1,_xlfn.XLOOKUP($A76,'PY1 Data(H)'!$A$1:$A$135,'PY1 Data(H)'!$A$1:$BR$135))</f>
        <v>0</v>
      </c>
      <c r="M76" s="119" cm="1">
        <f t="array" ref="M76">_xlfn.XLOOKUP(M$1,'PY1 Data(H)'!$A$1:$BR$1,_xlfn.XLOOKUP($A76,'PY1 Data(H)'!$A$1:$A$135,'PY1 Data(H)'!$A$1:$BR$135))</f>
        <v>0</v>
      </c>
      <c r="N76" s="119" cm="1">
        <f t="array" ref="N76">_xlfn.XLOOKUP(N$1,'PY1 Data(H)'!$A$1:$BR$1,_xlfn.XLOOKUP($A76,'PY1 Data(H)'!$A$1:$A$135,'PY1 Data(H)'!$A$1:$BR$135))</f>
        <v>0</v>
      </c>
      <c r="O76" s="119" t="e" cm="1">
        <f t="array" ref="O76">_xlfn.XLOOKUP(O$1,'PY1 Data(H)'!$A$1:$BR$1,_xlfn.XLOOKUP($A76,'PY1 Data(H)'!$A$1:$A$135,'PY1 Data(H)'!$A$1:$BR$135))</f>
        <v>#N/A</v>
      </c>
      <c r="P76" s="119" cm="1">
        <f t="array" ref="P76">_xlfn.XLOOKUP(P$1,'PY1 Data(H)'!$A$1:$BR$1,_xlfn.XLOOKUP($A76,'PY1 Data(H)'!$A$1:$A$135,'PY1 Data(H)'!$A$1:$BR$135))</f>
        <v>0</v>
      </c>
      <c r="Q76" s="119" cm="1">
        <f t="array" ref="Q76">_xlfn.XLOOKUP(Q$1,'PY1 Data(H)'!$A$1:$BR$1,_xlfn.XLOOKUP($A76,'PY1 Data(H)'!$A$1:$A$135,'PY1 Data(H)'!$A$1:$BR$135))</f>
        <v>0</v>
      </c>
      <c r="R76" s="119" cm="1">
        <f t="array" ref="R76">_xlfn.XLOOKUP(R$1,'PY1 Data(H)'!$A$1:$BR$1,_xlfn.XLOOKUP($A76,'PY1 Data(H)'!$A$1:$A$135,'PY1 Data(H)'!$A$1:$BR$135))</f>
        <v>0</v>
      </c>
      <c r="S76" s="119" cm="1">
        <f t="array" ref="S76">_xlfn.XLOOKUP(S$1,'PY1 Data(H)'!$A$1:$BR$1,_xlfn.XLOOKUP($A76,'PY1 Data(H)'!$A$1:$A$135,'PY1 Data(H)'!$A$1:$BR$135))</f>
        <v>0</v>
      </c>
    </row>
    <row r="77" spans="1:19" x14ac:dyDescent="0.3">
      <c r="A77">
        <v>547</v>
      </c>
      <c r="D77" s="119" cm="1">
        <f t="array" ref="D77">_xlfn.XLOOKUP(D$1,'PY1 Data(H)'!$A$1:$BR$1,_xlfn.XLOOKUP($A77,'PY1 Data(H)'!$A$1:$A$135,'PY1 Data(H)'!$A$1:$BR$135))</f>
        <v>2</v>
      </c>
      <c r="E77" s="119" cm="1">
        <f t="array" ref="E77">_xlfn.XLOOKUP(E$1,'PY1 Data(H)'!$A$1:$BR$1,_xlfn.XLOOKUP($A77,'PY1 Data(H)'!$A$1:$A$135,'PY1 Data(H)'!$A$1:$BR$135))</f>
        <v>2</v>
      </c>
      <c r="F77" s="119" cm="1">
        <f t="array" ref="F77">_xlfn.XLOOKUP(F$1,'PY1 Data(H)'!$A$1:$BR$1,_xlfn.XLOOKUP($A77,'PY1 Data(H)'!$A$1:$A$135,'PY1 Data(H)'!$A$1:$BR$135))</f>
        <v>3</v>
      </c>
      <c r="G77" s="119" cm="1">
        <f t="array" ref="G77">_xlfn.XLOOKUP(G$1,'PY1 Data(H)'!$A$1:$BR$1,_xlfn.XLOOKUP($A77,'PY1 Data(H)'!$A$1:$A$135,'PY1 Data(H)'!$A$1:$BR$135))</f>
        <v>3</v>
      </c>
      <c r="H77" s="119" cm="1">
        <f t="array" ref="H77">_xlfn.XLOOKUP(H$1,'PY1 Data(H)'!$A$1:$BR$1,_xlfn.XLOOKUP($A77,'PY1 Data(H)'!$A$1:$A$135,'PY1 Data(H)'!$A$1:$BR$135))</f>
        <v>3</v>
      </c>
      <c r="I77" s="119" cm="1">
        <f t="array" ref="I77">_xlfn.XLOOKUP(I$1,'PY1 Data(H)'!$A$1:$BR$1,_xlfn.XLOOKUP($A77,'PY1 Data(H)'!$A$1:$A$135,'PY1 Data(H)'!$A$1:$BR$135))</f>
        <v>1</v>
      </c>
      <c r="J77" s="119" cm="1">
        <f t="array" ref="J77">_xlfn.XLOOKUP(J$1,'PY1 Data(H)'!$A$1:$BR$1,_xlfn.XLOOKUP($A77,'PY1 Data(H)'!$A$1:$A$135,'PY1 Data(H)'!$A$1:$BR$135))</f>
        <v>4</v>
      </c>
      <c r="K77" s="119" cm="1">
        <f t="array" ref="K77">_xlfn.XLOOKUP(K$1,'PY1 Data(H)'!$A$1:$BR$1,_xlfn.XLOOKUP($A77,'PY1 Data(H)'!$A$1:$A$135,'PY1 Data(H)'!$A$1:$BR$135))</f>
        <v>2</v>
      </c>
      <c r="L77" s="119" cm="1">
        <f t="array" ref="L77">_xlfn.XLOOKUP(L$1,'PY1 Data(H)'!$A$1:$BR$1,_xlfn.XLOOKUP($A77,'PY1 Data(H)'!$A$1:$A$135,'PY1 Data(H)'!$A$1:$BR$135))</f>
        <v>1</v>
      </c>
      <c r="M77" s="119" cm="1">
        <f t="array" ref="M77">_xlfn.XLOOKUP(M$1,'PY1 Data(H)'!$A$1:$BR$1,_xlfn.XLOOKUP($A77,'PY1 Data(H)'!$A$1:$A$135,'PY1 Data(H)'!$A$1:$BR$135))</f>
        <v>3</v>
      </c>
      <c r="N77" s="119" cm="1">
        <f t="array" ref="N77">_xlfn.XLOOKUP(N$1,'PY1 Data(H)'!$A$1:$BR$1,_xlfn.XLOOKUP($A77,'PY1 Data(H)'!$A$1:$A$135,'PY1 Data(H)'!$A$1:$BR$135))</f>
        <v>0</v>
      </c>
      <c r="O77" s="119" t="e" cm="1">
        <f t="array" ref="O77">_xlfn.XLOOKUP(O$1,'PY1 Data(H)'!$A$1:$BR$1,_xlfn.XLOOKUP($A77,'PY1 Data(H)'!$A$1:$A$135,'PY1 Data(H)'!$A$1:$BR$135))</f>
        <v>#N/A</v>
      </c>
      <c r="P77" s="119" cm="1">
        <f t="array" ref="P77">_xlfn.XLOOKUP(P$1,'PY1 Data(H)'!$A$1:$BR$1,_xlfn.XLOOKUP($A77,'PY1 Data(H)'!$A$1:$A$135,'PY1 Data(H)'!$A$1:$BR$135))</f>
        <v>2</v>
      </c>
      <c r="Q77" s="119" cm="1">
        <f t="array" ref="Q77">_xlfn.XLOOKUP(Q$1,'PY1 Data(H)'!$A$1:$BR$1,_xlfn.XLOOKUP($A77,'PY1 Data(H)'!$A$1:$A$135,'PY1 Data(H)'!$A$1:$BR$135))</f>
        <v>3</v>
      </c>
      <c r="R77" s="119" cm="1">
        <f t="array" ref="R77">_xlfn.XLOOKUP(R$1,'PY1 Data(H)'!$A$1:$BR$1,_xlfn.XLOOKUP($A77,'PY1 Data(H)'!$A$1:$A$135,'PY1 Data(H)'!$A$1:$BR$135))</f>
        <v>2</v>
      </c>
      <c r="S77" s="119" cm="1">
        <f t="array" ref="S77">_xlfn.XLOOKUP(S$1,'PY1 Data(H)'!$A$1:$BR$1,_xlfn.XLOOKUP($A77,'PY1 Data(H)'!$A$1:$A$135,'PY1 Data(H)'!$A$1:$BR$135))</f>
        <v>3</v>
      </c>
    </row>
    <row r="78" spans="1:19" x14ac:dyDescent="0.3">
      <c r="A78">
        <v>659</v>
      </c>
      <c r="D78" s="119" cm="1">
        <f t="array" ref="D78">_xlfn.XLOOKUP(D$1,'PY1 Data(H)'!$A$1:$BR$1,_xlfn.XLOOKUP($A78,'PY1 Data(H)'!$A$1:$A$135,'PY1 Data(H)'!$A$1:$BR$135))</f>
        <v>0</v>
      </c>
      <c r="E78" s="119" cm="1">
        <f t="array" ref="E78">_xlfn.XLOOKUP(E$1,'PY1 Data(H)'!$A$1:$BR$1,_xlfn.XLOOKUP($A78,'PY1 Data(H)'!$A$1:$A$135,'PY1 Data(H)'!$A$1:$BR$135))</f>
        <v>0</v>
      </c>
      <c r="F78" s="119" cm="1">
        <f t="array" ref="F78">_xlfn.XLOOKUP(F$1,'PY1 Data(H)'!$A$1:$BR$1,_xlfn.XLOOKUP($A78,'PY1 Data(H)'!$A$1:$A$135,'PY1 Data(H)'!$A$1:$BR$135))</f>
        <v>282938</v>
      </c>
      <c r="G78" s="119" cm="1">
        <f t="array" ref="G78">_xlfn.XLOOKUP(G$1,'PY1 Data(H)'!$A$1:$BR$1,_xlfn.XLOOKUP($A78,'PY1 Data(H)'!$A$1:$A$135,'PY1 Data(H)'!$A$1:$BR$135))</f>
        <v>476368</v>
      </c>
      <c r="H78" s="119" cm="1">
        <f t="array" ref="H78">_xlfn.XLOOKUP(H$1,'PY1 Data(H)'!$A$1:$BR$1,_xlfn.XLOOKUP($A78,'PY1 Data(H)'!$A$1:$A$135,'PY1 Data(H)'!$A$1:$BR$135))</f>
        <v>286008</v>
      </c>
      <c r="I78" s="119" cm="1">
        <f t="array" ref="I78">_xlfn.XLOOKUP(I$1,'PY1 Data(H)'!$A$1:$BR$1,_xlfn.XLOOKUP($A78,'PY1 Data(H)'!$A$1:$A$135,'PY1 Data(H)'!$A$1:$BR$135))</f>
        <v>1419894</v>
      </c>
      <c r="J78" s="119" cm="1">
        <f t="array" ref="J78">_xlfn.XLOOKUP(J$1,'PY1 Data(H)'!$A$1:$BR$1,_xlfn.XLOOKUP($A78,'PY1 Data(H)'!$A$1:$A$135,'PY1 Data(H)'!$A$1:$BR$135))</f>
        <v>0</v>
      </c>
      <c r="K78" s="119" cm="1">
        <f t="array" ref="K78">_xlfn.XLOOKUP(K$1,'PY1 Data(H)'!$A$1:$BR$1,_xlfn.XLOOKUP($A78,'PY1 Data(H)'!$A$1:$A$135,'PY1 Data(H)'!$A$1:$BR$135))</f>
        <v>0</v>
      </c>
      <c r="L78" s="119" cm="1">
        <f t="array" ref="L78">_xlfn.XLOOKUP(L$1,'PY1 Data(H)'!$A$1:$BR$1,_xlfn.XLOOKUP($A78,'PY1 Data(H)'!$A$1:$A$135,'PY1 Data(H)'!$A$1:$BR$135))</f>
        <v>0</v>
      </c>
      <c r="M78" s="119" cm="1">
        <f t="array" ref="M78">_xlfn.XLOOKUP(M$1,'PY1 Data(H)'!$A$1:$BR$1,_xlfn.XLOOKUP($A78,'PY1 Data(H)'!$A$1:$A$135,'PY1 Data(H)'!$A$1:$BR$135))</f>
        <v>367937</v>
      </c>
      <c r="N78" s="119" cm="1">
        <f t="array" ref="N78">_xlfn.XLOOKUP(N$1,'PY1 Data(H)'!$A$1:$BR$1,_xlfn.XLOOKUP($A78,'PY1 Data(H)'!$A$1:$A$135,'PY1 Data(H)'!$A$1:$BR$135))</f>
        <v>0</v>
      </c>
      <c r="O78" s="119" t="e" cm="1">
        <f t="array" ref="O78">_xlfn.XLOOKUP(O$1,'PY1 Data(H)'!$A$1:$BR$1,_xlfn.XLOOKUP($A78,'PY1 Data(H)'!$A$1:$A$135,'PY1 Data(H)'!$A$1:$BR$135))</f>
        <v>#N/A</v>
      </c>
      <c r="P78" s="119" cm="1">
        <f t="array" ref="P78">_xlfn.XLOOKUP(P$1,'PY1 Data(H)'!$A$1:$BR$1,_xlfn.XLOOKUP($A78,'PY1 Data(H)'!$A$1:$A$135,'PY1 Data(H)'!$A$1:$BR$135))</f>
        <v>0</v>
      </c>
      <c r="Q78" s="119" cm="1">
        <f t="array" ref="Q78">_xlfn.XLOOKUP(Q$1,'PY1 Data(H)'!$A$1:$BR$1,_xlfn.XLOOKUP($A78,'PY1 Data(H)'!$A$1:$A$135,'PY1 Data(H)'!$A$1:$BR$135))</f>
        <v>2417942</v>
      </c>
      <c r="R78" s="119" cm="1">
        <f t="array" ref="R78">_xlfn.XLOOKUP(R$1,'PY1 Data(H)'!$A$1:$BR$1,_xlfn.XLOOKUP($A78,'PY1 Data(H)'!$A$1:$A$135,'PY1 Data(H)'!$A$1:$BR$135))</f>
        <v>0</v>
      </c>
      <c r="S78" s="119" cm="1">
        <f t="array" ref="S78">_xlfn.XLOOKUP(S$1,'PY1 Data(H)'!$A$1:$BR$1,_xlfn.XLOOKUP($A78,'PY1 Data(H)'!$A$1:$A$135,'PY1 Data(H)'!$A$1:$BR$135))</f>
        <v>187644</v>
      </c>
    </row>
    <row r="79" spans="1:19" x14ac:dyDescent="0.3">
      <c r="A79">
        <v>660</v>
      </c>
      <c r="D79" s="119" cm="1">
        <f t="array" ref="D79">_xlfn.XLOOKUP(D$1,'PY1 Data(H)'!$A$1:$BR$1,_xlfn.XLOOKUP($A79,'PY1 Data(H)'!$A$1:$A$135,'PY1 Data(H)'!$A$1:$BR$135))</f>
        <v>0</v>
      </c>
      <c r="E79" s="119" cm="1">
        <f t="array" ref="E79">_xlfn.XLOOKUP(E$1,'PY1 Data(H)'!$A$1:$BR$1,_xlfn.XLOOKUP($A79,'PY1 Data(H)'!$A$1:$A$135,'PY1 Data(H)'!$A$1:$BR$135))</f>
        <v>0</v>
      </c>
      <c r="F79" s="119" cm="1">
        <f t="array" ref="F79">_xlfn.XLOOKUP(F$1,'PY1 Data(H)'!$A$1:$BR$1,_xlfn.XLOOKUP($A79,'PY1 Data(H)'!$A$1:$A$135,'PY1 Data(H)'!$A$1:$BR$135))</f>
        <v>0</v>
      </c>
      <c r="G79" s="119" cm="1">
        <f t="array" ref="G79">_xlfn.XLOOKUP(G$1,'PY1 Data(H)'!$A$1:$BR$1,_xlfn.XLOOKUP($A79,'PY1 Data(H)'!$A$1:$A$135,'PY1 Data(H)'!$A$1:$BR$135))</f>
        <v>622817</v>
      </c>
      <c r="H79" s="119" cm="1">
        <f t="array" ref="H79">_xlfn.XLOOKUP(H$1,'PY1 Data(H)'!$A$1:$BR$1,_xlfn.XLOOKUP($A79,'PY1 Data(H)'!$A$1:$A$135,'PY1 Data(H)'!$A$1:$BR$135))</f>
        <v>0</v>
      </c>
      <c r="I79" s="119" cm="1">
        <f t="array" ref="I79">_xlfn.XLOOKUP(I$1,'PY1 Data(H)'!$A$1:$BR$1,_xlfn.XLOOKUP($A79,'PY1 Data(H)'!$A$1:$A$135,'PY1 Data(H)'!$A$1:$BR$135))</f>
        <v>10487</v>
      </c>
      <c r="J79" s="119" cm="1">
        <f t="array" ref="J79">_xlfn.XLOOKUP(J$1,'PY1 Data(H)'!$A$1:$BR$1,_xlfn.XLOOKUP($A79,'PY1 Data(H)'!$A$1:$A$135,'PY1 Data(H)'!$A$1:$BR$135))</f>
        <v>0</v>
      </c>
      <c r="K79" s="119" cm="1">
        <f t="array" ref="K79">_xlfn.XLOOKUP(K$1,'PY1 Data(H)'!$A$1:$BR$1,_xlfn.XLOOKUP($A79,'PY1 Data(H)'!$A$1:$A$135,'PY1 Data(H)'!$A$1:$BR$135))</f>
        <v>0</v>
      </c>
      <c r="L79" s="119" cm="1">
        <f t="array" ref="L79">_xlfn.XLOOKUP(L$1,'PY1 Data(H)'!$A$1:$BR$1,_xlfn.XLOOKUP($A79,'PY1 Data(H)'!$A$1:$A$135,'PY1 Data(H)'!$A$1:$BR$135))</f>
        <v>0</v>
      </c>
      <c r="M79" s="119" cm="1">
        <f t="array" ref="M79">_xlfn.XLOOKUP(M$1,'PY1 Data(H)'!$A$1:$BR$1,_xlfn.XLOOKUP($A79,'PY1 Data(H)'!$A$1:$A$135,'PY1 Data(H)'!$A$1:$BR$135))</f>
        <v>0</v>
      </c>
      <c r="N79" s="119" cm="1">
        <f t="array" ref="N79">_xlfn.XLOOKUP(N$1,'PY1 Data(H)'!$A$1:$BR$1,_xlfn.XLOOKUP($A79,'PY1 Data(H)'!$A$1:$A$135,'PY1 Data(H)'!$A$1:$BR$135))</f>
        <v>0</v>
      </c>
      <c r="O79" s="119" t="e" cm="1">
        <f t="array" ref="O79">_xlfn.XLOOKUP(O$1,'PY1 Data(H)'!$A$1:$BR$1,_xlfn.XLOOKUP($A79,'PY1 Data(H)'!$A$1:$A$135,'PY1 Data(H)'!$A$1:$BR$135))</f>
        <v>#N/A</v>
      </c>
      <c r="P79" s="119" cm="1">
        <f t="array" ref="P79">_xlfn.XLOOKUP(P$1,'PY1 Data(H)'!$A$1:$BR$1,_xlfn.XLOOKUP($A79,'PY1 Data(H)'!$A$1:$A$135,'PY1 Data(H)'!$A$1:$BR$135))</f>
        <v>0</v>
      </c>
      <c r="Q79" s="119" cm="1">
        <f t="array" ref="Q79">_xlfn.XLOOKUP(Q$1,'PY1 Data(H)'!$A$1:$BR$1,_xlfn.XLOOKUP($A79,'PY1 Data(H)'!$A$1:$A$135,'PY1 Data(H)'!$A$1:$BR$135))</f>
        <v>267233</v>
      </c>
      <c r="R79" s="119" cm="1">
        <f t="array" ref="R79">_xlfn.XLOOKUP(R$1,'PY1 Data(H)'!$A$1:$BR$1,_xlfn.XLOOKUP($A79,'PY1 Data(H)'!$A$1:$A$135,'PY1 Data(H)'!$A$1:$BR$135))</f>
        <v>0</v>
      </c>
      <c r="S79" s="119" cm="1">
        <f t="array" ref="S79">_xlfn.XLOOKUP(S$1,'PY1 Data(H)'!$A$1:$BR$1,_xlfn.XLOOKUP($A79,'PY1 Data(H)'!$A$1:$A$135,'PY1 Data(H)'!$A$1:$BR$135))</f>
        <v>173181</v>
      </c>
    </row>
    <row r="80" spans="1:19" x14ac:dyDescent="0.3">
      <c r="A80">
        <v>661</v>
      </c>
      <c r="D80" s="119" cm="1">
        <f t="array" ref="D80">_xlfn.XLOOKUP(D$1,'PY1 Data(H)'!$A$1:$BR$1,_xlfn.XLOOKUP($A80,'PY1 Data(H)'!$A$1:$A$135,'PY1 Data(H)'!$A$1:$BR$135))</f>
        <v>0</v>
      </c>
      <c r="E80" s="119" cm="1">
        <f t="array" ref="E80">_xlfn.XLOOKUP(E$1,'PY1 Data(H)'!$A$1:$BR$1,_xlfn.XLOOKUP($A80,'PY1 Data(H)'!$A$1:$A$135,'PY1 Data(H)'!$A$1:$BR$135))</f>
        <v>0</v>
      </c>
      <c r="F80" s="119" cm="1">
        <f t="array" ref="F80">_xlfn.XLOOKUP(F$1,'PY1 Data(H)'!$A$1:$BR$1,_xlfn.XLOOKUP($A80,'PY1 Data(H)'!$A$1:$A$135,'PY1 Data(H)'!$A$1:$BR$135))</f>
        <v>0</v>
      </c>
      <c r="G80" s="119" cm="1">
        <f t="array" ref="G80">_xlfn.XLOOKUP(G$1,'PY1 Data(H)'!$A$1:$BR$1,_xlfn.XLOOKUP($A80,'PY1 Data(H)'!$A$1:$A$135,'PY1 Data(H)'!$A$1:$BR$135))</f>
        <v>130.69999999999999</v>
      </c>
      <c r="H80" s="119" cm="1">
        <f t="array" ref="H80">_xlfn.XLOOKUP(H$1,'PY1 Data(H)'!$A$1:$BR$1,_xlfn.XLOOKUP($A80,'PY1 Data(H)'!$A$1:$A$135,'PY1 Data(H)'!$A$1:$BR$135))</f>
        <v>0</v>
      </c>
      <c r="I80" s="119" cm="1">
        <f t="array" ref="I80">_xlfn.XLOOKUP(I$1,'PY1 Data(H)'!$A$1:$BR$1,_xlfn.XLOOKUP($A80,'PY1 Data(H)'!$A$1:$A$135,'PY1 Data(H)'!$A$1:$BR$135))</f>
        <v>0.7</v>
      </c>
      <c r="J80" s="119" cm="1">
        <f t="array" ref="J80">_xlfn.XLOOKUP(J$1,'PY1 Data(H)'!$A$1:$BR$1,_xlfn.XLOOKUP($A80,'PY1 Data(H)'!$A$1:$A$135,'PY1 Data(H)'!$A$1:$BR$135))</f>
        <v>0</v>
      </c>
      <c r="K80" s="119" cm="1">
        <f t="array" ref="K80">_xlfn.XLOOKUP(K$1,'PY1 Data(H)'!$A$1:$BR$1,_xlfn.XLOOKUP($A80,'PY1 Data(H)'!$A$1:$A$135,'PY1 Data(H)'!$A$1:$BR$135))</f>
        <v>0</v>
      </c>
      <c r="L80" s="119" cm="1">
        <f t="array" ref="L80">_xlfn.XLOOKUP(L$1,'PY1 Data(H)'!$A$1:$BR$1,_xlfn.XLOOKUP($A80,'PY1 Data(H)'!$A$1:$A$135,'PY1 Data(H)'!$A$1:$BR$135))</f>
        <v>0</v>
      </c>
      <c r="M80" s="119" cm="1">
        <f t="array" ref="M80">_xlfn.XLOOKUP(M$1,'PY1 Data(H)'!$A$1:$BR$1,_xlfn.XLOOKUP($A80,'PY1 Data(H)'!$A$1:$A$135,'PY1 Data(H)'!$A$1:$BR$135))</f>
        <v>0</v>
      </c>
      <c r="N80" s="119" cm="1">
        <f t="array" ref="N80">_xlfn.XLOOKUP(N$1,'PY1 Data(H)'!$A$1:$BR$1,_xlfn.XLOOKUP($A80,'PY1 Data(H)'!$A$1:$A$135,'PY1 Data(H)'!$A$1:$BR$135))</f>
        <v>0</v>
      </c>
      <c r="O80" s="119" t="e" cm="1">
        <f t="array" ref="O80">_xlfn.XLOOKUP(O$1,'PY1 Data(H)'!$A$1:$BR$1,_xlfn.XLOOKUP($A80,'PY1 Data(H)'!$A$1:$A$135,'PY1 Data(H)'!$A$1:$BR$135))</f>
        <v>#N/A</v>
      </c>
      <c r="P80" s="119" cm="1">
        <f t="array" ref="P80">_xlfn.XLOOKUP(P$1,'PY1 Data(H)'!$A$1:$BR$1,_xlfn.XLOOKUP($A80,'PY1 Data(H)'!$A$1:$A$135,'PY1 Data(H)'!$A$1:$BR$135))</f>
        <v>0</v>
      </c>
      <c r="Q80" s="119" cm="1">
        <f t="array" ref="Q80">_xlfn.XLOOKUP(Q$1,'PY1 Data(H)'!$A$1:$BR$1,_xlfn.XLOOKUP($A80,'PY1 Data(H)'!$A$1:$A$135,'PY1 Data(H)'!$A$1:$BR$135))</f>
        <v>11.1</v>
      </c>
      <c r="R80" s="119" cm="1">
        <f t="array" ref="R80">_xlfn.XLOOKUP(R$1,'PY1 Data(H)'!$A$1:$BR$1,_xlfn.XLOOKUP($A80,'PY1 Data(H)'!$A$1:$A$135,'PY1 Data(H)'!$A$1:$BR$135))</f>
        <v>0</v>
      </c>
      <c r="S80" s="119" cm="1">
        <f t="array" ref="S80">_xlfn.XLOOKUP(S$1,'PY1 Data(H)'!$A$1:$BR$1,_xlfn.XLOOKUP($A80,'PY1 Data(H)'!$A$1:$A$135,'PY1 Data(H)'!$A$1:$BR$135))</f>
        <v>92.3</v>
      </c>
    </row>
    <row r="81" spans="1:19" x14ac:dyDescent="0.3">
      <c r="D81" s="119" cm="1">
        <f t="array" ref="D81">_xlfn.XLOOKUP(D$1,'PY1 Data(H)'!$A$1:$BR$1,_xlfn.XLOOKUP($A81,'PY1 Data(H)'!$A$1:$A$135,'PY1 Data(H)'!$A$1:$BR$135))</f>
        <v>0</v>
      </c>
      <c r="E81" s="119" cm="1">
        <f t="array" ref="E81">_xlfn.XLOOKUP(E$1,'PY1 Data(H)'!$A$1:$BR$1,_xlfn.XLOOKUP($A81,'PY1 Data(H)'!$A$1:$A$135,'PY1 Data(H)'!$A$1:$BR$135))</f>
        <v>0</v>
      </c>
      <c r="F81" s="119" cm="1">
        <f t="array" ref="F81">_xlfn.XLOOKUP(F$1,'PY1 Data(H)'!$A$1:$BR$1,_xlfn.XLOOKUP($A81,'PY1 Data(H)'!$A$1:$A$135,'PY1 Data(H)'!$A$1:$BR$135))</f>
        <v>0</v>
      </c>
      <c r="G81" s="119" cm="1">
        <f t="array" ref="G81">_xlfn.XLOOKUP(G$1,'PY1 Data(H)'!$A$1:$BR$1,_xlfn.XLOOKUP($A81,'PY1 Data(H)'!$A$1:$A$135,'PY1 Data(H)'!$A$1:$BR$135))</f>
        <v>0</v>
      </c>
      <c r="H81" s="119" cm="1">
        <f t="array" ref="H81">_xlfn.XLOOKUP(H$1,'PY1 Data(H)'!$A$1:$BR$1,_xlfn.XLOOKUP($A81,'PY1 Data(H)'!$A$1:$A$135,'PY1 Data(H)'!$A$1:$BR$135))</f>
        <v>0</v>
      </c>
      <c r="I81" s="119" cm="1">
        <f t="array" ref="I81">_xlfn.XLOOKUP(I$1,'PY1 Data(H)'!$A$1:$BR$1,_xlfn.XLOOKUP($A81,'PY1 Data(H)'!$A$1:$A$135,'PY1 Data(H)'!$A$1:$BR$135))</f>
        <v>0</v>
      </c>
      <c r="J81" s="119" cm="1">
        <f t="array" ref="J81">_xlfn.XLOOKUP(J$1,'PY1 Data(H)'!$A$1:$BR$1,_xlfn.XLOOKUP($A81,'PY1 Data(H)'!$A$1:$A$135,'PY1 Data(H)'!$A$1:$BR$135))</f>
        <v>0</v>
      </c>
      <c r="K81" s="119" cm="1">
        <f t="array" ref="K81">_xlfn.XLOOKUP(K$1,'PY1 Data(H)'!$A$1:$BR$1,_xlfn.XLOOKUP($A81,'PY1 Data(H)'!$A$1:$A$135,'PY1 Data(H)'!$A$1:$BR$135))</f>
        <v>0</v>
      </c>
      <c r="L81" s="119" cm="1">
        <f t="array" ref="L81">_xlfn.XLOOKUP(L$1,'PY1 Data(H)'!$A$1:$BR$1,_xlfn.XLOOKUP($A81,'PY1 Data(H)'!$A$1:$A$135,'PY1 Data(H)'!$A$1:$BR$135))</f>
        <v>0</v>
      </c>
      <c r="M81" s="119" cm="1">
        <f t="array" ref="M81">_xlfn.XLOOKUP(M$1,'PY1 Data(H)'!$A$1:$BR$1,_xlfn.XLOOKUP($A81,'PY1 Data(H)'!$A$1:$A$135,'PY1 Data(H)'!$A$1:$BR$135))</f>
        <v>0</v>
      </c>
      <c r="N81" s="119" cm="1">
        <f t="array" ref="N81">_xlfn.XLOOKUP(N$1,'PY1 Data(H)'!$A$1:$BR$1,_xlfn.XLOOKUP($A81,'PY1 Data(H)'!$A$1:$A$135,'PY1 Data(H)'!$A$1:$BR$135))</f>
        <v>0</v>
      </c>
      <c r="O81" s="119" t="e" cm="1">
        <f t="array" ref="O81">_xlfn.XLOOKUP(O$1,'PY1 Data(H)'!$A$1:$BR$1,_xlfn.XLOOKUP($A81,'PY1 Data(H)'!$A$1:$A$135,'PY1 Data(H)'!$A$1:$BR$135))</f>
        <v>#N/A</v>
      </c>
      <c r="P81" s="119" cm="1">
        <f t="array" ref="P81">_xlfn.XLOOKUP(P$1,'PY1 Data(H)'!$A$1:$BR$1,_xlfn.XLOOKUP($A81,'PY1 Data(H)'!$A$1:$A$135,'PY1 Data(H)'!$A$1:$BR$135))</f>
        <v>0</v>
      </c>
      <c r="Q81" s="119" cm="1">
        <f t="array" ref="Q81">_xlfn.XLOOKUP(Q$1,'PY1 Data(H)'!$A$1:$BR$1,_xlfn.XLOOKUP($A81,'PY1 Data(H)'!$A$1:$A$135,'PY1 Data(H)'!$A$1:$BR$135))</f>
        <v>0</v>
      </c>
      <c r="R81" s="119" cm="1">
        <f t="array" ref="R81">_xlfn.XLOOKUP(R$1,'PY1 Data(H)'!$A$1:$BR$1,_xlfn.XLOOKUP($A81,'PY1 Data(H)'!$A$1:$A$135,'PY1 Data(H)'!$A$1:$BR$135))</f>
        <v>0</v>
      </c>
      <c r="S81" s="119" cm="1">
        <f t="array" ref="S81">_xlfn.XLOOKUP(S$1,'PY1 Data(H)'!$A$1:$BR$1,_xlfn.XLOOKUP($A81,'PY1 Data(H)'!$A$1:$A$135,'PY1 Data(H)'!$A$1:$BR$135))</f>
        <v>0</v>
      </c>
    </row>
    <row r="82" spans="1:19" x14ac:dyDescent="0.3">
      <c r="D82" s="119" cm="1">
        <f t="array" ref="D82">_xlfn.XLOOKUP(D$1,'PY1 Data(H)'!$A$1:$BR$1,_xlfn.XLOOKUP($A82,'PY1 Data(H)'!$A$1:$A$135,'PY1 Data(H)'!$A$1:$BR$135))</f>
        <v>0</v>
      </c>
      <c r="E82" s="119" cm="1">
        <f t="array" ref="E82">_xlfn.XLOOKUP(E$1,'PY1 Data(H)'!$A$1:$BR$1,_xlfn.XLOOKUP($A82,'PY1 Data(H)'!$A$1:$A$135,'PY1 Data(H)'!$A$1:$BR$135))</f>
        <v>0</v>
      </c>
      <c r="F82" s="119" cm="1">
        <f t="array" ref="F82">_xlfn.XLOOKUP(F$1,'PY1 Data(H)'!$A$1:$BR$1,_xlfn.XLOOKUP($A82,'PY1 Data(H)'!$A$1:$A$135,'PY1 Data(H)'!$A$1:$BR$135))</f>
        <v>0</v>
      </c>
      <c r="G82" s="119" cm="1">
        <f t="array" ref="G82">_xlfn.XLOOKUP(G$1,'PY1 Data(H)'!$A$1:$BR$1,_xlfn.XLOOKUP($A82,'PY1 Data(H)'!$A$1:$A$135,'PY1 Data(H)'!$A$1:$BR$135))</f>
        <v>0</v>
      </c>
      <c r="H82" s="119" cm="1">
        <f t="array" ref="H82">_xlfn.XLOOKUP(H$1,'PY1 Data(H)'!$A$1:$BR$1,_xlfn.XLOOKUP($A82,'PY1 Data(H)'!$A$1:$A$135,'PY1 Data(H)'!$A$1:$BR$135))</f>
        <v>0</v>
      </c>
      <c r="I82" s="119" cm="1">
        <f t="array" ref="I82">_xlfn.XLOOKUP(I$1,'PY1 Data(H)'!$A$1:$BR$1,_xlfn.XLOOKUP($A82,'PY1 Data(H)'!$A$1:$A$135,'PY1 Data(H)'!$A$1:$BR$135))</f>
        <v>0</v>
      </c>
      <c r="J82" s="119" cm="1">
        <f t="array" ref="J82">_xlfn.XLOOKUP(J$1,'PY1 Data(H)'!$A$1:$BR$1,_xlfn.XLOOKUP($A82,'PY1 Data(H)'!$A$1:$A$135,'PY1 Data(H)'!$A$1:$BR$135))</f>
        <v>0</v>
      </c>
      <c r="K82" s="119" cm="1">
        <f t="array" ref="K82">_xlfn.XLOOKUP(K$1,'PY1 Data(H)'!$A$1:$BR$1,_xlfn.XLOOKUP($A82,'PY1 Data(H)'!$A$1:$A$135,'PY1 Data(H)'!$A$1:$BR$135))</f>
        <v>0</v>
      </c>
      <c r="L82" s="119" cm="1">
        <f t="array" ref="L82">_xlfn.XLOOKUP(L$1,'PY1 Data(H)'!$A$1:$BR$1,_xlfn.XLOOKUP($A82,'PY1 Data(H)'!$A$1:$A$135,'PY1 Data(H)'!$A$1:$BR$135))</f>
        <v>0</v>
      </c>
      <c r="M82" s="119" cm="1">
        <f t="array" ref="M82">_xlfn.XLOOKUP(M$1,'PY1 Data(H)'!$A$1:$BR$1,_xlfn.XLOOKUP($A82,'PY1 Data(H)'!$A$1:$A$135,'PY1 Data(H)'!$A$1:$BR$135))</f>
        <v>0</v>
      </c>
      <c r="N82" s="119" cm="1">
        <f t="array" ref="N82">_xlfn.XLOOKUP(N$1,'PY1 Data(H)'!$A$1:$BR$1,_xlfn.XLOOKUP($A82,'PY1 Data(H)'!$A$1:$A$135,'PY1 Data(H)'!$A$1:$BR$135))</f>
        <v>0</v>
      </c>
      <c r="O82" s="119" t="e" cm="1">
        <f t="array" ref="O82">_xlfn.XLOOKUP(O$1,'PY1 Data(H)'!$A$1:$BR$1,_xlfn.XLOOKUP($A82,'PY1 Data(H)'!$A$1:$A$135,'PY1 Data(H)'!$A$1:$BR$135))</f>
        <v>#N/A</v>
      </c>
      <c r="P82" s="119" cm="1">
        <f t="array" ref="P82">_xlfn.XLOOKUP(P$1,'PY1 Data(H)'!$A$1:$BR$1,_xlfn.XLOOKUP($A82,'PY1 Data(H)'!$A$1:$A$135,'PY1 Data(H)'!$A$1:$BR$135))</f>
        <v>0</v>
      </c>
      <c r="Q82" s="119" cm="1">
        <f t="array" ref="Q82">_xlfn.XLOOKUP(Q$1,'PY1 Data(H)'!$A$1:$BR$1,_xlfn.XLOOKUP($A82,'PY1 Data(H)'!$A$1:$A$135,'PY1 Data(H)'!$A$1:$BR$135))</f>
        <v>0</v>
      </c>
      <c r="R82" s="119" cm="1">
        <f t="array" ref="R82">_xlfn.XLOOKUP(R$1,'PY1 Data(H)'!$A$1:$BR$1,_xlfn.XLOOKUP($A82,'PY1 Data(H)'!$A$1:$A$135,'PY1 Data(H)'!$A$1:$BR$135))</f>
        <v>0</v>
      </c>
      <c r="S82" s="119" cm="1">
        <f t="array" ref="S82">_xlfn.XLOOKUP(S$1,'PY1 Data(H)'!$A$1:$BR$1,_xlfn.XLOOKUP($A82,'PY1 Data(H)'!$A$1:$A$135,'PY1 Data(H)'!$A$1:$BR$135))</f>
        <v>0</v>
      </c>
    </row>
    <row r="83" spans="1:19" x14ac:dyDescent="0.3">
      <c r="A83">
        <v>6</v>
      </c>
      <c r="D83" s="119" cm="1">
        <f t="array" ref="D83">_xlfn.XLOOKUP(D$1,'PY1 Data(H)'!$A$1:$BR$1,_xlfn.XLOOKUP($A83,'PY1 Data(H)'!$A$1:$A$135,'PY1 Data(H)'!$A$1:$BR$135))</f>
        <v>0</v>
      </c>
      <c r="E83" s="119" cm="1">
        <f t="array" ref="E83">_xlfn.XLOOKUP(E$1,'PY1 Data(H)'!$A$1:$BR$1,_xlfn.XLOOKUP($A83,'PY1 Data(H)'!$A$1:$A$135,'PY1 Data(H)'!$A$1:$BR$135))</f>
        <v>0</v>
      </c>
      <c r="F83" s="119" cm="1">
        <f t="array" ref="F83">_xlfn.XLOOKUP(F$1,'PY1 Data(H)'!$A$1:$BR$1,_xlfn.XLOOKUP($A83,'PY1 Data(H)'!$A$1:$A$135,'PY1 Data(H)'!$A$1:$BR$135))</f>
        <v>0</v>
      </c>
      <c r="G83" s="119" cm="1">
        <f t="array" ref="G83">_xlfn.XLOOKUP(G$1,'PY1 Data(H)'!$A$1:$BR$1,_xlfn.XLOOKUP($A83,'PY1 Data(H)'!$A$1:$A$135,'PY1 Data(H)'!$A$1:$BR$135))</f>
        <v>0</v>
      </c>
      <c r="H83" s="119" cm="1">
        <f t="array" ref="H83">_xlfn.XLOOKUP(H$1,'PY1 Data(H)'!$A$1:$BR$1,_xlfn.XLOOKUP($A83,'PY1 Data(H)'!$A$1:$A$135,'PY1 Data(H)'!$A$1:$BR$135))</f>
        <v>0</v>
      </c>
      <c r="I83" s="119" cm="1">
        <f t="array" ref="I83">_xlfn.XLOOKUP(I$1,'PY1 Data(H)'!$A$1:$BR$1,_xlfn.XLOOKUP($A83,'PY1 Data(H)'!$A$1:$A$135,'PY1 Data(H)'!$A$1:$BR$135))</f>
        <v>0</v>
      </c>
      <c r="J83" s="119" cm="1">
        <f t="array" ref="J83">_xlfn.XLOOKUP(J$1,'PY1 Data(H)'!$A$1:$BR$1,_xlfn.XLOOKUP($A83,'PY1 Data(H)'!$A$1:$A$135,'PY1 Data(H)'!$A$1:$BR$135))</f>
        <v>0</v>
      </c>
      <c r="K83" s="119" cm="1">
        <f t="array" ref="K83">_xlfn.XLOOKUP(K$1,'PY1 Data(H)'!$A$1:$BR$1,_xlfn.XLOOKUP($A83,'PY1 Data(H)'!$A$1:$A$135,'PY1 Data(H)'!$A$1:$BR$135))</f>
        <v>0</v>
      </c>
      <c r="L83" s="119" cm="1">
        <f t="array" ref="L83">_xlfn.XLOOKUP(L$1,'PY1 Data(H)'!$A$1:$BR$1,_xlfn.XLOOKUP($A83,'PY1 Data(H)'!$A$1:$A$135,'PY1 Data(H)'!$A$1:$BR$135))</f>
        <v>0</v>
      </c>
      <c r="M83" s="119" cm="1">
        <f t="array" ref="M83">_xlfn.XLOOKUP(M$1,'PY1 Data(H)'!$A$1:$BR$1,_xlfn.XLOOKUP($A83,'PY1 Data(H)'!$A$1:$A$135,'PY1 Data(H)'!$A$1:$BR$135))</f>
        <v>0</v>
      </c>
      <c r="N83" s="119" cm="1">
        <f t="array" ref="N83">_xlfn.XLOOKUP(N$1,'PY1 Data(H)'!$A$1:$BR$1,_xlfn.XLOOKUP($A83,'PY1 Data(H)'!$A$1:$A$135,'PY1 Data(H)'!$A$1:$BR$135))</f>
        <v>0</v>
      </c>
      <c r="O83" s="119" t="e" cm="1">
        <f t="array" ref="O83">_xlfn.XLOOKUP(O$1,'PY1 Data(H)'!$A$1:$BR$1,_xlfn.XLOOKUP($A83,'PY1 Data(H)'!$A$1:$A$135,'PY1 Data(H)'!$A$1:$BR$135))</f>
        <v>#N/A</v>
      </c>
      <c r="P83" s="119" cm="1">
        <f t="array" ref="P83">_xlfn.XLOOKUP(P$1,'PY1 Data(H)'!$A$1:$BR$1,_xlfn.XLOOKUP($A83,'PY1 Data(H)'!$A$1:$A$135,'PY1 Data(H)'!$A$1:$BR$135))</f>
        <v>0</v>
      </c>
      <c r="Q83" s="119" cm="1">
        <f t="array" ref="Q83">_xlfn.XLOOKUP(Q$1,'PY1 Data(H)'!$A$1:$BR$1,_xlfn.XLOOKUP($A83,'PY1 Data(H)'!$A$1:$A$135,'PY1 Data(H)'!$A$1:$BR$135))</f>
        <v>0</v>
      </c>
      <c r="R83" s="119" cm="1">
        <f t="array" ref="R83">_xlfn.XLOOKUP(R$1,'PY1 Data(H)'!$A$1:$BR$1,_xlfn.XLOOKUP($A83,'PY1 Data(H)'!$A$1:$A$135,'PY1 Data(H)'!$A$1:$BR$135))</f>
        <v>0</v>
      </c>
      <c r="S83" s="119" cm="1">
        <f t="array" ref="S83">_xlfn.XLOOKUP(S$1,'PY1 Data(H)'!$A$1:$BR$1,_xlfn.XLOOKUP($A83,'PY1 Data(H)'!$A$1:$A$135,'PY1 Data(H)'!$A$1:$BR$135))</f>
        <v>0</v>
      </c>
    </row>
  </sheetData>
  <sheetProtection algorithmName="SHA-512" hashValue="dFUmtGGE7Wz1z/9OKbQ7/sv5oWE79qPJjvHLcHsYqjsQcoYMLJI7NHDAvPcxcuQUsFf06tQiNqYPZtPwyBeheA==" saltValue="3Yqpuh6ceY5KYSaW2hG2B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70"/>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E92" sqref="E92"/>
    </sheetView>
  </sheetViews>
  <sheetFormatPr defaultColWidth="9.109375" defaultRowHeight="14.4" x14ac:dyDescent="0.3"/>
  <cols>
    <col min="1" max="1" width="8.88671875" style="2" customWidth="1"/>
    <col min="2" max="2" width="17.5546875" style="30" bestFit="1" customWidth="1"/>
    <col min="3" max="3" width="38.33203125" style="240" customWidth="1"/>
    <col min="4" max="4" width="20.88671875" style="2" bestFit="1" customWidth="1"/>
    <col min="5" max="5" width="17.5546875" style="2" customWidth="1"/>
    <col min="6" max="6" width="22.6640625" style="2" customWidth="1"/>
    <col min="7" max="7" width="17.44140625" style="178" customWidth="1"/>
    <col min="8" max="8" width="9.6640625" style="2" customWidth="1"/>
    <col min="9" max="9" width="1" style="206" customWidth="1"/>
    <col min="10" max="10" width="18.109375" style="4" customWidth="1"/>
    <col min="11" max="11" width="36.88671875" style="7" customWidth="1"/>
    <col min="12" max="12" width="23.44140625" style="247" customWidth="1"/>
    <col min="13" max="13" width="8.44140625" customWidth="1"/>
    <col min="14" max="14" width="18.109375" style="2" customWidth="1"/>
    <col min="15" max="15" width="17.88671875" style="2" customWidth="1"/>
    <col min="16" max="16" width="9.109375" style="127" customWidth="1"/>
    <col min="17" max="17" width="10.33203125" style="180"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style="2" customWidth="1"/>
    <col min="25" max="25" width="9.88671875" style="2" customWidth="1"/>
    <col min="26" max="26" width="9.109375" style="2" customWidth="1"/>
    <col min="27" max="16384" width="9.109375" style="2"/>
  </cols>
  <sheetData>
    <row r="1" spans="1:28" ht="36" x14ac:dyDescent="0.3">
      <c r="C1" s="27" t="s">
        <v>270</v>
      </c>
      <c r="D1" s="11">
        <f>L50-(L39+L40-L43-L44-L77)-L47</f>
        <v>0</v>
      </c>
      <c r="I1" s="179"/>
      <c r="J1" s="26"/>
      <c r="K1" s="12" t="s">
        <v>15</v>
      </c>
      <c r="L1" s="36"/>
      <c r="S1" s="2">
        <v>100</v>
      </c>
      <c r="T1" s="2">
        <v>1</v>
      </c>
    </row>
    <row r="2" spans="1:28" ht="44.4" x14ac:dyDescent="0.4">
      <c r="C2" s="44" t="str">
        <f>'Unit Data from Audit Worksheet'!D2</f>
        <v>Select Unit Name from Drop Down List</v>
      </c>
      <c r="D2" s="87">
        <v>2023</v>
      </c>
      <c r="E2" s="10">
        <v>2023</v>
      </c>
      <c r="F2" s="10"/>
      <c r="G2" s="40"/>
      <c r="H2" s="10"/>
      <c r="I2" s="179"/>
      <c r="J2" s="23" t="s">
        <v>11</v>
      </c>
      <c r="K2" s="6" t="s">
        <v>10</v>
      </c>
      <c r="L2" s="39" t="s">
        <v>6</v>
      </c>
      <c r="S2" s="2">
        <v>200</v>
      </c>
      <c r="T2" s="2">
        <v>2</v>
      </c>
      <c r="X2" s="207" t="s">
        <v>413</v>
      </c>
      <c r="Y2" s="207" t="s">
        <v>412</v>
      </c>
    </row>
    <row r="3" spans="1:28" ht="31.2" x14ac:dyDescent="0.3">
      <c r="A3" s="181" t="s">
        <v>11</v>
      </c>
      <c r="B3" s="182"/>
      <c r="C3" s="25" t="s">
        <v>1</v>
      </c>
      <c r="D3" s="13" t="s">
        <v>12</v>
      </c>
      <c r="E3" s="13" t="s">
        <v>13</v>
      </c>
      <c r="F3" s="14" t="s">
        <v>16</v>
      </c>
      <c r="G3" s="45" t="s">
        <v>204</v>
      </c>
      <c r="H3" s="14" t="s">
        <v>231</v>
      </c>
      <c r="I3" s="179"/>
      <c r="J3" s="183"/>
      <c r="K3" s="88"/>
      <c r="L3" s="184"/>
      <c r="O3" s="2" t="s">
        <v>184</v>
      </c>
      <c r="Q3" s="54" t="s">
        <v>205</v>
      </c>
      <c r="S3" s="2">
        <v>300</v>
      </c>
      <c r="T3" s="2">
        <v>3</v>
      </c>
      <c r="Y3" s="2" t="s">
        <v>340</v>
      </c>
    </row>
    <row r="4" spans="1:28" ht="18" x14ac:dyDescent="0.35">
      <c r="A4" s="185"/>
      <c r="B4" s="186"/>
      <c r="C4" s="28"/>
      <c r="D4" s="5"/>
      <c r="E4" s="5"/>
      <c r="F4" s="5"/>
      <c r="G4" s="41"/>
      <c r="H4" s="5"/>
      <c r="I4" s="179"/>
      <c r="J4" s="24">
        <v>999</v>
      </c>
      <c r="K4" s="9" t="s">
        <v>181</v>
      </c>
      <c r="L4" s="559" t="e">
        <f>'Unit Data from Audit Worksheet'!D3</f>
        <v>#N/A</v>
      </c>
      <c r="S4" s="2">
        <v>400</v>
      </c>
      <c r="T4" s="2">
        <v>4</v>
      </c>
      <c r="X4" s="187"/>
      <c r="Y4" s="187"/>
    </row>
    <row r="5" spans="1:28" ht="57" customHeight="1" x14ac:dyDescent="0.3">
      <c r="A5" s="539">
        <f>'Unit Data from Audit Worksheet'!A7</f>
        <v>333</v>
      </c>
      <c r="B5" s="32" t="str">
        <f>'Unit Data from Audit Worksheet'!C7</f>
        <v>Net Position-Governmental Activities</v>
      </c>
      <c r="C5" s="188" t="str">
        <f>'Unit Data from Audit Worksheet'!D7</f>
        <v xml:space="preserve"> All unrestricted Cash and investments.  
Exclude: restricted cash 
                   cash held by a third party. </v>
      </c>
      <c r="D5" s="86"/>
      <c r="E5" s="91">
        <f>'Unit Data from Audit Worksheet'!F7</f>
        <v>0</v>
      </c>
      <c r="F5" s="155">
        <f>IF(L5&lt;0,"Error: Number is normally positive.",)</f>
        <v>0</v>
      </c>
      <c r="G5" s="42"/>
      <c r="H5" s="154">
        <f>'Unit Data from Audit Worksheet'!I7</f>
        <v>0</v>
      </c>
      <c r="I5" s="20"/>
      <c r="J5" s="22">
        <v>333</v>
      </c>
      <c r="K5" s="29" t="s">
        <v>84</v>
      </c>
      <c r="L5" s="189">
        <f>IF(D5="",E5,D5)</f>
        <v>0</v>
      </c>
      <c r="P5" s="133"/>
      <c r="X5" s="369">
        <v>333</v>
      </c>
      <c r="Y5" s="187">
        <v>333</v>
      </c>
      <c r="AA5" s="2">
        <f>A5-J5</f>
        <v>0</v>
      </c>
      <c r="AB5" s="187">
        <f>E5-L5</f>
        <v>0</v>
      </c>
    </row>
    <row r="6" spans="1:28" ht="39.75" customHeight="1" x14ac:dyDescent="0.3">
      <c r="A6" s="146">
        <f>'Unit Data from Audit Worksheet'!A8</f>
        <v>500</v>
      </c>
      <c r="B6" s="156" t="str">
        <f>'Unit Data from Audit Worksheet'!C8</f>
        <v>Net Position-Governmental Activities</v>
      </c>
      <c r="C6" s="143" t="str">
        <f>'Unit Data from Audit Worksheet'!D8</f>
        <v xml:space="preserve"> All restricted Cash and investments</v>
      </c>
      <c r="D6" s="86"/>
      <c r="E6" s="161">
        <f>'Unit Data from Audit Worksheet'!F8</f>
        <v>0</v>
      </c>
      <c r="F6" s="155">
        <f>IF(L6&lt;0,"Error: Number is normally positive.",)</f>
        <v>0</v>
      </c>
      <c r="G6" s="157"/>
      <c r="H6" s="154">
        <f>'Unit Data from Audit Worksheet'!I8</f>
        <v>0</v>
      </c>
      <c r="I6" s="20"/>
      <c r="J6" s="153">
        <v>500</v>
      </c>
      <c r="K6" s="152" t="s">
        <v>83</v>
      </c>
      <c r="L6" s="189">
        <f>IF(D6="",E6,D6)</f>
        <v>0</v>
      </c>
      <c r="P6" s="134"/>
      <c r="X6" s="369">
        <v>500</v>
      </c>
      <c r="Y6" s="187">
        <v>500</v>
      </c>
      <c r="AA6" s="258">
        <f t="shared" ref="AA6:AA51" si="0">A6-J6</f>
        <v>0</v>
      </c>
      <c r="AB6" s="187">
        <f t="shared" ref="AB6:AB50" si="1">E6-L6</f>
        <v>0</v>
      </c>
    </row>
    <row r="7" spans="1:28" ht="43.5" customHeight="1" x14ac:dyDescent="0.3">
      <c r="A7" s="146">
        <f>'Unit Data from Audit Worksheet'!A9</f>
        <v>385</v>
      </c>
      <c r="B7" s="156" t="str">
        <f>'Unit Data from Audit Worksheet'!C9</f>
        <v>Net Position-Governmental Activities</v>
      </c>
      <c r="C7" s="143" t="str">
        <f>'Unit Data from Audit Worksheet'!D9</f>
        <v>Total Assets and deferred outflows</v>
      </c>
      <c r="D7" s="86"/>
      <c r="E7" s="161">
        <f>'Unit Data from Audit Worksheet'!F9</f>
        <v>0</v>
      </c>
      <c r="F7" s="81">
        <f>IF((L5+L6)&gt;L7,"Error: Please review accts (333 + 500) &gt; 385",)</f>
        <v>0</v>
      </c>
      <c r="G7" s="157" t="str">
        <f>IF(Q7=1," Included in error count"," ")</f>
        <v xml:space="preserve"> </v>
      </c>
      <c r="H7" s="154">
        <f>'Unit Data from Audit Worksheet'!I9</f>
        <v>0</v>
      </c>
      <c r="I7" s="20"/>
      <c r="J7" s="46">
        <v>385</v>
      </c>
      <c r="K7" s="47" t="s">
        <v>44</v>
      </c>
      <c r="L7" s="190">
        <f>IF(D7="",E7,D7)+IF(D9="",E9,D9)</f>
        <v>0</v>
      </c>
      <c r="N7" s="48" t="s">
        <v>194</v>
      </c>
      <c r="P7" s="134"/>
      <c r="X7" s="369">
        <v>385</v>
      </c>
      <c r="Y7" s="187">
        <v>385</v>
      </c>
      <c r="AA7" s="258">
        <f t="shared" si="0"/>
        <v>0</v>
      </c>
      <c r="AB7" s="187">
        <f t="shared" si="1"/>
        <v>0</v>
      </c>
    </row>
    <row r="8" spans="1:28" ht="90.75" customHeight="1" x14ac:dyDescent="0.3">
      <c r="A8" s="146">
        <f>'Unit Data from Audit Worksheet'!A10</f>
        <v>575</v>
      </c>
      <c r="B8" s="156" t="str">
        <f>'Unit Data from Audit Worksheet'!C10</f>
        <v>Net Position-Governmental Activities</v>
      </c>
      <c r="C8" s="143" t="str">
        <f>'Unit Data from Audit Worksheet'!D10</f>
        <v>Record any positive Internal balances on the net position statements that appear in the Asset Section of the Net Position Statement</v>
      </c>
      <c r="D8" s="86"/>
      <c r="E8" s="161">
        <f>'Unit Data from Audit Worksheet'!F10</f>
        <v>0</v>
      </c>
      <c r="F8" s="155">
        <f>IF(L8&lt;0,"Error: Number is normally positive.",)</f>
        <v>0</v>
      </c>
      <c r="G8" s="157"/>
      <c r="H8" s="154">
        <f>'Unit Data from Audit Worksheet'!I10</f>
        <v>0</v>
      </c>
      <c r="I8" s="20"/>
      <c r="J8" s="153">
        <v>575</v>
      </c>
      <c r="K8" s="158" t="s">
        <v>196</v>
      </c>
      <c r="L8" s="189">
        <f>IF(D8="",E8,D8)</f>
        <v>0</v>
      </c>
      <c r="N8" s="37"/>
      <c r="P8" s="134"/>
      <c r="X8" s="369">
        <v>575</v>
      </c>
      <c r="Y8" s="187">
        <v>575</v>
      </c>
      <c r="AA8" s="258">
        <f t="shared" si="0"/>
        <v>0</v>
      </c>
      <c r="AB8" s="187">
        <f t="shared" si="1"/>
        <v>0</v>
      </c>
    </row>
    <row r="9" spans="1:28" ht="103.5" customHeight="1" x14ac:dyDescent="0.3">
      <c r="A9" s="146">
        <f>'Unit Data from Audit Worksheet'!A11</f>
        <v>576</v>
      </c>
      <c r="B9" s="156" t="str">
        <f>'Unit Data from Audit Worksheet'!C11</f>
        <v>Net Position-Governmental Activities</v>
      </c>
      <c r="C9" s="191" t="str">
        <f>'Unit Data from Audit Worksheet'!D11</f>
        <v>Record any negative Internal balances on the net position statements that appear in the Asset Section of the Net Position Statement.
Enter as a positive</v>
      </c>
      <c r="D9" s="65"/>
      <c r="E9" s="94">
        <f>'Unit Data from Audit Worksheet'!F11</f>
        <v>0</v>
      </c>
      <c r="F9" s="151">
        <f>IF(E9&lt;0,"Error: Enter as positive.",)</f>
        <v>0</v>
      </c>
      <c r="G9" s="66"/>
      <c r="H9" s="67">
        <f>'Unit Data from Audit Worksheet'!I11</f>
        <v>0</v>
      </c>
      <c r="I9" s="20"/>
      <c r="J9" s="62">
        <v>576</v>
      </c>
      <c r="K9" s="158" t="s">
        <v>197</v>
      </c>
      <c r="L9" s="189">
        <f>IF(D9="",E9,D9)</f>
        <v>0</v>
      </c>
      <c r="N9" s="37"/>
      <c r="P9" s="135"/>
      <c r="X9" s="369">
        <v>576</v>
      </c>
      <c r="Y9" s="187">
        <v>576</v>
      </c>
      <c r="AA9" s="258">
        <f t="shared" si="0"/>
        <v>0</v>
      </c>
      <c r="AB9" s="187">
        <f t="shared" si="1"/>
        <v>0</v>
      </c>
    </row>
    <row r="10" spans="1:28" s="16" customFormat="1" ht="111.6" customHeight="1" x14ac:dyDescent="0.3">
      <c r="A10" s="146">
        <f>'Unit Data from Audit Worksheet'!A12</f>
        <v>626</v>
      </c>
      <c r="B10" s="148" t="str">
        <f>'Unit Data from Audit Worksheet'!C12</f>
        <v>Net Position-Governmental Activities</v>
      </c>
      <c r="C10" s="147" t="str">
        <f>'Unit Data from Audit Worksheet'!D12</f>
        <v xml:space="preserve">Total Current liabilities (as reported on Statement of Net Position)
Include:   Current liabilities including current portion of long-term debt.  Deferred inflows should not be included in Current Liabilities  </v>
      </c>
      <c r="D10" s="65"/>
      <c r="E10" s="164">
        <f>'Unit Data from Audit Worksheet'!F12</f>
        <v>0</v>
      </c>
      <c r="F10" s="150">
        <f>IF(L10&lt;0,"Error: Enter as a positive.",)</f>
        <v>0</v>
      </c>
      <c r="G10" s="140"/>
      <c r="H10" s="150">
        <f>'Unit Data from Audit Worksheet'!I12</f>
        <v>0</v>
      </c>
      <c r="I10" s="20"/>
      <c r="J10" s="441">
        <v>626</v>
      </c>
      <c r="K10" s="442" t="s">
        <v>247</v>
      </c>
      <c r="L10" s="443">
        <f>IF(D10="",E10,D10)+IF(D9="",E9,D9)</f>
        <v>0</v>
      </c>
      <c r="M10"/>
      <c r="N10" s="107" t="s">
        <v>194</v>
      </c>
      <c r="O10" s="192"/>
      <c r="P10" s="136"/>
      <c r="Q10" s="193"/>
      <c r="R10" s="2"/>
      <c r="X10" s="369">
        <v>626</v>
      </c>
      <c r="Y10" s="194">
        <v>626</v>
      </c>
      <c r="AA10" s="258">
        <f t="shared" si="0"/>
        <v>0</v>
      </c>
      <c r="AB10" s="187">
        <f t="shared" si="1"/>
        <v>0</v>
      </c>
    </row>
    <row r="11" spans="1:28" s="16" customFormat="1" ht="107.4" customHeight="1" x14ac:dyDescent="0.3">
      <c r="A11" s="146">
        <f>'Unit Data from Audit Worksheet'!A13</f>
        <v>627</v>
      </c>
      <c r="B11" s="148" t="str">
        <f>'Unit Data from Audit Worksheet'!C13</f>
        <v>Net Position-Governmental Activities</v>
      </c>
      <c r="C11" s="147" t="str">
        <f>'Unit Data from Audit Worksheet'!D13</f>
        <v>Please enter any bond anticipation notes that are classified as current liabilities and included in account 626 above (amounts entered should agree to the current amount included in the changes to long-term debt note)</v>
      </c>
      <c r="D11" s="65"/>
      <c r="E11" s="164">
        <f>'Unit Data from Audit Worksheet'!F13</f>
        <v>0</v>
      </c>
      <c r="F11" s="150"/>
      <c r="G11" s="140"/>
      <c r="H11" s="150"/>
      <c r="I11" s="20"/>
      <c r="J11" s="149">
        <v>627</v>
      </c>
      <c r="K11" s="130" t="s">
        <v>242</v>
      </c>
      <c r="L11" s="195">
        <f t="shared" ref="L11:L16" si="2">IF(D11="",E11,D11)</f>
        <v>0</v>
      </c>
      <c r="M11"/>
      <c r="N11" s="106"/>
      <c r="O11" s="192"/>
      <c r="P11" s="136"/>
      <c r="Q11" s="193"/>
      <c r="R11" s="2"/>
      <c r="X11" s="369">
        <v>627</v>
      </c>
      <c r="Y11" s="194">
        <v>627</v>
      </c>
      <c r="AA11" s="258">
        <f t="shared" si="0"/>
        <v>0</v>
      </c>
      <c r="AB11" s="187">
        <f t="shared" si="1"/>
        <v>0</v>
      </c>
    </row>
    <row r="12" spans="1:28" s="16" customFormat="1" ht="112.2" customHeight="1" x14ac:dyDescent="0.3">
      <c r="A12" s="146">
        <f>'Unit Data from Audit Worksheet'!A14</f>
        <v>628</v>
      </c>
      <c r="B12" s="148" t="str">
        <f>'Unit Data from Audit Worksheet'!C14</f>
        <v>Net Position-Governmental Activities</v>
      </c>
      <c r="C12" s="147" t="str">
        <f>'Unit Data from Audit Worksheet'!D14</f>
        <v>Please enter any compensated absences that are classified as current liabilities and included in account 626 above (amounts entered should agree to the current amount included in the changes to long-term debt note)</v>
      </c>
      <c r="D12" s="65"/>
      <c r="E12" s="164">
        <f>'Unit Data from Audit Worksheet'!F14</f>
        <v>0</v>
      </c>
      <c r="F12" s="150"/>
      <c r="G12" s="140"/>
      <c r="H12" s="150"/>
      <c r="I12" s="20"/>
      <c r="J12" s="149">
        <v>628</v>
      </c>
      <c r="K12" s="130" t="s">
        <v>246</v>
      </c>
      <c r="L12" s="195">
        <f t="shared" si="2"/>
        <v>0</v>
      </c>
      <c r="M12"/>
      <c r="N12" s="106"/>
      <c r="O12" s="192"/>
      <c r="P12" s="136"/>
      <c r="Q12" s="193"/>
      <c r="R12" s="2"/>
      <c r="X12" s="369">
        <v>628</v>
      </c>
      <c r="Y12" s="194">
        <v>628</v>
      </c>
      <c r="AA12" s="258">
        <f t="shared" si="0"/>
        <v>0</v>
      </c>
      <c r="AB12" s="187">
        <f t="shared" si="1"/>
        <v>0</v>
      </c>
    </row>
    <row r="13" spans="1:28" s="16" customFormat="1" ht="115.8" customHeight="1" x14ac:dyDescent="0.3">
      <c r="A13" s="146">
        <f>'Unit Data from Audit Worksheet'!A15</f>
        <v>629</v>
      </c>
      <c r="B13" s="148" t="str">
        <f>'Unit Data from Audit Worksheet'!C15</f>
        <v>Net Position-Governmental Activities</v>
      </c>
      <c r="C13" s="147" t="str">
        <f>'Unit Data from Audit Worksheet'!D15</f>
        <v>Please enter any pension liabilities that are classified as current liabilities and included in account 626 above (amounts entered should agree to the current amount included in the changes to long-term debt note)</v>
      </c>
      <c r="D13" s="65"/>
      <c r="E13" s="164">
        <f>'Unit Data from Audit Worksheet'!F15</f>
        <v>0</v>
      </c>
      <c r="F13" s="150"/>
      <c r="G13" s="140"/>
      <c r="H13" s="150"/>
      <c r="I13" s="20"/>
      <c r="J13" s="149">
        <v>629</v>
      </c>
      <c r="K13" s="130" t="s">
        <v>245</v>
      </c>
      <c r="L13" s="195">
        <f t="shared" si="2"/>
        <v>0</v>
      </c>
      <c r="M13"/>
      <c r="N13" s="106"/>
      <c r="O13" s="192"/>
      <c r="P13" s="136"/>
      <c r="Q13" s="193"/>
      <c r="R13" s="2"/>
      <c r="X13" s="369">
        <v>629</v>
      </c>
      <c r="Y13" s="194">
        <v>629</v>
      </c>
      <c r="AA13" s="258">
        <f t="shared" si="0"/>
        <v>0</v>
      </c>
      <c r="AB13" s="187">
        <f t="shared" si="1"/>
        <v>0</v>
      </c>
    </row>
    <row r="14" spans="1:28" s="16" customFormat="1" ht="67.5" customHeight="1" x14ac:dyDescent="0.3">
      <c r="A14" s="146">
        <f>'Unit Data from Audit Worksheet'!A16</f>
        <v>630</v>
      </c>
      <c r="B14" s="148" t="str">
        <f>'Unit Data from Audit Worksheet'!C16</f>
        <v>Net Position-Governmental Activities</v>
      </c>
      <c r="C14" s="147" t="str">
        <f>'Unit Data from Audit Worksheet'!D16</f>
        <v>Please enter any current liabilities that are payable from restricted assets and included in account 626 above</v>
      </c>
      <c r="D14" s="65"/>
      <c r="E14" s="164">
        <f>'Unit Data from Audit Worksheet'!F16</f>
        <v>0</v>
      </c>
      <c r="F14" s="150"/>
      <c r="G14" s="140"/>
      <c r="H14" s="150"/>
      <c r="I14" s="20"/>
      <c r="J14" s="149">
        <v>630</v>
      </c>
      <c r="K14" s="130" t="s">
        <v>244</v>
      </c>
      <c r="L14" s="195">
        <f t="shared" si="2"/>
        <v>0</v>
      </c>
      <c r="M14"/>
      <c r="N14" s="106"/>
      <c r="O14" s="192"/>
      <c r="P14" s="136"/>
      <c r="Q14" s="193"/>
      <c r="R14" s="2"/>
      <c r="X14" s="369">
        <v>630</v>
      </c>
      <c r="Y14" s="194">
        <v>630</v>
      </c>
      <c r="AA14" s="258">
        <f t="shared" si="0"/>
        <v>0</v>
      </c>
      <c r="AB14" s="187">
        <f t="shared" si="1"/>
        <v>0</v>
      </c>
    </row>
    <row r="15" spans="1:28" s="16" customFormat="1" ht="114" customHeight="1" x14ac:dyDescent="0.3">
      <c r="A15" s="146">
        <f>'Unit Data from Audit Worksheet'!A17</f>
        <v>631</v>
      </c>
      <c r="B15" s="156" t="str">
        <f>'Unit Data from Audit Worksheet'!C17</f>
        <v>Net Position-Governmental Activities</v>
      </c>
      <c r="C15" s="141" t="str">
        <f>'Unit Data from Audit Worksheet'!D17</f>
        <v>Please enter any OPEB liabilities that are classified as current liabilities and included in account 626 above (amounts entered should agree to the current amount included in the changes to long-term debt note)</v>
      </c>
      <c r="D15" s="65"/>
      <c r="E15" s="164">
        <f>'Unit Data from Audit Worksheet'!F17</f>
        <v>0</v>
      </c>
      <c r="F15" s="150"/>
      <c r="G15" s="140"/>
      <c r="H15" s="150"/>
      <c r="I15" s="20"/>
      <c r="J15" s="149">
        <v>631</v>
      </c>
      <c r="K15" s="130" t="s">
        <v>243</v>
      </c>
      <c r="L15" s="195">
        <f t="shared" si="2"/>
        <v>0</v>
      </c>
      <c r="M15"/>
      <c r="N15" s="106"/>
      <c r="O15" s="192"/>
      <c r="P15" s="136"/>
      <c r="Q15" s="193"/>
      <c r="R15" s="2"/>
      <c r="X15" s="369">
        <v>631</v>
      </c>
      <c r="Y15" s="194">
        <v>631</v>
      </c>
      <c r="AA15" s="258">
        <f t="shared" si="0"/>
        <v>0</v>
      </c>
      <c r="AB15" s="187">
        <f t="shared" si="1"/>
        <v>0</v>
      </c>
    </row>
    <row r="16" spans="1:28" s="16" customFormat="1" ht="102.75" customHeight="1" x14ac:dyDescent="0.3">
      <c r="A16" s="146">
        <f>'Unit Data from Audit Worksheet'!A18</f>
        <v>632</v>
      </c>
      <c r="B16" s="156" t="str">
        <f>'Unit Data from Audit Worksheet'!C18</f>
        <v>Net Position-Governmental Activities</v>
      </c>
      <c r="C16" s="141"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65"/>
      <c r="E16" s="164">
        <f>'Unit Data from Audit Worksheet'!F18</f>
        <v>0</v>
      </c>
      <c r="F16" s="475"/>
      <c r="G16" s="476"/>
      <c r="H16" s="475"/>
      <c r="I16" s="20"/>
      <c r="J16" s="477">
        <v>632</v>
      </c>
      <c r="K16" s="481" t="s">
        <v>720</v>
      </c>
      <c r="L16" s="195">
        <f t="shared" si="2"/>
        <v>0</v>
      </c>
      <c r="M16"/>
      <c r="N16" s="478"/>
      <c r="O16" s="206"/>
      <c r="P16" s="479"/>
      <c r="Q16" s="480"/>
      <c r="R16" s="258"/>
      <c r="X16" s="369"/>
      <c r="Y16" s="194"/>
      <c r="AA16" s="258">
        <f t="shared" si="0"/>
        <v>0</v>
      </c>
      <c r="AB16" s="187"/>
    </row>
    <row r="17" spans="1:28" ht="55.2" customHeight="1" x14ac:dyDescent="0.3">
      <c r="A17" s="540">
        <f>'Unit Data from Audit Worksheet'!A19</f>
        <v>338</v>
      </c>
      <c r="B17" s="156" t="str">
        <f>'Unit Data from Audit Worksheet'!C19</f>
        <v>Net Position-Governmental Activities</v>
      </c>
      <c r="C17" s="143" t="str">
        <f>'Unit Data from Audit Worksheet'!D19</f>
        <v>Total Liabilities and total deferred inflows</v>
      </c>
      <c r="D17" s="65"/>
      <c r="E17" s="91">
        <f>'Unit Data from Audit Worksheet'!F19</f>
        <v>0</v>
      </c>
      <c r="F17" s="81" t="str">
        <f>IF(L10&gt;L17,"Please review accounts 626 greater than 338","")</f>
        <v/>
      </c>
      <c r="G17" s="42"/>
      <c r="H17" s="154">
        <f>'Unit Data from Audit Worksheet'!I19</f>
        <v>0</v>
      </c>
      <c r="I17" s="20"/>
      <c r="J17" s="68">
        <v>338</v>
      </c>
      <c r="K17" s="69" t="s">
        <v>45</v>
      </c>
      <c r="L17" s="195">
        <f>IF(D17="",E17,D17)+IF(D9="",E9,D9)</f>
        <v>0</v>
      </c>
      <c r="N17" s="48" t="s">
        <v>194</v>
      </c>
      <c r="P17" s="133"/>
      <c r="X17" s="369">
        <v>338</v>
      </c>
      <c r="Y17" s="187">
        <v>338</v>
      </c>
      <c r="AA17" s="258">
        <f t="shared" si="0"/>
        <v>0</v>
      </c>
      <c r="AB17" s="187">
        <f t="shared" si="1"/>
        <v>0</v>
      </c>
    </row>
    <row r="18" spans="1:28" ht="100.5" customHeight="1" x14ac:dyDescent="0.3">
      <c r="A18" s="146">
        <f>'Unit Data from Audit Worksheet'!A20</f>
        <v>335</v>
      </c>
      <c r="B18" s="156" t="str">
        <f>'Unit Data from Audit Worksheet'!C20</f>
        <v>Net Position-Governmental Activities</v>
      </c>
      <c r="C18" s="143" t="str">
        <f>'Unit Data from Audit Worksheet'!D20</f>
        <v>Unearned revenues that were included in current liabilities in your audit report or entered in acct # 626 above. 
Exclude - unearned revenues that are listed in deferred inflows.</v>
      </c>
      <c r="D18" s="65"/>
      <c r="E18" s="161">
        <f>'Unit Data from Audit Worksheet'!F20</f>
        <v>0</v>
      </c>
      <c r="F18" s="155">
        <f>IF(L18&lt;0,"Error: Enter as a positive.",)</f>
        <v>0</v>
      </c>
      <c r="G18" s="157"/>
      <c r="H18" s="154">
        <f>'Unit Data from Audit Worksheet'!I20</f>
        <v>0</v>
      </c>
      <c r="I18" s="20"/>
      <c r="J18" s="153">
        <v>335</v>
      </c>
      <c r="K18" s="152" t="s">
        <v>46</v>
      </c>
      <c r="L18" s="189">
        <f>IF(D18="",E18,D18)</f>
        <v>0</v>
      </c>
      <c r="P18" s="134"/>
      <c r="X18" s="369">
        <v>335</v>
      </c>
      <c r="Y18" s="187">
        <v>335</v>
      </c>
      <c r="AA18" s="258">
        <f t="shared" si="0"/>
        <v>0</v>
      </c>
      <c r="AB18" s="187">
        <f t="shared" si="1"/>
        <v>0</v>
      </c>
    </row>
    <row r="19" spans="1:28" ht="32.4" customHeight="1" x14ac:dyDescent="0.3">
      <c r="A19" s="146">
        <f>'Unit Data from Audit Worksheet'!A21</f>
        <v>252</v>
      </c>
      <c r="B19" s="156" t="str">
        <f>'Unit Data from Audit Worksheet'!C21</f>
        <v>Net Position-Governmental Activities</v>
      </c>
      <c r="C19" s="143" t="str">
        <f>'Unit Data from Audit Worksheet'!D21</f>
        <v xml:space="preserve"> Total Net investment in capital assets</v>
      </c>
      <c r="D19" s="65"/>
      <c r="E19" s="161">
        <f>'Unit Data from Audit Worksheet'!F21</f>
        <v>0</v>
      </c>
      <c r="F19" s="155"/>
      <c r="G19" s="157"/>
      <c r="H19" s="154">
        <f>'Unit Data from Audit Worksheet'!I21</f>
        <v>0</v>
      </c>
      <c r="I19" s="20"/>
      <c r="J19" s="153">
        <v>252</v>
      </c>
      <c r="K19" s="152" t="s">
        <v>33</v>
      </c>
      <c r="L19" s="189">
        <f t="shared" ref="L19:L38" si="3">IF(D19="",E19,D19)</f>
        <v>0</v>
      </c>
      <c r="O19" s="196" t="e">
        <f>'Unit Data from Audit Worksheet'!E21</f>
        <v>#N/A</v>
      </c>
      <c r="P19" s="134"/>
      <c r="X19" s="369">
        <v>252</v>
      </c>
      <c r="Y19" s="187">
        <v>252</v>
      </c>
      <c r="AA19" s="258">
        <f t="shared" si="0"/>
        <v>0</v>
      </c>
      <c r="AB19" s="187">
        <f t="shared" si="1"/>
        <v>0</v>
      </c>
    </row>
    <row r="20" spans="1:28" ht="40.200000000000003" customHeight="1" x14ac:dyDescent="0.3">
      <c r="A20" s="146">
        <f>'Unit Data from Audit Worksheet'!A22</f>
        <v>253</v>
      </c>
      <c r="B20" s="156" t="str">
        <f>'Unit Data from Audit Worksheet'!C22</f>
        <v>Net Position-Governmental Activities</v>
      </c>
      <c r="C20" s="143" t="str">
        <f>'Unit Data from Audit Worksheet'!D22</f>
        <v xml:space="preserve"> Total Net Position, Restricted</v>
      </c>
      <c r="D20" s="65"/>
      <c r="E20" s="161">
        <f>'Unit Data from Audit Worksheet'!F22</f>
        <v>0</v>
      </c>
      <c r="F20" s="155"/>
      <c r="G20" s="157"/>
      <c r="H20" s="154">
        <f>'Unit Data from Audit Worksheet'!I22</f>
        <v>0</v>
      </c>
      <c r="I20" s="20"/>
      <c r="J20" s="153">
        <v>253</v>
      </c>
      <c r="K20" s="152" t="s">
        <v>34</v>
      </c>
      <c r="L20" s="189">
        <f t="shared" si="3"/>
        <v>0</v>
      </c>
      <c r="O20" s="196" t="e">
        <f>'Unit Data from Audit Worksheet'!E22</f>
        <v>#N/A</v>
      </c>
      <c r="P20" s="134"/>
      <c r="X20" s="369">
        <v>253</v>
      </c>
      <c r="Y20" s="187">
        <v>253</v>
      </c>
      <c r="AA20" s="258">
        <f t="shared" si="0"/>
        <v>0</v>
      </c>
      <c r="AB20" s="187">
        <f t="shared" si="1"/>
        <v>0</v>
      </c>
    </row>
    <row r="21" spans="1:28" ht="73.5" customHeight="1" x14ac:dyDescent="0.3">
      <c r="A21" s="146">
        <f>'Unit Data from Audit Worksheet'!A23</f>
        <v>254</v>
      </c>
      <c r="B21" s="156" t="str">
        <f>'Unit Data from Audit Worksheet'!C23</f>
        <v>Net Position-Governmental Activities</v>
      </c>
      <c r="C21" s="143" t="str">
        <f>'Unit Data from Audit Worksheet'!D23</f>
        <v>Total Net Position, Unrestricted - enter negative unrestricted net position as a negative)</v>
      </c>
      <c r="D21" s="65"/>
      <c r="E21" s="161">
        <f>'Unit Data from Audit Worksheet'!F23</f>
        <v>0</v>
      </c>
      <c r="F21" s="155">
        <f>IF((L7-L17-L19-L20-L21)=0,,"Error: Total assets and deferred outflows less total liabilities and deferred inflows do not equal total net position accts 385-338-252-253-254")</f>
        <v>0</v>
      </c>
      <c r="G21" s="57">
        <f>+L7-L17-L19-L20-L21</f>
        <v>0</v>
      </c>
      <c r="H21" s="154">
        <f>'Unit Data from Audit Worksheet'!I23</f>
        <v>0</v>
      </c>
      <c r="I21" s="20"/>
      <c r="J21" s="153">
        <v>254</v>
      </c>
      <c r="K21" s="152" t="s">
        <v>35</v>
      </c>
      <c r="L21" s="189">
        <f t="shared" si="3"/>
        <v>0</v>
      </c>
      <c r="O21" s="196" t="e">
        <f>'Unit Data from Audit Worksheet'!E23</f>
        <v>#N/A</v>
      </c>
      <c r="P21" s="134"/>
      <c r="X21" s="369">
        <v>254</v>
      </c>
      <c r="Y21" s="187">
        <v>254</v>
      </c>
      <c r="AA21" s="258">
        <f t="shared" si="0"/>
        <v>0</v>
      </c>
      <c r="AB21" s="187">
        <f t="shared" si="1"/>
        <v>0</v>
      </c>
    </row>
    <row r="22" spans="1:28" ht="51.75" customHeight="1" x14ac:dyDescent="0.3">
      <c r="A22" s="146">
        <f>'Unit Data from Audit Worksheet'!A25</f>
        <v>502</v>
      </c>
      <c r="B22" s="156" t="str">
        <f>'Unit Data from Audit Worksheet'!C25</f>
        <v>Net Position-Business Activities</v>
      </c>
      <c r="C22" s="143" t="str">
        <f>'Unit Data from Audit Worksheet'!D25</f>
        <v xml:space="preserve">All unrestricted Cash and investments. 
Exclude restricted cash and cash held by a third party. </v>
      </c>
      <c r="D22" s="65"/>
      <c r="E22" s="161">
        <f>'Unit Data from Audit Worksheet'!F25</f>
        <v>0</v>
      </c>
      <c r="F22" s="155">
        <f>IF(L22&lt;0,"Error: Number is normally positive.",)</f>
        <v>0</v>
      </c>
      <c r="G22" s="157"/>
      <c r="H22" s="154">
        <f>'Unit Data from Audit Worksheet'!I25</f>
        <v>0</v>
      </c>
      <c r="I22" s="20"/>
      <c r="J22" s="153">
        <v>502</v>
      </c>
      <c r="K22" s="152" t="s">
        <v>85</v>
      </c>
      <c r="L22" s="189">
        <f t="shared" si="3"/>
        <v>0</v>
      </c>
      <c r="P22" s="134"/>
      <c r="X22" s="369">
        <v>502</v>
      </c>
      <c r="Y22" s="187">
        <v>502</v>
      </c>
      <c r="AA22" s="258">
        <f t="shared" si="0"/>
        <v>0</v>
      </c>
      <c r="AB22" s="187">
        <f t="shared" si="1"/>
        <v>0</v>
      </c>
    </row>
    <row r="23" spans="1:28" ht="40.5" customHeight="1" x14ac:dyDescent="0.3">
      <c r="A23" s="146">
        <f>'Unit Data from Audit Worksheet'!A26</f>
        <v>503</v>
      </c>
      <c r="B23" s="156" t="str">
        <f>'Unit Data from Audit Worksheet'!C26</f>
        <v>Net Position-Business Activities</v>
      </c>
      <c r="C23" s="143" t="str">
        <f>'Unit Data from Audit Worksheet'!D26</f>
        <v>All restricted Cash and investments</v>
      </c>
      <c r="D23" s="65"/>
      <c r="E23" s="161">
        <f>'Unit Data from Audit Worksheet'!F26</f>
        <v>0</v>
      </c>
      <c r="F23" s="155">
        <f>IF(L23&lt;0,"Error: Number is normally positive.",)</f>
        <v>0</v>
      </c>
      <c r="G23" s="157"/>
      <c r="H23" s="154">
        <f>'Unit Data from Audit Worksheet'!I26</f>
        <v>0</v>
      </c>
      <c r="I23" s="20"/>
      <c r="J23" s="153">
        <v>503</v>
      </c>
      <c r="K23" s="152" t="s">
        <v>86</v>
      </c>
      <c r="L23" s="189">
        <f t="shared" si="3"/>
        <v>0</v>
      </c>
      <c r="P23" s="134"/>
      <c r="X23" s="369">
        <v>503</v>
      </c>
      <c r="Y23" s="187">
        <v>503</v>
      </c>
      <c r="AA23" s="258">
        <f t="shared" si="0"/>
        <v>0</v>
      </c>
      <c r="AB23" s="187">
        <f t="shared" si="1"/>
        <v>0</v>
      </c>
    </row>
    <row r="24" spans="1:28" ht="39" customHeight="1" x14ac:dyDescent="0.3">
      <c r="A24" s="146">
        <f>'Unit Data from Audit Worksheet'!A28</f>
        <v>388</v>
      </c>
      <c r="B24" s="156" t="str">
        <f>'Unit Data from Audit Worksheet'!C28</f>
        <v>Statement of Activities - Governmental</v>
      </c>
      <c r="C24" s="143" t="str">
        <f>'Unit Data from Audit Worksheet'!D28</f>
        <v>Total Expenses</v>
      </c>
      <c r="D24" s="65"/>
      <c r="E24" s="161">
        <f>'Unit Data from Audit Worksheet'!F28</f>
        <v>0</v>
      </c>
      <c r="F24" s="155">
        <f t="shared" ref="F24:F29" si="4">IF(L24&lt;0,"Error: Number is normally positive.",)</f>
        <v>0</v>
      </c>
      <c r="G24" s="157"/>
      <c r="H24" s="154">
        <f>'Unit Data from Audit Worksheet'!I28</f>
        <v>0</v>
      </c>
      <c r="I24" s="20"/>
      <c r="J24" s="153">
        <v>388</v>
      </c>
      <c r="K24" s="152" t="s">
        <v>88</v>
      </c>
      <c r="L24" s="189">
        <f t="shared" si="3"/>
        <v>0</v>
      </c>
      <c r="P24" s="134"/>
      <c r="X24" s="369">
        <v>388</v>
      </c>
      <c r="Y24" s="187">
        <v>388</v>
      </c>
      <c r="AA24" s="258">
        <f t="shared" si="0"/>
        <v>0</v>
      </c>
      <c r="AB24" s="187">
        <f t="shared" si="1"/>
        <v>0</v>
      </c>
    </row>
    <row r="25" spans="1:28" ht="39" customHeight="1" x14ac:dyDescent="0.3">
      <c r="A25" s="146">
        <f>'Unit Data from Audit Worksheet'!A29</f>
        <v>339</v>
      </c>
      <c r="B25" s="156" t="str">
        <f>'Unit Data from Audit Worksheet'!C29</f>
        <v>Statement of Activities - Governmental</v>
      </c>
      <c r="C25" s="143" t="str">
        <f>'Unit Data from Audit Worksheet'!D29</f>
        <v xml:space="preserve">Charges for services </v>
      </c>
      <c r="D25" s="65"/>
      <c r="E25" s="161">
        <f>'Unit Data from Audit Worksheet'!F29</f>
        <v>0</v>
      </c>
      <c r="F25" s="155">
        <f t="shared" si="4"/>
        <v>0</v>
      </c>
      <c r="G25" s="157"/>
      <c r="H25" s="154">
        <f>'Unit Data from Audit Worksheet'!I29</f>
        <v>0</v>
      </c>
      <c r="I25" s="20"/>
      <c r="J25" s="153">
        <v>339</v>
      </c>
      <c r="K25" s="152" t="s">
        <v>89</v>
      </c>
      <c r="L25" s="189">
        <f t="shared" si="3"/>
        <v>0</v>
      </c>
      <c r="P25" s="134"/>
      <c r="X25" s="369">
        <v>339</v>
      </c>
      <c r="Y25" s="187">
        <v>339</v>
      </c>
      <c r="AA25" s="258">
        <f t="shared" si="0"/>
        <v>0</v>
      </c>
      <c r="AB25" s="187">
        <f t="shared" si="1"/>
        <v>0</v>
      </c>
    </row>
    <row r="26" spans="1:28" ht="39" customHeight="1" x14ac:dyDescent="0.3">
      <c r="A26" s="146">
        <f>'Unit Data from Audit Worksheet'!A30</f>
        <v>504</v>
      </c>
      <c r="B26" s="156" t="str">
        <f>'Unit Data from Audit Worksheet'!C30</f>
        <v>Statement of Activities - Governmental</v>
      </c>
      <c r="C26" s="143" t="str">
        <f>'Unit Data from Audit Worksheet'!D30</f>
        <v>Operating grants and contributions</v>
      </c>
      <c r="D26" s="65"/>
      <c r="E26" s="161">
        <f>'Unit Data from Audit Worksheet'!F30</f>
        <v>0</v>
      </c>
      <c r="F26" s="155">
        <f t="shared" si="4"/>
        <v>0</v>
      </c>
      <c r="G26" s="157"/>
      <c r="H26" s="154">
        <f>'Unit Data from Audit Worksheet'!I30</f>
        <v>0</v>
      </c>
      <c r="I26" s="20"/>
      <c r="J26" s="153">
        <v>504</v>
      </c>
      <c r="K26" s="152" t="s">
        <v>90</v>
      </c>
      <c r="L26" s="189">
        <f t="shared" si="3"/>
        <v>0</v>
      </c>
      <c r="P26" s="134"/>
      <c r="X26" s="369">
        <v>504</v>
      </c>
      <c r="Y26" s="187">
        <v>504</v>
      </c>
      <c r="AA26" s="258">
        <f t="shared" si="0"/>
        <v>0</v>
      </c>
      <c r="AB26" s="187">
        <f t="shared" si="1"/>
        <v>0</v>
      </c>
    </row>
    <row r="27" spans="1:28" ht="39" customHeight="1" x14ac:dyDescent="0.3">
      <c r="A27" s="146">
        <f>'Unit Data from Audit Worksheet'!A31</f>
        <v>505</v>
      </c>
      <c r="B27" s="156" t="str">
        <f>'Unit Data from Audit Worksheet'!C31</f>
        <v>Statement of Activities - Governmental</v>
      </c>
      <c r="C27" s="143" t="str">
        <f>'Unit Data from Audit Worksheet'!D31</f>
        <v>Capital grants and contributions</v>
      </c>
      <c r="D27" s="65"/>
      <c r="E27" s="161">
        <f>'Unit Data from Audit Worksheet'!F31</f>
        <v>0</v>
      </c>
      <c r="F27" s="155">
        <f t="shared" si="4"/>
        <v>0</v>
      </c>
      <c r="G27" s="157"/>
      <c r="H27" s="154">
        <f>'Unit Data from Audit Worksheet'!I31</f>
        <v>0</v>
      </c>
      <c r="I27" s="20"/>
      <c r="J27" s="153">
        <v>505</v>
      </c>
      <c r="K27" s="152" t="s">
        <v>91</v>
      </c>
      <c r="L27" s="189">
        <f t="shared" si="3"/>
        <v>0</v>
      </c>
      <c r="P27" s="134"/>
      <c r="X27" s="369">
        <v>505</v>
      </c>
      <c r="Y27" s="187">
        <v>505</v>
      </c>
      <c r="AA27" s="258">
        <f t="shared" si="0"/>
        <v>0</v>
      </c>
      <c r="AB27" s="187">
        <f t="shared" si="1"/>
        <v>0</v>
      </c>
    </row>
    <row r="28" spans="1:28" ht="82.5" customHeight="1" x14ac:dyDescent="0.3">
      <c r="A28" s="146">
        <f>'Unit Data from Audit Worksheet'!A32</f>
        <v>341</v>
      </c>
      <c r="B28" s="156" t="str">
        <f>'Unit Data from Audit Worksheet'!C32</f>
        <v>Statement of Activities - Governmental</v>
      </c>
      <c r="C28" s="143" t="str">
        <f>'Unit Data from Audit Worksheet'!D32</f>
        <v>Total General revenues
Exclude: transfers-in or out,
                 special items,
                 extraordinary amounts</v>
      </c>
      <c r="D28" s="65"/>
      <c r="E28" s="161">
        <f>'Unit Data from Audit Worksheet'!F32</f>
        <v>0</v>
      </c>
      <c r="F28" s="155">
        <f t="shared" si="4"/>
        <v>0</v>
      </c>
      <c r="G28" s="157"/>
      <c r="H28" s="154">
        <f>'Unit Data from Audit Worksheet'!I32</f>
        <v>0</v>
      </c>
      <c r="I28" s="20"/>
      <c r="J28" s="153">
        <v>341</v>
      </c>
      <c r="K28" s="152" t="s">
        <v>92</v>
      </c>
      <c r="L28" s="189">
        <f t="shared" si="3"/>
        <v>0</v>
      </c>
      <c r="P28" s="134"/>
      <c r="X28" s="369">
        <v>341</v>
      </c>
      <c r="Y28" s="187">
        <v>341</v>
      </c>
      <c r="AA28" s="258">
        <f t="shared" si="0"/>
        <v>0</v>
      </c>
      <c r="AB28" s="187">
        <f t="shared" si="1"/>
        <v>0</v>
      </c>
    </row>
    <row r="29" spans="1:28" ht="82.5" customHeight="1" x14ac:dyDescent="0.3">
      <c r="A29" s="146">
        <f>'Unit Data from Audit Worksheet'!A33</f>
        <v>386</v>
      </c>
      <c r="B29" s="156" t="str">
        <f>'Unit Data from Audit Worksheet'!C33</f>
        <v>Statement of Activities - Governmental</v>
      </c>
      <c r="C29" s="143" t="str">
        <f>'Unit Data from Audit Worksheet'!D33</f>
        <v>Total Transfers in    (Preference is that transfers-in  are not netted against transfers-out)</v>
      </c>
      <c r="D29" s="65"/>
      <c r="E29" s="161">
        <f>'Unit Data from Audit Worksheet'!F33</f>
        <v>0</v>
      </c>
      <c r="F29" s="155">
        <f t="shared" si="4"/>
        <v>0</v>
      </c>
      <c r="G29" s="157"/>
      <c r="H29" s="154">
        <f>'Unit Data from Audit Worksheet'!I33</f>
        <v>0</v>
      </c>
      <c r="I29" s="20"/>
      <c r="J29" s="153">
        <v>386</v>
      </c>
      <c r="K29" s="152" t="s">
        <v>93</v>
      </c>
      <c r="L29" s="189">
        <f t="shared" si="3"/>
        <v>0</v>
      </c>
      <c r="P29" s="134"/>
      <c r="X29" s="369">
        <v>386</v>
      </c>
      <c r="Y29" s="187">
        <v>386</v>
      </c>
      <c r="AA29" s="258">
        <f t="shared" si="0"/>
        <v>0</v>
      </c>
      <c r="AB29" s="187">
        <f t="shared" si="1"/>
        <v>0</v>
      </c>
    </row>
    <row r="30" spans="1:28" ht="82.5" customHeight="1" x14ac:dyDescent="0.3">
      <c r="A30" s="146">
        <f>'Unit Data from Audit Worksheet'!A34</f>
        <v>387</v>
      </c>
      <c r="B30" s="156" t="str">
        <f>'Unit Data from Audit Worksheet'!C34</f>
        <v>Statement of Activities - Governmental</v>
      </c>
      <c r="C30" s="143" t="str">
        <f>'Unit Data from Audit Worksheet'!D34</f>
        <v>Total Transfers out    (Preference is that transfers-in  are not netted against transfers-out)</v>
      </c>
      <c r="D30" s="65"/>
      <c r="E30" s="161">
        <f>'Unit Data from Audit Worksheet'!F34</f>
        <v>0</v>
      </c>
      <c r="F30" s="155">
        <f>IF(L30&lt;0,"Error: Enter as a positive.",)</f>
        <v>0</v>
      </c>
      <c r="G30" s="157"/>
      <c r="H30" s="154">
        <f>'Unit Data from Audit Worksheet'!I34</f>
        <v>0</v>
      </c>
      <c r="I30" s="20"/>
      <c r="J30" s="153">
        <v>387</v>
      </c>
      <c r="K30" s="152" t="s">
        <v>94</v>
      </c>
      <c r="L30" s="189">
        <f t="shared" si="3"/>
        <v>0</v>
      </c>
      <c r="P30" s="134"/>
      <c r="X30" s="369">
        <v>387</v>
      </c>
      <c r="Y30" s="187">
        <v>387</v>
      </c>
      <c r="AA30" s="258">
        <f t="shared" si="0"/>
        <v>0</v>
      </c>
      <c r="AB30" s="187">
        <f t="shared" si="1"/>
        <v>0</v>
      </c>
    </row>
    <row r="31" spans="1:28" ht="82.5" customHeight="1" x14ac:dyDescent="0.3">
      <c r="A31" s="146">
        <f>'Unit Data from Audit Worksheet'!A35</f>
        <v>389</v>
      </c>
      <c r="B31" s="156" t="str">
        <f>'Unit Data from Audit Worksheet'!C35</f>
        <v>Statement of Activities - Governmental</v>
      </c>
      <c r="C31" s="143" t="str">
        <f>'Unit Data from Audit Worksheet'!D35</f>
        <v>Total Special and Extraordinary items.    (Amounts that increase net position are recorded as positive and amounts that decrease net position are recorded as negative)</v>
      </c>
      <c r="D31" s="65"/>
      <c r="E31" s="161">
        <f>'Unit Data from Audit Worksheet'!F35</f>
        <v>0</v>
      </c>
      <c r="F31" s="155"/>
      <c r="G31" s="157"/>
      <c r="H31" s="154">
        <f>'Unit Data from Audit Worksheet'!I35</f>
        <v>0</v>
      </c>
      <c r="I31" s="20"/>
      <c r="J31" s="153">
        <v>389</v>
      </c>
      <c r="K31" s="152" t="s">
        <v>95</v>
      </c>
      <c r="L31" s="189">
        <f t="shared" si="3"/>
        <v>0</v>
      </c>
      <c r="N31" s="197"/>
      <c r="P31" s="134"/>
      <c r="X31" s="369">
        <v>389</v>
      </c>
      <c r="Y31" s="187">
        <v>389</v>
      </c>
      <c r="AA31" s="258">
        <f t="shared" si="0"/>
        <v>0</v>
      </c>
      <c r="AB31" s="187">
        <f t="shared" si="1"/>
        <v>0</v>
      </c>
    </row>
    <row r="32" spans="1:28" ht="79.5" customHeight="1" x14ac:dyDescent="0.3">
      <c r="A32" s="146">
        <f>'Unit Data from Audit Worksheet'!A36</f>
        <v>255</v>
      </c>
      <c r="B32" s="156" t="str">
        <f>'Unit Data from Audit Worksheet'!C36</f>
        <v>Statement of Activities - Governmental</v>
      </c>
      <c r="C32" s="143" t="str">
        <f>'Unit Data from Audit Worksheet'!D36</f>
        <v>Total Change in net position - (Increase in net position is recorded as a positive and a decrease in net position is recorded as a negative)</v>
      </c>
      <c r="D32" s="65"/>
      <c r="E32" s="161">
        <f>'Unit Data from Audit Worksheet'!F36</f>
        <v>0</v>
      </c>
      <c r="F32" s="155">
        <f>IF((L25+L26+L27+L28+L29-L30+L31-L24-L32)=0,,"Total revenues less total expenses do not equal total change in net position. Acct 339+504+505+341+386-387+389-388-255=0")</f>
        <v>0</v>
      </c>
      <c r="G32" s="56">
        <f>L25+L26+L27+L28+L29-L30+L31-L24-L32</f>
        <v>0</v>
      </c>
      <c r="H32" s="154">
        <f>'Unit Data from Audit Worksheet'!I36</f>
        <v>0</v>
      </c>
      <c r="I32" s="20"/>
      <c r="J32" s="153">
        <v>255</v>
      </c>
      <c r="K32" s="152" t="s">
        <v>96</v>
      </c>
      <c r="L32" s="189">
        <f t="shared" si="3"/>
        <v>0</v>
      </c>
      <c r="O32" s="196" t="e">
        <f>'Unit Data from Audit Worksheet'!E36</f>
        <v>#N/A</v>
      </c>
      <c r="P32" s="134"/>
      <c r="X32" s="369">
        <v>255</v>
      </c>
      <c r="Y32" s="187">
        <v>255</v>
      </c>
      <c r="AA32" s="258">
        <f t="shared" si="0"/>
        <v>0</v>
      </c>
      <c r="AB32" s="187">
        <f t="shared" si="1"/>
        <v>0</v>
      </c>
    </row>
    <row r="33" spans="1:28" ht="89.25" customHeight="1" x14ac:dyDescent="0.3">
      <c r="A33" s="146">
        <f>'Unit Data from Audit Worksheet'!A37</f>
        <v>376</v>
      </c>
      <c r="B33" s="156" t="str">
        <f>'Unit Data from Audit Worksheet'!C37</f>
        <v>Statement of Activities - Governmental</v>
      </c>
      <c r="C33" s="143" t="str">
        <f>'Unit Data from Audit Worksheet'!D37</f>
        <v>Any adjustment to beginning net position including rounding, prior period adjustments and restatements.   (Increases to net position are positive; decreases to net position are negative)</v>
      </c>
      <c r="D33" s="65"/>
      <c r="E33" s="161">
        <f>'Unit Data from Audit Worksheet'!F37</f>
        <v>0</v>
      </c>
      <c r="F33" s="55" t="e">
        <f>IF(L19+L20+L21-L32-L33=O19+O20+O21,,"Beginning Balance does not agree with our records acct (252+253+254-255-376=PY252+PY253+PY254)")</f>
        <v>#N/A</v>
      </c>
      <c r="G33" s="57" t="e">
        <f>L19+L20+L21-L32-L33-(O19+O20+O21)</f>
        <v>#N/A</v>
      </c>
      <c r="H33" s="154" t="e">
        <f>'Unit Data from Audit Worksheet'!I37</f>
        <v>#N/A</v>
      </c>
      <c r="I33" s="20"/>
      <c r="J33" s="153">
        <v>376</v>
      </c>
      <c r="K33" s="152" t="s">
        <v>38</v>
      </c>
      <c r="L33" s="189">
        <f t="shared" si="3"/>
        <v>0</v>
      </c>
      <c r="O33" s="196" t="e">
        <f>'Unit Data from Audit Worksheet'!E37</f>
        <v>#N/A</v>
      </c>
      <c r="P33" s="134"/>
      <c r="R33" s="256"/>
      <c r="S33" s="256"/>
      <c r="T33" s="256"/>
      <c r="U33" s="256"/>
      <c r="V33" s="256"/>
      <c r="W33" s="256"/>
      <c r="X33" s="369">
        <v>376</v>
      </c>
      <c r="Y33" s="187">
        <v>376</v>
      </c>
      <c r="Z33" s="256"/>
      <c r="AA33" s="258">
        <f t="shared" si="0"/>
        <v>0</v>
      </c>
      <c r="AB33" s="187">
        <f t="shared" si="1"/>
        <v>0</v>
      </c>
    </row>
    <row r="34" spans="1:28" ht="90" customHeight="1" x14ac:dyDescent="0.3">
      <c r="A34" s="146">
        <f>'Unit Data from Audit Worksheet'!A39</f>
        <v>592</v>
      </c>
      <c r="B34" s="156" t="str">
        <f>'Unit Data from Audit Worksheet'!C39</f>
        <v>Statement of Activities - Business Activities</v>
      </c>
      <c r="C34" s="143" t="str">
        <f>'Unit Data from Audit Worksheet'!D39</f>
        <v>Total Change in net position Business Type 
(Increase in net position is recorded as a positive and a decrease in net position is recorded as a negative)</v>
      </c>
      <c r="D34" s="65"/>
      <c r="E34" s="161">
        <f>'Unit Data from Audit Worksheet'!F39</f>
        <v>0</v>
      </c>
      <c r="F34" s="155"/>
      <c r="G34" s="157"/>
      <c r="H34" s="154">
        <f>'Unit Data from Audit Worksheet'!I39</f>
        <v>0</v>
      </c>
      <c r="I34" s="20"/>
      <c r="J34" s="153">
        <v>592</v>
      </c>
      <c r="K34" s="152" t="s">
        <v>219</v>
      </c>
      <c r="L34" s="189">
        <f t="shared" si="3"/>
        <v>0</v>
      </c>
      <c r="O34" s="196"/>
      <c r="P34" s="134"/>
      <c r="R34" s="256"/>
      <c r="S34" s="256"/>
      <c r="T34" s="256"/>
      <c r="U34" s="256"/>
      <c r="V34" s="256"/>
      <c r="W34" s="256"/>
      <c r="X34" s="369">
        <v>592</v>
      </c>
      <c r="Y34" s="187">
        <v>592</v>
      </c>
      <c r="Z34" s="256"/>
      <c r="AA34" s="258">
        <f t="shared" si="0"/>
        <v>0</v>
      </c>
      <c r="AB34" s="187">
        <f t="shared" si="1"/>
        <v>0</v>
      </c>
    </row>
    <row r="35" spans="1:28" ht="66" customHeight="1" x14ac:dyDescent="0.3">
      <c r="A35" s="146">
        <f>'Unit Data from Audit Worksheet'!A40</f>
        <v>591</v>
      </c>
      <c r="B35" s="156" t="str">
        <f>'Unit Data from Audit Worksheet'!C40</f>
        <v>Statement of Activities - Business Activities</v>
      </c>
      <c r="C35" s="143" t="str">
        <f>'Unit Data from Audit Worksheet'!D40</f>
        <v>Total Expenses - Exclude Transfers</v>
      </c>
      <c r="D35" s="65"/>
      <c r="E35" s="161">
        <f>'Unit Data from Audit Worksheet'!F40</f>
        <v>0</v>
      </c>
      <c r="F35" s="155">
        <f>IF(L35&lt;0,"Error: Enter as a positive.",)</f>
        <v>0</v>
      </c>
      <c r="G35" s="157"/>
      <c r="H35" s="154">
        <f>'Unit Data from Audit Worksheet'!I40</f>
        <v>0</v>
      </c>
      <c r="I35" s="20"/>
      <c r="J35" s="153">
        <v>591</v>
      </c>
      <c r="K35" s="152" t="s">
        <v>218</v>
      </c>
      <c r="L35" s="189">
        <f t="shared" si="3"/>
        <v>0</v>
      </c>
      <c r="O35" s="196"/>
      <c r="P35" s="134"/>
      <c r="R35" s="256"/>
      <c r="S35" s="256"/>
      <c r="T35" s="256"/>
      <c r="U35" s="256"/>
      <c r="V35" s="256"/>
      <c r="W35" s="256"/>
      <c r="X35" s="369">
        <v>591</v>
      </c>
      <c r="Y35" s="187">
        <v>591</v>
      </c>
      <c r="Z35" s="256"/>
      <c r="AA35" s="258">
        <f t="shared" si="0"/>
        <v>0</v>
      </c>
      <c r="AB35" s="187">
        <f t="shared" si="1"/>
        <v>0</v>
      </c>
    </row>
    <row r="36" spans="1:28" s="258" customFormat="1" ht="66" customHeight="1" x14ac:dyDescent="0.3">
      <c r="A36" s="541">
        <f>'Unit Data from Audit Worksheet'!A46</f>
        <v>1072</v>
      </c>
      <c r="B36" s="159" t="str">
        <f>'Unit Data from Audit Worksheet'!C46</f>
        <v>Revenue, Expenses &amp; Changes in Fund Net Position</v>
      </c>
      <c r="C36" s="204" t="str">
        <f>'Unit Data from Audit Worksheet'!D46</f>
        <v>All Proprietary Funds -total of all expenses excluding transfers out</v>
      </c>
      <c r="D36" s="65"/>
      <c r="E36" s="162">
        <f>'Unit Data from Audit Worksheet'!F46</f>
        <v>0</v>
      </c>
      <c r="F36" s="155"/>
      <c r="G36" s="157"/>
      <c r="H36" s="154"/>
      <c r="I36" s="20"/>
      <c r="J36" s="166">
        <v>1072</v>
      </c>
      <c r="K36" s="77" t="s">
        <v>789</v>
      </c>
      <c r="L36" s="205">
        <f t="shared" si="3"/>
        <v>0</v>
      </c>
      <c r="M36" s="119"/>
      <c r="O36" s="196"/>
      <c r="P36" s="135"/>
      <c r="Q36" s="180"/>
      <c r="X36" s="369"/>
      <c r="Y36" s="187"/>
      <c r="AB36" s="187"/>
    </row>
    <row r="37" spans="1:28" s="258" customFormat="1" ht="66" customHeight="1" x14ac:dyDescent="0.3">
      <c r="A37" s="541">
        <f>'Unit Data from Audit Worksheet'!A47</f>
        <v>1073</v>
      </c>
      <c r="B37" s="159" t="str">
        <f>'Unit Data from Audit Worksheet'!C47</f>
        <v>Revenue, Expenses &amp; Changes in Fund Net Position</v>
      </c>
      <c r="C37" s="204" t="str">
        <f>'Unit Data from Audit Worksheet'!D47</f>
        <v>All Proprietary Funds -Depreciation and amortization expense</v>
      </c>
      <c r="D37" s="65"/>
      <c r="E37" s="162">
        <f>'Unit Data from Audit Worksheet'!F47</f>
        <v>0</v>
      </c>
      <c r="F37" s="155"/>
      <c r="G37" s="157"/>
      <c r="H37" s="154"/>
      <c r="I37" s="20"/>
      <c r="J37" s="166">
        <v>1073</v>
      </c>
      <c r="K37" s="77" t="s">
        <v>790</v>
      </c>
      <c r="L37" s="205">
        <f t="shared" si="3"/>
        <v>0</v>
      </c>
      <c r="M37" s="119"/>
      <c r="O37" s="196"/>
      <c r="P37" s="135"/>
      <c r="Q37" s="180"/>
      <c r="X37" s="369"/>
      <c r="Y37" s="187"/>
      <c r="AB37" s="187"/>
    </row>
    <row r="38" spans="1:28" s="258" customFormat="1" ht="81.599999999999994" customHeight="1" x14ac:dyDescent="0.3">
      <c r="A38" s="541">
        <f>'Unit Data from Audit Worksheet'!A48</f>
        <v>1074</v>
      </c>
      <c r="B38" s="159" t="str">
        <f>'Unit Data from Audit Worksheet'!C48</f>
        <v>Cash Flow Statement</v>
      </c>
      <c r="C38" s="204" t="str">
        <f>'Unit Data from Audit Worksheet'!D48</f>
        <v>All Proprietary Funds -Principal paid on long-term debt.  Amount should be reduced by principal payments for debt refunding.</v>
      </c>
      <c r="D38" s="65"/>
      <c r="E38" s="162">
        <f>'Unit Data from Audit Worksheet'!F48</f>
        <v>0</v>
      </c>
      <c r="F38" s="155"/>
      <c r="G38" s="157"/>
      <c r="H38" s="154"/>
      <c r="I38" s="20"/>
      <c r="J38" s="166">
        <v>1074</v>
      </c>
      <c r="K38" s="77" t="s">
        <v>935</v>
      </c>
      <c r="L38" s="205">
        <f t="shared" si="3"/>
        <v>0</v>
      </c>
      <c r="M38" s="119"/>
      <c r="O38" s="196"/>
      <c r="P38" s="135"/>
      <c r="Q38" s="180"/>
      <c r="X38" s="369"/>
      <c r="Y38" s="187"/>
      <c r="AB38" s="187"/>
    </row>
    <row r="39" spans="1:28" ht="63" customHeight="1" x14ac:dyDescent="0.3">
      <c r="A39" s="146">
        <f>'Unit Data from Audit Worksheet'!A50</f>
        <v>506</v>
      </c>
      <c r="B39" s="31" t="str">
        <f>'Unit Data from Audit Worksheet'!C50</f>
        <v>General Fund-Balance Sheet</v>
      </c>
      <c r="C39" s="198" t="str">
        <f>'Unit Data from Audit Worksheet'!D50</f>
        <v xml:space="preserve">All unrestricted cash and investments.  
Exclude restricted cash and cash held by a third party. </v>
      </c>
      <c r="D39" s="65"/>
      <c r="E39" s="93">
        <f>'Unit Data from Audit Worksheet'!F50</f>
        <v>0</v>
      </c>
      <c r="F39" s="19">
        <f>IF(L39&lt;0,"Error: Number is normally positive.",)</f>
        <v>0</v>
      </c>
      <c r="G39" s="43"/>
      <c r="H39" s="154">
        <f>'Unit Data from Audit Worksheet'!I50</f>
        <v>0</v>
      </c>
      <c r="I39" s="20"/>
      <c r="J39" s="21">
        <v>506</v>
      </c>
      <c r="K39" s="152" t="s">
        <v>97</v>
      </c>
      <c r="L39" s="199">
        <f t="shared" ref="L39:L50" si="5">IF(D39="",E39,D39)</f>
        <v>0</v>
      </c>
      <c r="P39" s="135"/>
      <c r="X39" s="369">
        <v>506</v>
      </c>
      <c r="Y39" s="187">
        <v>506</v>
      </c>
      <c r="AA39" s="258">
        <f t="shared" si="0"/>
        <v>0</v>
      </c>
      <c r="AB39" s="187">
        <f t="shared" si="1"/>
        <v>0</v>
      </c>
    </row>
    <row r="40" spans="1:28" ht="59.4" customHeight="1" x14ac:dyDescent="0.3">
      <c r="A40" s="146">
        <f>'Unit Data from Audit Worksheet'!A51</f>
        <v>536</v>
      </c>
      <c r="B40" s="31" t="str">
        <f>'Unit Data from Audit Worksheet'!C51</f>
        <v>General Fund-Balance Sheet</v>
      </c>
      <c r="C40" s="198" t="str">
        <f>'Unit Data from Audit Worksheet'!D51</f>
        <v>All restricted cash and investments</v>
      </c>
      <c r="D40" s="65"/>
      <c r="E40" s="93">
        <f>'Unit Data from Audit Worksheet'!F51</f>
        <v>0</v>
      </c>
      <c r="F40" s="19">
        <f>IF(L40&lt;0,"Error: Number is normally positive.",)</f>
        <v>0</v>
      </c>
      <c r="G40" s="43"/>
      <c r="H40" s="154">
        <f>'Unit Data from Audit Worksheet'!I51</f>
        <v>0</v>
      </c>
      <c r="I40" s="20"/>
      <c r="J40" s="21">
        <v>536</v>
      </c>
      <c r="K40" s="152" t="s">
        <v>98</v>
      </c>
      <c r="L40" s="199">
        <f t="shared" si="5"/>
        <v>0</v>
      </c>
      <c r="P40" s="136"/>
      <c r="Q40" s="193"/>
      <c r="S40" s="192"/>
      <c r="T40" s="192"/>
      <c r="U40" s="192"/>
      <c r="V40" s="192"/>
      <c r="W40" s="16"/>
      <c r="X40" s="369">
        <v>536</v>
      </c>
      <c r="Y40" s="187">
        <v>536</v>
      </c>
      <c r="Z40" s="16"/>
      <c r="AA40" s="258">
        <f t="shared" si="0"/>
        <v>0</v>
      </c>
      <c r="AB40" s="187">
        <f t="shared" si="1"/>
        <v>0</v>
      </c>
    </row>
    <row r="41" spans="1:28" ht="70.2" customHeight="1" x14ac:dyDescent="0.3">
      <c r="A41" s="146">
        <f>'Unit Data from Audit Worksheet'!A52</f>
        <v>586</v>
      </c>
      <c r="B41" s="156" t="str">
        <f>'Unit Data from Audit Worksheet'!C52</f>
        <v>General Fund-Balance Sheet</v>
      </c>
      <c r="C41" s="143" t="str">
        <f>'Unit Data from Audit Worksheet'!D52</f>
        <v>Advance To: Interfund loan receivable-portion of repayment plan longer than 12 months</v>
      </c>
      <c r="D41" s="86"/>
      <c r="E41" s="161">
        <f>'Unit Data from Audit Worksheet'!F52</f>
        <v>0</v>
      </c>
      <c r="F41" s="155"/>
      <c r="G41" s="157"/>
      <c r="H41" s="154"/>
      <c r="I41" s="20"/>
      <c r="J41" s="153">
        <v>586</v>
      </c>
      <c r="K41" s="143" t="s">
        <v>207</v>
      </c>
      <c r="L41" s="189">
        <f t="shared" si="5"/>
        <v>0</v>
      </c>
      <c r="P41" s="136"/>
      <c r="Q41" s="193"/>
      <c r="S41" s="192"/>
      <c r="T41" s="192"/>
      <c r="U41" s="192"/>
      <c r="V41" s="192"/>
      <c r="W41" s="16"/>
      <c r="X41" s="369">
        <v>586</v>
      </c>
      <c r="Y41" s="187">
        <v>586</v>
      </c>
      <c r="Z41" s="16"/>
      <c r="AA41" s="258">
        <f t="shared" si="0"/>
        <v>0</v>
      </c>
      <c r="AB41" s="187">
        <f t="shared" si="1"/>
        <v>0</v>
      </c>
    </row>
    <row r="42" spans="1:28" ht="40.200000000000003" customHeight="1" x14ac:dyDescent="0.3">
      <c r="A42" s="146">
        <f>'Unit Data from Audit Worksheet'!A53</f>
        <v>379</v>
      </c>
      <c r="B42" s="156" t="str">
        <f>'Unit Data from Audit Worksheet'!C53</f>
        <v>General Fund-Balance Sheet</v>
      </c>
      <c r="C42" s="143" t="str">
        <f>'Unit Data from Audit Worksheet'!D53</f>
        <v>Total Assets and deferred outflows</v>
      </c>
      <c r="D42" s="86"/>
      <c r="E42" s="161">
        <f>'Unit Data from Audit Worksheet'!F53</f>
        <v>0</v>
      </c>
      <c r="F42" s="52">
        <f>IF((L39+L40)&gt;L42,"Error: Please review accts (506+536)&gt;379",)</f>
        <v>0</v>
      </c>
      <c r="G42" s="157"/>
      <c r="H42" s="154">
        <f>'Unit Data from Audit Worksheet'!I53</f>
        <v>0</v>
      </c>
      <c r="I42" s="20"/>
      <c r="J42" s="153">
        <v>379</v>
      </c>
      <c r="K42" s="152" t="s">
        <v>47</v>
      </c>
      <c r="L42" s="189">
        <f t="shared" si="5"/>
        <v>0</v>
      </c>
      <c r="P42" s="133"/>
      <c r="X42" s="369">
        <v>379</v>
      </c>
      <c r="Y42" s="187">
        <v>379</v>
      </c>
      <c r="AA42" s="258">
        <f t="shared" si="0"/>
        <v>0</v>
      </c>
      <c r="AB42" s="187">
        <f t="shared" si="1"/>
        <v>0</v>
      </c>
    </row>
    <row r="43" spans="1:28" ht="90.75" customHeight="1" x14ac:dyDescent="0.3">
      <c r="A43" s="146">
        <f>'Unit Data from Audit Worksheet'!A54</f>
        <v>4</v>
      </c>
      <c r="B43" s="31" t="str">
        <f>'Unit Data from Audit Worksheet'!C54</f>
        <v>General Fund-Balance Sheet</v>
      </c>
      <c r="C43" s="198" t="str">
        <f>'Unit Data from Audit Worksheet'!D54</f>
        <v>Current Liabilities (as reported on the Balance Sheet)
Exclude all deferred inflows. 
Include advance from(long-term portion of interfund loans)</v>
      </c>
      <c r="D43" s="86"/>
      <c r="E43" s="93">
        <f>'Unit Data from Audit Worksheet'!F54</f>
        <v>0</v>
      </c>
      <c r="F43" s="19">
        <f t="shared" ref="F43:F47" si="6">IF(L43&lt;0,"Error: Enter as a positive.",)</f>
        <v>0</v>
      </c>
      <c r="G43" s="43"/>
      <c r="H43" s="154">
        <f>'Unit Data from Audit Worksheet'!I54</f>
        <v>0</v>
      </c>
      <c r="I43" s="20"/>
      <c r="J43" s="21">
        <v>4</v>
      </c>
      <c r="K43" s="152" t="s">
        <v>48</v>
      </c>
      <c r="L43" s="199">
        <f t="shared" si="5"/>
        <v>0</v>
      </c>
      <c r="P43" s="134"/>
      <c r="S43" s="16"/>
      <c r="T43" s="16"/>
      <c r="U43" s="16"/>
      <c r="V43" s="16"/>
      <c r="X43" s="369">
        <v>4</v>
      </c>
      <c r="Y43" s="187">
        <v>4</v>
      </c>
      <c r="Z43" s="16"/>
      <c r="AA43" s="258">
        <f t="shared" si="0"/>
        <v>0</v>
      </c>
      <c r="AB43" s="187">
        <f t="shared" si="1"/>
        <v>0</v>
      </c>
    </row>
    <row r="44" spans="1:28" ht="131.25" customHeight="1" x14ac:dyDescent="0.3">
      <c r="A44" s="146">
        <f>'Unit Data from Audit Worksheet'!A55</f>
        <v>5</v>
      </c>
      <c r="B44" s="31" t="str">
        <f>'Unit Data from Audit Worksheet'!C55</f>
        <v>General Fund-Balance Sheet</v>
      </c>
      <c r="C44" s="198" t="str">
        <f>'Unit Data from Audit Worksheet'!D55</f>
        <v>General fund deferred inflows derived from cash receipts. 
 Prepaid taxes is a common item listed.  Deferred inflows on the face of the statements can include cash and non-cash.  You may have to refer to the note disclosure where the cash and non-cash is broken out.</v>
      </c>
      <c r="D44" s="86"/>
      <c r="E44" s="93">
        <f>'Unit Data from Audit Worksheet'!F55</f>
        <v>0</v>
      </c>
      <c r="F44" s="19">
        <f t="shared" si="6"/>
        <v>0</v>
      </c>
      <c r="G44" s="43"/>
      <c r="H44" s="154">
        <f>'Unit Data from Audit Worksheet'!I55</f>
        <v>0</v>
      </c>
      <c r="I44" s="20"/>
      <c r="J44" s="21">
        <v>5</v>
      </c>
      <c r="K44" s="152" t="s">
        <v>49</v>
      </c>
      <c r="L44" s="199">
        <f t="shared" si="5"/>
        <v>0</v>
      </c>
      <c r="P44" s="134"/>
      <c r="S44" s="16"/>
      <c r="T44" s="16"/>
      <c r="U44" s="16"/>
      <c r="V44" s="16"/>
      <c r="X44" s="369">
        <v>5</v>
      </c>
      <c r="Y44" s="187">
        <v>5</v>
      </c>
      <c r="Z44" s="16"/>
      <c r="AA44" s="258">
        <f t="shared" si="0"/>
        <v>0</v>
      </c>
      <c r="AB44" s="187">
        <f t="shared" si="1"/>
        <v>0</v>
      </c>
    </row>
    <row r="45" spans="1:28" ht="104.25" customHeight="1" x14ac:dyDescent="0.3">
      <c r="A45" s="146">
        <f>'Unit Data from Audit Worksheet'!A56</f>
        <v>380</v>
      </c>
      <c r="B45" s="156" t="str">
        <f>'Unit Data from Audit Worksheet'!C56</f>
        <v>General Fund-Balance Sheet</v>
      </c>
      <c r="C45" s="143" t="str">
        <f>'Unit Data from Audit Worksheet'!D56</f>
        <v>Total Deferred inflows not derived from cash receipts.  Deferred inflows on the face of the statements can include cash and non-cash.  You may have to refer to the note disclosure where the cash and non-cash is broken out.</v>
      </c>
      <c r="D45" s="86"/>
      <c r="E45" s="161">
        <f>'Unit Data from Audit Worksheet'!F56</f>
        <v>0</v>
      </c>
      <c r="F45" s="155">
        <f t="shared" si="6"/>
        <v>0</v>
      </c>
      <c r="G45" s="157"/>
      <c r="H45" s="154">
        <f>'Unit Data from Audit Worksheet'!I56</f>
        <v>0</v>
      </c>
      <c r="I45" s="20"/>
      <c r="J45" s="153">
        <v>380</v>
      </c>
      <c r="K45" s="152" t="s">
        <v>50</v>
      </c>
      <c r="L45" s="189">
        <f t="shared" si="5"/>
        <v>0</v>
      </c>
      <c r="P45" s="134"/>
      <c r="X45" s="369">
        <v>380</v>
      </c>
      <c r="Y45" s="187">
        <v>380</v>
      </c>
      <c r="AA45" s="258">
        <f t="shared" si="0"/>
        <v>0</v>
      </c>
      <c r="AB45" s="187">
        <f t="shared" si="1"/>
        <v>0</v>
      </c>
    </row>
    <row r="46" spans="1:28" ht="54.6" customHeight="1" x14ac:dyDescent="0.3">
      <c r="A46" s="146">
        <f>'Unit Data from Audit Worksheet'!A57</f>
        <v>391</v>
      </c>
      <c r="B46" s="156" t="str">
        <f>'Unit Data from Audit Worksheet'!C57</f>
        <v>General Fund-Balance Sheet</v>
      </c>
      <c r="C46" s="143" t="str">
        <f>'Unit Data from Audit Worksheet'!D57</f>
        <v xml:space="preserve">Fund balance, Restricted for Stabilization by State Statute </v>
      </c>
      <c r="D46" s="86"/>
      <c r="E46" s="161">
        <f>'Unit Data from Audit Worksheet'!F57</f>
        <v>0</v>
      </c>
      <c r="F46" s="155">
        <f t="shared" si="6"/>
        <v>0</v>
      </c>
      <c r="G46" s="157"/>
      <c r="H46" s="154">
        <f>'Unit Data from Audit Worksheet'!I57</f>
        <v>0</v>
      </c>
      <c r="I46" s="20"/>
      <c r="J46" s="153">
        <v>391</v>
      </c>
      <c r="K46" s="152" t="s">
        <v>100</v>
      </c>
      <c r="L46" s="189">
        <f t="shared" si="5"/>
        <v>0</v>
      </c>
      <c r="P46" s="134"/>
      <c r="X46" s="369">
        <v>391</v>
      </c>
      <c r="Y46" s="187">
        <v>391</v>
      </c>
      <c r="AA46" s="258">
        <f t="shared" si="0"/>
        <v>0</v>
      </c>
      <c r="AB46" s="187">
        <f t="shared" si="1"/>
        <v>0</v>
      </c>
    </row>
    <row r="47" spans="1:28" ht="44.4" customHeight="1" x14ac:dyDescent="0.3">
      <c r="A47" s="146">
        <f>'Unit Data from Audit Worksheet'!A58</f>
        <v>7</v>
      </c>
      <c r="B47" s="31" t="str">
        <f>'Unit Data from Audit Worksheet'!C58</f>
        <v>General Fund-Balance Sheet</v>
      </c>
      <c r="C47" s="198" t="str">
        <f>'Unit Data from Audit Worksheet'!D58</f>
        <v>Fund balance, Nonspendable-  inventory/prepaids/etc.</v>
      </c>
      <c r="D47" s="86"/>
      <c r="E47" s="93">
        <f>'Unit Data from Audit Worksheet'!F58</f>
        <v>0</v>
      </c>
      <c r="F47" s="19">
        <f t="shared" si="6"/>
        <v>0</v>
      </c>
      <c r="G47" s="43"/>
      <c r="H47" s="154">
        <f>'Unit Data from Audit Worksheet'!I58</f>
        <v>0</v>
      </c>
      <c r="I47" s="20"/>
      <c r="J47" s="21">
        <v>7</v>
      </c>
      <c r="K47" s="152" t="s">
        <v>101</v>
      </c>
      <c r="L47" s="199">
        <f t="shared" si="5"/>
        <v>0</v>
      </c>
      <c r="P47" s="134"/>
      <c r="X47" s="369">
        <v>7</v>
      </c>
      <c r="Y47" s="187">
        <v>7</v>
      </c>
      <c r="AA47" s="258">
        <f t="shared" si="0"/>
        <v>0</v>
      </c>
      <c r="AB47" s="187">
        <f t="shared" si="1"/>
        <v>0</v>
      </c>
    </row>
    <row r="48" spans="1:28" s="16" customFormat="1" ht="48.75" customHeight="1" x14ac:dyDescent="0.3">
      <c r="A48" s="470">
        <f>'Unit Data from Audit Worksheet'!A59</f>
        <v>645</v>
      </c>
      <c r="B48" s="165" t="str">
        <f>'Unit Data from Audit Worksheet'!C59</f>
        <v>General Fund-Balance Sheet</v>
      </c>
      <c r="C48" s="128" t="str">
        <f>'Unit Data from Audit Worksheet'!D59</f>
        <v>Fund balance, Assigned (total of all assigned components)</v>
      </c>
      <c r="D48" s="70"/>
      <c r="E48" s="164">
        <f>'Unit Data from Audit Worksheet'!F59</f>
        <v>0</v>
      </c>
      <c r="F48" s="150">
        <f>IF(L48&lt;0,"Error: Enter as a positive.",)</f>
        <v>0</v>
      </c>
      <c r="G48" s="140"/>
      <c r="H48" s="150">
        <f>'Unit Data from Audit Worksheet'!I59</f>
        <v>0</v>
      </c>
      <c r="I48" s="200"/>
      <c r="J48" s="149">
        <v>645</v>
      </c>
      <c r="K48" s="128" t="s">
        <v>251</v>
      </c>
      <c r="L48" s="201">
        <f t="shared" si="5"/>
        <v>0</v>
      </c>
      <c r="M48"/>
      <c r="N48" s="192"/>
      <c r="O48" s="192"/>
      <c r="P48" s="134"/>
      <c r="Q48" s="180"/>
      <c r="R48" s="2"/>
      <c r="S48" s="2"/>
      <c r="T48" s="2"/>
      <c r="U48" s="2"/>
      <c r="V48" s="2"/>
      <c r="W48" s="2"/>
      <c r="X48" s="369">
        <v>645</v>
      </c>
      <c r="Y48" s="187">
        <v>645</v>
      </c>
      <c r="Z48" s="2"/>
      <c r="AA48" s="258">
        <f t="shared" si="0"/>
        <v>0</v>
      </c>
      <c r="AB48" s="187">
        <f t="shared" si="1"/>
        <v>0</v>
      </c>
    </row>
    <row r="49" spans="1:28" s="16" customFormat="1" ht="45.75" customHeight="1" x14ac:dyDescent="0.3">
      <c r="A49" s="470">
        <f>'Unit Data from Audit Worksheet'!A60</f>
        <v>646</v>
      </c>
      <c r="B49" s="165" t="str">
        <f>'Unit Data from Audit Worksheet'!C60</f>
        <v>General Fund-Balance Sheet</v>
      </c>
      <c r="C49" s="128" t="str">
        <f>'Unit Data from Audit Worksheet'!D60</f>
        <v>Fund Balance, Unassigned</v>
      </c>
      <c r="D49" s="70"/>
      <c r="E49" s="164">
        <f>'Unit Data from Audit Worksheet'!F60</f>
        <v>0</v>
      </c>
      <c r="F49" s="150">
        <f>IF(L49&lt;0,"Error: Enter as a positive.",)</f>
        <v>0</v>
      </c>
      <c r="G49" s="140"/>
      <c r="H49" s="150">
        <f>'Unit Data from Audit Worksheet'!I60</f>
        <v>0</v>
      </c>
      <c r="I49" s="200"/>
      <c r="J49" s="149">
        <v>646</v>
      </c>
      <c r="K49" s="128" t="s">
        <v>252</v>
      </c>
      <c r="L49" s="201">
        <f t="shared" si="5"/>
        <v>0</v>
      </c>
      <c r="M49"/>
      <c r="N49" s="192"/>
      <c r="O49" s="192"/>
      <c r="P49" s="134"/>
      <c r="Q49" s="180"/>
      <c r="R49" s="2"/>
      <c r="S49" s="2"/>
      <c r="T49" s="2"/>
      <c r="U49" s="2"/>
      <c r="V49" s="2"/>
      <c r="W49" s="2"/>
      <c r="X49" s="369">
        <v>646</v>
      </c>
      <c r="Y49" s="187">
        <v>646</v>
      </c>
      <c r="Z49" s="2"/>
      <c r="AA49" s="258">
        <f t="shared" si="0"/>
        <v>0</v>
      </c>
      <c r="AB49" s="187">
        <f t="shared" si="1"/>
        <v>0</v>
      </c>
    </row>
    <row r="50" spans="1:28" ht="55.5" customHeight="1" x14ac:dyDescent="0.3">
      <c r="A50" s="539">
        <f>'Unit Data from Audit Worksheet'!A61</f>
        <v>9</v>
      </c>
      <c r="B50" s="71" t="str">
        <f>'Unit Data from Audit Worksheet'!C61</f>
        <v>General Fund-Balance Sheet</v>
      </c>
      <c r="C50" s="202" t="str">
        <f>'Unit Data from Audit Worksheet'!D61</f>
        <v>Total Fund balance (enter fund deficits as negative)</v>
      </c>
      <c r="D50" s="86"/>
      <c r="E50" s="92">
        <f>'Unit Data from Audit Worksheet'!F61</f>
        <v>0</v>
      </c>
      <c r="F50" s="72">
        <f>IF(L42-L43-L44-L45-L50=0,,"Error: Total assets less total liabilities do not equal Acct +379-4-5-380-9=0")</f>
        <v>0</v>
      </c>
      <c r="G50" s="73">
        <f>L42-L43-L44-L45-L50</f>
        <v>0</v>
      </c>
      <c r="H50" s="154">
        <f>'Unit Data from Audit Worksheet'!I61</f>
        <v>0</v>
      </c>
      <c r="I50" s="20"/>
      <c r="J50" s="74">
        <v>9</v>
      </c>
      <c r="K50" s="29" t="s">
        <v>103</v>
      </c>
      <c r="L50" s="199">
        <f t="shared" si="5"/>
        <v>0</v>
      </c>
      <c r="O50" s="196" t="e">
        <f>'Unit Data from Audit Worksheet'!E61</f>
        <v>#N/A</v>
      </c>
      <c r="P50" s="134"/>
      <c r="X50" s="369">
        <v>9</v>
      </c>
      <c r="Y50" s="187">
        <v>9</v>
      </c>
      <c r="AA50" s="258">
        <f t="shared" si="0"/>
        <v>0</v>
      </c>
      <c r="AB50" s="187">
        <f t="shared" si="1"/>
        <v>0</v>
      </c>
    </row>
    <row r="51" spans="1:28" s="16" customFormat="1" ht="73.5" customHeight="1" x14ac:dyDescent="0.3">
      <c r="A51" s="146">
        <f>'Unit Data from Audit Worksheet'!A62</f>
        <v>1052</v>
      </c>
      <c r="B51" s="156" t="str">
        <f>'Unit Data from Audit Worksheet'!C62</f>
        <v>General Fund-Rev, Exp. Change in Fund Balance</v>
      </c>
      <c r="C51" s="143" t="str">
        <f>'Unit Data from Audit Worksheet'!D62</f>
        <v>Mark to Market unrealized losses in the General Fund. (enter as a negative number)</v>
      </c>
      <c r="D51" s="86"/>
      <c r="E51" s="161">
        <f>'Unit Data from Audit Worksheet'!F62</f>
        <v>0</v>
      </c>
      <c r="F51" s="155"/>
      <c r="G51" s="157"/>
      <c r="H51" s="154"/>
      <c r="I51" s="20"/>
      <c r="J51" s="153">
        <v>1052</v>
      </c>
      <c r="K51" s="152" t="s">
        <v>728</v>
      </c>
      <c r="L51" s="195">
        <f t="shared" ref="L51:L95" si="7">IF(D51="",E51,D51)</f>
        <v>0</v>
      </c>
      <c r="M51"/>
      <c r="P51" s="134"/>
      <c r="Q51" s="180"/>
      <c r="R51" s="258"/>
      <c r="S51" s="258"/>
      <c r="T51" s="258"/>
      <c r="U51" s="258"/>
      <c r="V51" s="258"/>
      <c r="W51" s="258"/>
      <c r="X51" s="369"/>
      <c r="Y51" s="187"/>
      <c r="Z51" s="258"/>
      <c r="AA51" s="258">
        <f t="shared" si="0"/>
        <v>0</v>
      </c>
      <c r="AB51" s="187"/>
    </row>
    <row r="52" spans="1:28" s="16" customFormat="1" ht="73.5" customHeight="1" x14ac:dyDescent="0.3">
      <c r="A52" s="146">
        <f>'Unit Data from Audit Worksheet'!A64</f>
        <v>16</v>
      </c>
      <c r="B52" s="144" t="str">
        <f>'Unit Data from Audit Worksheet'!C64</f>
        <v>General Fund-Rev, Exp. Change in Fund Balance</v>
      </c>
      <c r="C52" s="144" t="str">
        <f>'Unit Data from Audit Worksheet'!D64</f>
        <v>Total revenues</v>
      </c>
      <c r="D52" s="86"/>
      <c r="E52" s="161">
        <f>'Unit Data from Audit Worksheet'!F64</f>
        <v>0</v>
      </c>
      <c r="F52" s="155"/>
      <c r="G52" s="157"/>
      <c r="H52" s="154"/>
      <c r="I52" s="20"/>
      <c r="J52" s="146">
        <v>16</v>
      </c>
      <c r="K52" s="144" t="s">
        <v>105</v>
      </c>
      <c r="L52" s="195">
        <f t="shared" si="7"/>
        <v>0</v>
      </c>
      <c r="M52"/>
      <c r="P52" s="134"/>
      <c r="Q52" s="180"/>
      <c r="R52" s="258"/>
      <c r="S52" s="258"/>
      <c r="T52" s="258"/>
      <c r="U52" s="258"/>
      <c r="V52" s="258"/>
      <c r="W52" s="258"/>
      <c r="X52" s="369"/>
      <c r="Y52" s="187"/>
      <c r="Z52" s="258"/>
      <c r="AA52" s="258"/>
      <c r="AB52" s="187"/>
    </row>
    <row r="53" spans="1:28" s="16" customFormat="1" ht="73.5" customHeight="1" x14ac:dyDescent="0.3">
      <c r="A53" s="146">
        <f>'Unit Data from Audit Worksheet'!A65</f>
        <v>532</v>
      </c>
      <c r="B53" s="144" t="str">
        <f>'Unit Data from Audit Worksheet'!C65</f>
        <v>General Fund-Rev, Exp. Change in Fund Balance</v>
      </c>
      <c r="C53" s="144" t="str">
        <f>'Unit Data from Audit Worksheet'!D65</f>
        <v xml:space="preserve">Total expenditures  
Exclude expenditures in the "other financing sources (uses)" section.
</v>
      </c>
      <c r="D53" s="86"/>
      <c r="E53" s="161">
        <f>'Unit Data from Audit Worksheet'!F65</f>
        <v>0</v>
      </c>
      <c r="F53" s="155"/>
      <c r="G53" s="157"/>
      <c r="H53" s="154"/>
      <c r="I53" s="20"/>
      <c r="J53" s="146">
        <v>532</v>
      </c>
      <c r="K53" s="144" t="s">
        <v>729</v>
      </c>
      <c r="L53" s="195">
        <f t="shared" si="7"/>
        <v>0</v>
      </c>
      <c r="M53"/>
      <c r="P53" s="134"/>
      <c r="Q53" s="180"/>
      <c r="R53" s="258"/>
      <c r="S53" s="258"/>
      <c r="T53" s="258"/>
      <c r="U53" s="258"/>
      <c r="V53" s="258"/>
      <c r="W53" s="258"/>
      <c r="X53" s="369"/>
      <c r="Y53" s="187"/>
      <c r="Z53" s="258"/>
      <c r="AA53" s="258"/>
      <c r="AB53" s="187"/>
    </row>
    <row r="54" spans="1:28" s="16" customFormat="1" ht="73.5" customHeight="1" x14ac:dyDescent="0.3">
      <c r="A54" s="146">
        <f>'Unit Data from Audit Worksheet'!A66</f>
        <v>17</v>
      </c>
      <c r="B54" s="144" t="str">
        <f>'Unit Data from Audit Worksheet'!C66</f>
        <v>General Fund-Rev, Exp. Change in Fund Balance</v>
      </c>
      <c r="C54" s="144" t="str">
        <f>'Unit Data from Audit Worksheet'!D66</f>
        <v>Total Transfers in    (Preference is that transfers-in  are not netted against transfers-out)</v>
      </c>
      <c r="D54" s="86"/>
      <c r="E54" s="161">
        <f>'Unit Data from Audit Worksheet'!F66</f>
        <v>0</v>
      </c>
      <c r="F54" s="155"/>
      <c r="G54" s="157"/>
      <c r="H54" s="154"/>
      <c r="I54" s="20"/>
      <c r="J54" s="146">
        <v>17</v>
      </c>
      <c r="K54" s="144" t="s">
        <v>729</v>
      </c>
      <c r="L54" s="195">
        <f t="shared" si="7"/>
        <v>0</v>
      </c>
      <c r="M54"/>
      <c r="P54" s="134"/>
      <c r="Q54" s="180"/>
      <c r="R54" s="258"/>
      <c r="S54" s="258"/>
      <c r="T54" s="258"/>
      <c r="U54" s="258"/>
      <c r="V54" s="258"/>
      <c r="W54" s="258"/>
      <c r="X54" s="369"/>
      <c r="Y54" s="187"/>
      <c r="Z54" s="258"/>
      <c r="AA54" s="258"/>
      <c r="AB54" s="187"/>
    </row>
    <row r="55" spans="1:28" s="16" customFormat="1" ht="73.5" customHeight="1" x14ac:dyDescent="0.3">
      <c r="A55" s="146">
        <f>'Unit Data from Audit Worksheet'!A67</f>
        <v>20</v>
      </c>
      <c r="B55" s="144" t="str">
        <f>'Unit Data from Audit Worksheet'!C67</f>
        <v>General Fund-Rev, Exp. Change in Fund Balance</v>
      </c>
      <c r="C55" s="144" t="str">
        <f>'Unit Data from Audit Worksheet'!D67</f>
        <v>Total Transfers out    (Preference is that transfers-in  are not netted against transfers-out)</v>
      </c>
      <c r="D55" s="86"/>
      <c r="E55" s="161">
        <f>'Unit Data from Audit Worksheet'!F67</f>
        <v>0</v>
      </c>
      <c r="F55" s="155"/>
      <c r="G55" s="157"/>
      <c r="H55" s="154"/>
      <c r="I55" s="20"/>
      <c r="J55" s="146">
        <v>20</v>
      </c>
      <c r="K55" s="144" t="s">
        <v>108</v>
      </c>
      <c r="L55" s="195">
        <f t="shared" si="7"/>
        <v>0</v>
      </c>
      <c r="M55"/>
      <c r="P55" s="134"/>
      <c r="Q55" s="180"/>
      <c r="R55" s="258"/>
      <c r="S55" s="258"/>
      <c r="T55" s="258"/>
      <c r="U55" s="258"/>
      <c r="V55" s="258"/>
      <c r="W55" s="258"/>
      <c r="X55" s="369"/>
      <c r="Y55" s="187"/>
      <c r="Z55" s="258"/>
      <c r="AA55" s="258"/>
      <c r="AB55" s="187"/>
    </row>
    <row r="56" spans="1:28" s="16" customFormat="1" ht="73.5" customHeight="1" x14ac:dyDescent="0.3">
      <c r="A56" s="146">
        <f>'Unit Data from Audit Worksheet'!A68</f>
        <v>533</v>
      </c>
      <c r="B56" s="144" t="str">
        <f>'Unit Data from Audit Worksheet'!C68</f>
        <v>General Fund-Rev, Exp. Change in Fund Balance</v>
      </c>
      <c r="C56" s="144" t="str">
        <f>'Unit Data from Audit Worksheet'!D68</f>
        <v>Total Proceeds from all long-term debt issuances 
Exclude proceeds from refundings</v>
      </c>
      <c r="D56" s="86"/>
      <c r="E56" s="161">
        <f>'Unit Data from Audit Worksheet'!F68</f>
        <v>0</v>
      </c>
      <c r="F56" s="155"/>
      <c r="G56" s="157"/>
      <c r="H56" s="154"/>
      <c r="I56" s="20"/>
      <c r="J56" s="146">
        <v>533</v>
      </c>
      <c r="K56" s="144" t="s">
        <v>730</v>
      </c>
      <c r="L56" s="195">
        <f t="shared" si="7"/>
        <v>0</v>
      </c>
      <c r="M56"/>
      <c r="P56" s="134"/>
      <c r="Q56" s="180"/>
      <c r="R56" s="258"/>
      <c r="S56" s="258"/>
      <c r="T56" s="258"/>
      <c r="U56" s="258"/>
      <c r="V56" s="258"/>
      <c r="W56" s="258"/>
      <c r="X56" s="369"/>
      <c r="Y56" s="187"/>
      <c r="Z56" s="258"/>
      <c r="AA56" s="258"/>
      <c r="AB56" s="187"/>
    </row>
    <row r="57" spans="1:28" s="16" customFormat="1" ht="73.5" customHeight="1" x14ac:dyDescent="0.3">
      <c r="A57" s="146">
        <f>'Unit Data from Audit Worksheet'!A69</f>
        <v>508</v>
      </c>
      <c r="B57" s="144" t="str">
        <f>'Unit Data from Audit Worksheet'!C69</f>
        <v>General Fund-Rev, Exp. Change in Fund Balance</v>
      </c>
      <c r="C57" s="144" t="str">
        <f>'Unit Data from Audit Worksheet'!D69</f>
        <v>Debt Refunding - Net refunding proceeds against debt payoff and if positive place results on this line.</v>
      </c>
      <c r="D57" s="86"/>
      <c r="E57" s="161">
        <f>'Unit Data from Audit Worksheet'!F69</f>
        <v>0</v>
      </c>
      <c r="F57" s="155"/>
      <c r="G57" s="157"/>
      <c r="H57" s="154"/>
      <c r="I57" s="20"/>
      <c r="J57" s="146">
        <v>508</v>
      </c>
      <c r="K57" s="144" t="s">
        <v>110</v>
      </c>
      <c r="L57" s="195">
        <f t="shared" si="7"/>
        <v>0</v>
      </c>
      <c r="M57"/>
      <c r="P57" s="134"/>
      <c r="Q57" s="180"/>
      <c r="R57" s="258"/>
      <c r="S57" s="258"/>
      <c r="T57" s="258"/>
      <c r="U57" s="258"/>
      <c r="V57" s="258"/>
      <c r="W57" s="258"/>
      <c r="X57" s="369"/>
      <c r="Y57" s="187"/>
      <c r="Z57" s="258"/>
      <c r="AA57" s="258"/>
      <c r="AB57" s="187"/>
    </row>
    <row r="58" spans="1:28" s="16" customFormat="1" ht="73.5" customHeight="1" x14ac:dyDescent="0.3">
      <c r="A58" s="146">
        <f>'Unit Data from Audit Worksheet'!A70</f>
        <v>509</v>
      </c>
      <c r="B58" s="144" t="str">
        <f>'Unit Data from Audit Worksheet'!C70</f>
        <v>General Fund-Rev, Exp. Change in Fund Balance</v>
      </c>
      <c r="C58" s="144" t="str">
        <f>'Unit Data from Audit Worksheet'!D70</f>
        <v>Debt Refunding - Net refunding proceeds against debt payoff and if negative place results on this line.</v>
      </c>
      <c r="D58" s="86"/>
      <c r="E58" s="161">
        <f>'Unit Data from Audit Worksheet'!F70</f>
        <v>0</v>
      </c>
      <c r="F58" s="155"/>
      <c r="G58" s="157"/>
      <c r="H58" s="154"/>
      <c r="I58" s="20"/>
      <c r="J58" s="146">
        <v>509</v>
      </c>
      <c r="K58" s="548" t="s">
        <v>111</v>
      </c>
      <c r="L58" s="195">
        <f t="shared" si="7"/>
        <v>0</v>
      </c>
      <c r="M58"/>
      <c r="P58" s="134"/>
      <c r="Q58" s="180"/>
      <c r="R58" s="258"/>
      <c r="S58" s="258"/>
      <c r="T58" s="258"/>
      <c r="U58" s="258"/>
      <c r="V58" s="258"/>
      <c r="W58" s="258"/>
      <c r="X58" s="369"/>
      <c r="Y58" s="187"/>
      <c r="Z58" s="258"/>
      <c r="AA58" s="258"/>
      <c r="AB58" s="187"/>
    </row>
    <row r="59" spans="1:28" s="16" customFormat="1" ht="73.5" customHeight="1" x14ac:dyDescent="0.3">
      <c r="A59" s="146">
        <f>'Unit Data from Audit Worksheet'!A71</f>
        <v>22</v>
      </c>
      <c r="B59" s="144" t="str">
        <f>'Unit Data from Audit Worksheet'!C71</f>
        <v>General Fund-Rev, Exp. Change in Fund Balance</v>
      </c>
      <c r="C59" s="144" t="str">
        <f>'Unit Data from Audit Worksheet'!D71</f>
        <v xml:space="preserve">All other items on this statement that were not included in total revenues, total expenditures, transfers in or out, or proceeds from long-term debt above.  </v>
      </c>
      <c r="D59" s="86"/>
      <c r="E59" s="161">
        <f>'Unit Data from Audit Worksheet'!F71</f>
        <v>0</v>
      </c>
      <c r="F59" s="155"/>
      <c r="G59" s="157"/>
      <c r="H59" s="154"/>
      <c r="I59" s="20"/>
      <c r="J59" s="146">
        <v>22</v>
      </c>
      <c r="K59" s="549" t="s">
        <v>109</v>
      </c>
      <c r="L59" s="195">
        <f t="shared" si="7"/>
        <v>0</v>
      </c>
      <c r="M59"/>
      <c r="P59" s="134"/>
      <c r="Q59" s="180"/>
      <c r="R59" s="258"/>
      <c r="S59" s="258"/>
      <c r="T59" s="258"/>
      <c r="U59" s="258"/>
      <c r="V59" s="258"/>
      <c r="W59" s="258"/>
      <c r="X59" s="369"/>
      <c r="Y59" s="187"/>
      <c r="Z59" s="258"/>
      <c r="AA59" s="258"/>
      <c r="AB59" s="187"/>
    </row>
    <row r="60" spans="1:28" s="16" customFormat="1" ht="73.5" customHeight="1" x14ac:dyDescent="0.3">
      <c r="A60" s="146">
        <f>'Unit Data from Audit Worksheet'!A72</f>
        <v>23</v>
      </c>
      <c r="B60" s="144" t="str">
        <f>'Unit Data from Audit Worksheet'!C72</f>
        <v>General Fund-Rev, Exp. Change in Fund Balance</v>
      </c>
      <c r="C60" s="144" t="str">
        <f>'Unit Data from Audit Worksheet'!D72</f>
        <v>Change in fund balance - (Increase in Fund balance is recorded as a positive and a decrease in fund balance is recorded as a negative)</v>
      </c>
      <c r="D60" s="86"/>
      <c r="E60" s="161">
        <f>'Unit Data from Audit Worksheet'!F72</f>
        <v>0</v>
      </c>
      <c r="F60" s="155"/>
      <c r="G60" s="157"/>
      <c r="H60" s="154"/>
      <c r="I60" s="20"/>
      <c r="J60" s="146">
        <v>23</v>
      </c>
      <c r="K60" s="549" t="s">
        <v>112</v>
      </c>
      <c r="L60" s="195">
        <f t="shared" si="7"/>
        <v>0</v>
      </c>
      <c r="M60"/>
      <c r="P60" s="134"/>
      <c r="Q60" s="180"/>
      <c r="R60" s="258"/>
      <c r="S60" s="258"/>
      <c r="T60" s="258"/>
      <c r="U60" s="258"/>
      <c r="V60" s="258"/>
      <c r="W60" s="258"/>
      <c r="X60" s="369"/>
      <c r="Y60" s="187"/>
      <c r="Z60" s="258"/>
      <c r="AA60" s="258"/>
      <c r="AB60" s="187"/>
    </row>
    <row r="61" spans="1:28" s="16" customFormat="1" ht="119.4" customHeight="1" x14ac:dyDescent="0.3">
      <c r="A61" s="146">
        <f>'Unit Data from Audit Worksheet'!A73</f>
        <v>507</v>
      </c>
      <c r="B61" s="144" t="str">
        <f>'Unit Data from Audit Worksheet'!C73</f>
        <v>General Fund-Rev, Exp. Change in Fund Balance</v>
      </c>
      <c r="C61" s="144" t="str">
        <f>'Unit Data from Audit Worksheet'!D73</f>
        <v>Any adjustment to beginning fund balance including rounding, prior period adjustments and restatements.   (Amounts that increase fund balance are recorded as positive and amounts that decrease fund balance are recorded as negative)</v>
      </c>
      <c r="D61" s="86"/>
      <c r="E61" s="161">
        <f>'Unit Data from Audit Worksheet'!F73</f>
        <v>0</v>
      </c>
      <c r="F61" s="155"/>
      <c r="G61" s="157"/>
      <c r="H61" s="154"/>
      <c r="I61" s="20"/>
      <c r="J61" s="146">
        <v>507</v>
      </c>
      <c r="K61" s="549" t="s">
        <v>731</v>
      </c>
      <c r="L61" s="195">
        <f t="shared" si="7"/>
        <v>0</v>
      </c>
      <c r="M61"/>
      <c r="P61" s="134"/>
      <c r="Q61" s="180"/>
      <c r="R61" s="258"/>
      <c r="S61" s="258"/>
      <c r="T61" s="258"/>
      <c r="U61" s="258"/>
      <c r="V61" s="258"/>
      <c r="W61" s="258"/>
      <c r="X61" s="369"/>
      <c r="Y61" s="187"/>
      <c r="Z61" s="258"/>
      <c r="AA61" s="258"/>
      <c r="AB61" s="187"/>
    </row>
    <row r="62" spans="1:28" s="16" customFormat="1" ht="73.5" customHeight="1" x14ac:dyDescent="0.3">
      <c r="A62" s="146">
        <f>'Unit Data from Audit Worksheet'!A74</f>
        <v>647</v>
      </c>
      <c r="B62" s="144" t="str">
        <f>'Unit Data from Audit Worksheet'!C74</f>
        <v>Debt Service Fund</v>
      </c>
      <c r="C62" s="144" t="str">
        <f>'Unit Data from Audit Worksheet'!D74</f>
        <v>Please enter the Total Fund Balance for any Debt Service Funds</v>
      </c>
      <c r="D62" s="86"/>
      <c r="E62" s="161">
        <f>'Unit Data from Audit Worksheet'!F74</f>
        <v>0</v>
      </c>
      <c r="F62" s="155"/>
      <c r="G62" s="157"/>
      <c r="H62" s="154"/>
      <c r="I62" s="20"/>
      <c r="J62" s="146">
        <v>647</v>
      </c>
      <c r="K62" s="549" t="s">
        <v>734</v>
      </c>
      <c r="L62" s="195">
        <f t="shared" si="7"/>
        <v>0</v>
      </c>
      <c r="M62"/>
      <c r="P62" s="134"/>
      <c r="Q62" s="180"/>
      <c r="R62" s="258"/>
      <c r="S62" s="258"/>
      <c r="T62" s="258"/>
      <c r="U62" s="258"/>
      <c r="V62" s="258"/>
      <c r="W62" s="258"/>
      <c r="X62" s="369"/>
      <c r="Y62" s="187"/>
      <c r="Z62" s="258"/>
      <c r="AA62" s="258"/>
      <c r="AB62" s="187"/>
    </row>
    <row r="63" spans="1:28" s="16" customFormat="1" ht="73.5" customHeight="1" x14ac:dyDescent="0.3">
      <c r="A63" s="455">
        <f>'Unit Data from Audit Worksheet'!A76</f>
        <v>534</v>
      </c>
      <c r="B63" s="454" t="str">
        <f>'Unit Data from Audit Worksheet'!C76</f>
        <v>Net Position</v>
      </c>
      <c r="C63" s="454" t="str">
        <f>'Unit Data from Audit Worksheet'!D76</f>
        <v>Combined Totals of all Proprietary Funds - Amount of Inventories and Prepaids in current assets</v>
      </c>
      <c r="D63" s="86"/>
      <c r="E63" s="161">
        <f>'Unit Data from Audit Worksheet'!F76</f>
        <v>0</v>
      </c>
      <c r="F63" s="155"/>
      <c r="G63" s="157"/>
      <c r="H63" s="154"/>
      <c r="I63" s="20"/>
      <c r="J63" s="455">
        <v>534</v>
      </c>
      <c r="K63" s="548" t="s">
        <v>447</v>
      </c>
      <c r="L63" s="195">
        <f t="shared" si="7"/>
        <v>0</v>
      </c>
      <c r="M63"/>
      <c r="P63" s="134"/>
      <c r="Q63" s="180"/>
      <c r="R63" s="258"/>
      <c r="S63" s="258"/>
      <c r="T63" s="258"/>
      <c r="U63" s="258"/>
      <c r="V63" s="258"/>
      <c r="W63" s="258"/>
      <c r="X63" s="369"/>
      <c r="Y63" s="187"/>
      <c r="Z63" s="258"/>
      <c r="AA63" s="258"/>
      <c r="AB63" s="187"/>
    </row>
    <row r="64" spans="1:28" s="16" customFormat="1" ht="73.5" customHeight="1" x14ac:dyDescent="0.3">
      <c r="A64" s="455">
        <f>'Unit Data from Audit Worksheet'!A77</f>
        <v>13</v>
      </c>
      <c r="B64" s="454" t="str">
        <f>'Unit Data from Audit Worksheet'!C77</f>
        <v>Combined Proprietary Funds - Net Position</v>
      </c>
      <c r="C64" s="454" t="str">
        <f>'Unit Data from Audit Worksheet'!D77</f>
        <v>Comb-Proprietary Funds-Current Assets 
Exclude: any restricted assets
                  deferred outflows</v>
      </c>
      <c r="D64" s="86"/>
      <c r="E64" s="161">
        <f>'Unit Data from Audit Worksheet'!F77</f>
        <v>0</v>
      </c>
      <c r="F64" s="155"/>
      <c r="G64" s="157"/>
      <c r="H64" s="154"/>
      <c r="I64" s="20"/>
      <c r="J64" s="153">
        <v>13</v>
      </c>
      <c r="K64" s="548" t="s">
        <v>735</v>
      </c>
      <c r="L64" s="195">
        <f t="shared" si="7"/>
        <v>0</v>
      </c>
      <c r="M64"/>
      <c r="P64" s="134"/>
      <c r="Q64" s="180"/>
      <c r="R64" s="258"/>
      <c r="S64" s="258"/>
      <c r="T64" s="258"/>
      <c r="U64" s="258"/>
      <c r="V64" s="258"/>
      <c r="W64" s="258"/>
      <c r="X64" s="369"/>
      <c r="Y64" s="187"/>
      <c r="Z64" s="258"/>
      <c r="AA64" s="258"/>
      <c r="AB64" s="187"/>
    </row>
    <row r="65" spans="1:28" s="16" customFormat="1" ht="198.6" customHeight="1" x14ac:dyDescent="0.3">
      <c r="A65" s="455">
        <f>'Unit Data from Audit Worksheet'!A78</f>
        <v>14</v>
      </c>
      <c r="B65" s="454" t="str">
        <f>'Unit Data from Audit Worksheet'!C78</f>
        <v>Combined Proprietary Funds - Net Position</v>
      </c>
      <c r="C65" s="454" t="str">
        <f>'Unit Data from Audit Worksheet'!D78</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65" s="86"/>
      <c r="E65" s="161">
        <f>'Unit Data from Audit Worksheet'!F78</f>
        <v>0</v>
      </c>
      <c r="F65" s="155"/>
      <c r="G65" s="157"/>
      <c r="H65" s="154"/>
      <c r="I65" s="20"/>
      <c r="J65" s="153">
        <v>14</v>
      </c>
      <c r="K65" s="330" t="s">
        <v>594</v>
      </c>
      <c r="L65" s="195">
        <f t="shared" si="7"/>
        <v>0</v>
      </c>
      <c r="M65"/>
      <c r="P65" s="134"/>
      <c r="Q65" s="180"/>
      <c r="R65" s="258"/>
      <c r="S65" s="258"/>
      <c r="T65" s="258"/>
      <c r="U65" s="258"/>
      <c r="V65" s="258"/>
      <c r="W65" s="258"/>
      <c r="X65" s="369"/>
      <c r="Y65" s="187"/>
      <c r="Z65" s="258"/>
      <c r="AA65" s="258"/>
      <c r="AB65" s="187"/>
    </row>
    <row r="66" spans="1:28" s="16" customFormat="1" ht="73.5" customHeight="1" x14ac:dyDescent="0.3">
      <c r="A66" s="455">
        <f>'Unit Data from Audit Worksheet'!A79</f>
        <v>32</v>
      </c>
      <c r="B66" s="454" t="str">
        <f>'Unit Data from Audit Worksheet'!C79</f>
        <v>Combined Totals of all Proprietary Funds - Revenue, Expenses, Changes in Net Position</v>
      </c>
      <c r="C66" s="454" t="str">
        <f>'Unit Data from Audit Worksheet'!D79</f>
        <v>Combined Totals of all proprietary Funds - Depreciation &amp; Amortization Expense</v>
      </c>
      <c r="D66" s="86"/>
      <c r="E66" s="161">
        <f>'Unit Data from Audit Worksheet'!F79</f>
        <v>0</v>
      </c>
      <c r="F66" s="155"/>
      <c r="G66" s="157"/>
      <c r="H66" s="154"/>
      <c r="I66" s="20"/>
      <c r="J66" s="153">
        <v>32</v>
      </c>
      <c r="K66" s="550" t="s">
        <v>596</v>
      </c>
      <c r="L66" s="195">
        <f t="shared" si="7"/>
        <v>0</v>
      </c>
      <c r="M66"/>
      <c r="P66" s="134"/>
      <c r="Q66" s="180"/>
      <c r="R66" s="258"/>
      <c r="S66" s="258"/>
      <c r="T66" s="258"/>
      <c r="U66" s="258"/>
      <c r="V66" s="258"/>
      <c r="W66" s="258"/>
      <c r="X66" s="369"/>
      <c r="Y66" s="187"/>
      <c r="Z66" s="258"/>
      <c r="AA66" s="258"/>
      <c r="AB66" s="187"/>
    </row>
    <row r="67" spans="1:28" s="16" customFormat="1" ht="94.2" customHeight="1" x14ac:dyDescent="0.3">
      <c r="A67" s="455">
        <f>'Unit Data from Audit Worksheet'!A80</f>
        <v>31</v>
      </c>
      <c r="B67" s="454" t="str">
        <f>'Unit Data from Audit Worksheet'!C80</f>
        <v>Combined Totals of all Proprietary Funds - Revenue, Expenses, Changes in Net Position</v>
      </c>
      <c r="C67" s="454" t="str">
        <f>'Unit Data from Audit Worksheet'!D80</f>
        <v>Combined Totals of all Proprietary Funds - Change in net position - (increase in net position is recorded as a positive and a decrease in net position is recorded as a negative)</v>
      </c>
      <c r="D67" s="86"/>
      <c r="E67" s="161">
        <f>'Unit Data from Audit Worksheet'!F80</f>
        <v>0</v>
      </c>
      <c r="F67" s="155"/>
      <c r="G67" s="157"/>
      <c r="H67" s="154"/>
      <c r="I67" s="20"/>
      <c r="J67" s="153">
        <v>31</v>
      </c>
      <c r="K67" s="548" t="s">
        <v>597</v>
      </c>
      <c r="L67" s="195">
        <f t="shared" si="7"/>
        <v>0</v>
      </c>
      <c r="M67"/>
      <c r="P67" s="134"/>
      <c r="Q67" s="180"/>
      <c r="R67" s="258"/>
      <c r="S67" s="258"/>
      <c r="T67" s="258"/>
      <c r="U67" s="258"/>
      <c r="V67" s="258"/>
      <c r="W67" s="258"/>
      <c r="X67" s="369"/>
      <c r="Y67" s="187"/>
      <c r="Z67" s="258"/>
      <c r="AA67" s="258"/>
      <c r="AB67" s="187"/>
    </row>
    <row r="68" spans="1:28" s="16" customFormat="1" ht="73.5" customHeight="1" x14ac:dyDescent="0.3">
      <c r="A68" s="455">
        <f>'Unit Data from Audit Worksheet'!A81</f>
        <v>193</v>
      </c>
      <c r="B68" s="454" t="str">
        <f>'Unit Data from Audit Worksheet'!C81</f>
        <v>Combined Proprietary Funds - Change in Cash Flow Statement</v>
      </c>
      <c r="C68" s="454" t="str">
        <f>'Unit Data from Audit Worksheet'!D81</f>
        <v>Combined Totals of all Proprietary Funds - Capital Contributions</v>
      </c>
      <c r="D68" s="86"/>
      <c r="E68" s="161">
        <f>'Unit Data from Audit Worksheet'!F81</f>
        <v>0</v>
      </c>
      <c r="F68" s="155"/>
      <c r="G68" s="157"/>
      <c r="H68" s="154"/>
      <c r="I68" s="20"/>
      <c r="J68" s="153">
        <v>193</v>
      </c>
      <c r="K68" s="550" t="s">
        <v>186</v>
      </c>
      <c r="L68" s="195">
        <f t="shared" si="7"/>
        <v>0</v>
      </c>
      <c r="M68"/>
      <c r="P68" s="134"/>
      <c r="Q68" s="180"/>
      <c r="R68" s="258"/>
      <c r="S68" s="258"/>
      <c r="T68" s="258"/>
      <c r="U68" s="258"/>
      <c r="V68" s="258"/>
      <c r="W68" s="258"/>
      <c r="X68" s="369"/>
      <c r="Y68" s="187"/>
      <c r="Z68" s="258"/>
      <c r="AA68" s="258"/>
      <c r="AB68" s="187"/>
    </row>
    <row r="69" spans="1:28" s="16" customFormat="1" ht="73.5" customHeight="1" x14ac:dyDescent="0.3">
      <c r="A69" s="455">
        <f>'Unit Data from Audit Worksheet'!A82</f>
        <v>33</v>
      </c>
      <c r="B69" s="454" t="str">
        <f>'Unit Data from Audit Worksheet'!C82</f>
        <v>Combined Proprietary Funds - Change in Cash Flow Statement</v>
      </c>
      <c r="C69" s="454" t="str">
        <f>'Unit Data from Audit Worksheet'!D82</f>
        <v>Combined Totals of all Proprietary Funds - Cash Flow from Operating</v>
      </c>
      <c r="D69" s="86"/>
      <c r="E69" s="161">
        <f>'Unit Data from Audit Worksheet'!F82</f>
        <v>0</v>
      </c>
      <c r="F69" s="155"/>
      <c r="G69" s="157"/>
      <c r="H69" s="154"/>
      <c r="I69" s="20"/>
      <c r="J69" s="153">
        <v>33</v>
      </c>
      <c r="K69" s="548" t="s">
        <v>185</v>
      </c>
      <c r="L69" s="195">
        <f t="shared" si="7"/>
        <v>0</v>
      </c>
      <c r="M69"/>
      <c r="P69" s="134"/>
      <c r="Q69" s="180"/>
      <c r="R69" s="258"/>
      <c r="S69" s="258"/>
      <c r="T69" s="258"/>
      <c r="U69" s="258"/>
      <c r="V69" s="258"/>
      <c r="W69" s="258"/>
      <c r="X69" s="369"/>
      <c r="Y69" s="187"/>
      <c r="Z69" s="258"/>
      <c r="AA69" s="258"/>
      <c r="AB69" s="187"/>
    </row>
    <row r="70" spans="1:28" s="16" customFormat="1" ht="73.5" customHeight="1" x14ac:dyDescent="0.3">
      <c r="A70" s="146">
        <f>'Unit Data from Audit Worksheet'!A84</f>
        <v>512</v>
      </c>
      <c r="B70" s="156" t="str">
        <f>'Unit Data from Audit Worksheet'!C84</f>
        <v>Fiduciary Statements</v>
      </c>
      <c r="C70" s="143" t="str">
        <f>'Unit Data from Audit Worksheet'!D84</f>
        <v>Cash and investments.  
Include:  unrestricted and restricted.  
                   cash and investments held 
                   by a third party</v>
      </c>
      <c r="D70" s="86"/>
      <c r="E70" s="161">
        <f>'Unit Data from Audit Worksheet'!F84</f>
        <v>0</v>
      </c>
      <c r="F70" s="155"/>
      <c r="G70" s="157"/>
      <c r="H70" s="154"/>
      <c r="I70" s="20"/>
      <c r="J70" s="153">
        <v>512</v>
      </c>
      <c r="K70" s="152" t="s">
        <v>147</v>
      </c>
      <c r="L70" s="195">
        <f t="shared" si="7"/>
        <v>0</v>
      </c>
      <c r="M70"/>
      <c r="P70" s="134"/>
      <c r="Q70" s="180"/>
      <c r="R70" s="258"/>
      <c r="S70" s="258"/>
      <c r="T70" s="258"/>
      <c r="U70" s="258"/>
      <c r="V70" s="258"/>
      <c r="W70" s="258"/>
      <c r="X70" s="369"/>
      <c r="Y70" s="187"/>
      <c r="Z70" s="258"/>
      <c r="AA70" s="258"/>
      <c r="AB70" s="187"/>
    </row>
    <row r="71" spans="1:28" ht="127.8" customHeight="1" x14ac:dyDescent="0.3">
      <c r="A71" s="146">
        <f>'Unit Data from Audit Worksheet'!A86</f>
        <v>622</v>
      </c>
      <c r="B71" s="156" t="str">
        <f>'Unit Data from Audit Worksheet'!C86</f>
        <v>FS., Pension note or RSI</v>
      </c>
      <c r="C71" s="156" t="str">
        <f>'Unit Data from Audit Worksheet'!D86</f>
        <v xml:space="preserve">Unit's Share of Net Pension Liability ($s)
- unit of government is a participating employer in the State's TSERS (Teachers' and State Employees' Retirement System) or the LGERS (Local Governmental Employees' Retirement System).  </v>
      </c>
      <c r="D71" s="160"/>
      <c r="E71" s="161">
        <f>'Unit Data from Audit Worksheet'!F86</f>
        <v>0</v>
      </c>
      <c r="F71" s="155"/>
      <c r="G71" s="157"/>
      <c r="H71" s="154"/>
      <c r="I71" s="20"/>
      <c r="J71" s="153">
        <v>622</v>
      </c>
      <c r="K71" s="158" t="s">
        <v>237</v>
      </c>
      <c r="L71" s="195">
        <f t="shared" si="7"/>
        <v>0</v>
      </c>
      <c r="P71" s="134"/>
      <c r="X71" s="369">
        <v>82</v>
      </c>
      <c r="Y71" s="187">
        <v>82</v>
      </c>
      <c r="AA71" s="258" t="e">
        <f>#REF!-#REF!</f>
        <v>#REF!</v>
      </c>
      <c r="AB71" s="187" t="e">
        <f>E71-#REF!</f>
        <v>#REF!</v>
      </c>
    </row>
    <row r="72" spans="1:28" ht="137.4" customHeight="1" x14ac:dyDescent="0.3">
      <c r="A72" s="146">
        <f>'Unit Data from Audit Worksheet'!A87</f>
        <v>577</v>
      </c>
      <c r="B72" s="156" t="str">
        <f>'Unit Data from Audit Worksheet'!C87</f>
        <v>Pension Notes</v>
      </c>
      <c r="C72" s="156" t="str">
        <f>'Unit Data from Audit Worksheet'!D87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72" s="160"/>
      <c r="E72" s="161">
        <f>'Unit Data from Audit Worksheet'!F87</f>
        <v>0</v>
      </c>
      <c r="F72" s="155"/>
      <c r="G72" s="157"/>
      <c r="H72" s="154"/>
      <c r="I72" s="20"/>
      <c r="J72" s="153">
        <v>577</v>
      </c>
      <c r="K72" s="158" t="s">
        <v>220</v>
      </c>
      <c r="L72" s="195">
        <f t="shared" si="7"/>
        <v>0</v>
      </c>
      <c r="P72" s="134"/>
      <c r="X72" s="369">
        <v>359</v>
      </c>
      <c r="Y72" s="187">
        <v>359</v>
      </c>
      <c r="AA72" s="258" t="e">
        <f>#REF!-#REF!</f>
        <v>#REF!</v>
      </c>
      <c r="AB72" s="187" t="e">
        <f>E72-#REF!</f>
        <v>#REF!</v>
      </c>
    </row>
    <row r="73" spans="1:28" s="16" customFormat="1" ht="127.5" customHeight="1" x14ac:dyDescent="0.3">
      <c r="A73" s="542">
        <f>'Unit Data from Audit Worksheet'!A89</f>
        <v>547</v>
      </c>
      <c r="B73" s="156" t="str">
        <f>'Unit Data from Audit Worksheet'!C89</f>
        <v>OPEB Note</v>
      </c>
      <c r="C73" s="156" t="str">
        <f>'Unit Data from Audit Worksheet'!D89</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73" s="58"/>
      <c r="E73" s="161">
        <f>'Unit Data from Audit Worksheet'!F89</f>
        <v>0</v>
      </c>
      <c r="F73" s="155"/>
      <c r="G73" s="157"/>
      <c r="H73" s="60">
        <f>ROUND(IFERROR((#REF!/#REF!)*100,0),1)</f>
        <v>0</v>
      </c>
      <c r="I73" s="20"/>
      <c r="J73" s="153">
        <v>547</v>
      </c>
      <c r="K73" s="210" t="s">
        <v>192</v>
      </c>
      <c r="L73" s="195">
        <f t="shared" si="7"/>
        <v>0</v>
      </c>
      <c r="M73"/>
      <c r="P73" s="135"/>
      <c r="Q73" s="180"/>
      <c r="R73" s="2"/>
      <c r="S73" s="2"/>
      <c r="T73" s="2"/>
      <c r="U73" s="2"/>
      <c r="V73" s="2"/>
      <c r="W73" s="2"/>
      <c r="X73" s="369">
        <v>547</v>
      </c>
      <c r="Y73" s="187">
        <v>547</v>
      </c>
      <c r="Z73" s="2"/>
      <c r="AA73" s="258">
        <f t="shared" ref="AA73:AA81" si="8">A73-J73</f>
        <v>0</v>
      </c>
      <c r="AB73" s="187">
        <f>E75-L73</f>
        <v>0</v>
      </c>
    </row>
    <row r="74" spans="1:28" s="16" customFormat="1" ht="99" customHeight="1" x14ac:dyDescent="0.3">
      <c r="A74" s="146">
        <f>'Unit Data from Audit Worksheet'!A90</f>
        <v>659</v>
      </c>
      <c r="B74" s="156" t="str">
        <f>'Unit Data from Audit Worksheet'!C90</f>
        <v>OPEB
 Note or RSI</v>
      </c>
      <c r="C74" s="143" t="str">
        <f>'Unit Data from Audit Worksheet'!D90</f>
        <v>Total OPEB benefits - total OPEB liability
If you do not provide benefit, please enter 0</v>
      </c>
      <c r="D74" s="58"/>
      <c r="E74" s="161">
        <f>'Unit Data from Audit Worksheet'!F90</f>
        <v>0</v>
      </c>
      <c r="F74" s="155"/>
      <c r="G74" s="211" t="s">
        <v>732</v>
      </c>
      <c r="H74" s="154"/>
      <c r="I74" s="20"/>
      <c r="J74" s="146">
        <v>659</v>
      </c>
      <c r="K74" s="145" t="s">
        <v>272</v>
      </c>
      <c r="L74" s="195">
        <f t="shared" si="7"/>
        <v>0</v>
      </c>
      <c r="M74"/>
      <c r="P74" s="135"/>
      <c r="Q74" s="180"/>
      <c r="R74" s="2"/>
      <c r="S74" s="2"/>
      <c r="T74" s="2"/>
      <c r="U74" s="2"/>
      <c r="V74" s="2"/>
      <c r="W74" s="2"/>
      <c r="X74" s="369">
        <v>659</v>
      </c>
      <c r="Y74" s="187">
        <v>659</v>
      </c>
      <c r="Z74" s="2"/>
      <c r="AA74" s="258">
        <f t="shared" si="8"/>
        <v>0</v>
      </c>
      <c r="AB74" s="187">
        <f>E76-L74</f>
        <v>0</v>
      </c>
    </row>
    <row r="75" spans="1:28" s="16" customFormat="1" ht="131.25" customHeight="1" x14ac:dyDescent="0.3">
      <c r="A75" s="146">
        <f>'Unit Data from Audit Worksheet'!A91</f>
        <v>660</v>
      </c>
      <c r="B75" s="156" t="str">
        <f>'Unit Data from Audit Worksheet'!C91</f>
        <v>OPEB
 Note or RSI</v>
      </c>
      <c r="C75" s="143" t="str">
        <f>'Unit Data from Audit Worksheet'!D91</f>
        <v>Total OPEB benefits- OPEB plan fiduciary net position
If no fiduciary net position, enter 0</v>
      </c>
      <c r="D75" s="160"/>
      <c r="E75" s="161">
        <f>'Unit Data from Audit Worksheet'!F91</f>
        <v>0</v>
      </c>
      <c r="F75" s="155"/>
      <c r="G75" s="211" t="s">
        <v>732</v>
      </c>
      <c r="H75" s="154">
        <f>'Unit Data from Audit Worksheet'!I89</f>
        <v>0</v>
      </c>
      <c r="I75" s="20"/>
      <c r="J75" s="146">
        <v>660</v>
      </c>
      <c r="K75" s="145" t="s">
        <v>273</v>
      </c>
      <c r="L75" s="195">
        <f t="shared" si="7"/>
        <v>0</v>
      </c>
      <c r="M75"/>
      <c r="P75" s="135"/>
      <c r="Q75" s="180"/>
      <c r="R75" s="2"/>
      <c r="S75" s="2"/>
      <c r="T75" s="2"/>
      <c r="U75" s="2"/>
      <c r="V75" s="2"/>
      <c r="W75" s="2"/>
      <c r="X75" s="369">
        <v>660</v>
      </c>
      <c r="Y75" s="187">
        <v>660</v>
      </c>
      <c r="Z75" s="2"/>
      <c r="AA75" s="258">
        <f t="shared" si="8"/>
        <v>0</v>
      </c>
      <c r="AB75" s="187" t="e">
        <f>#REF!-L75</f>
        <v>#REF!</v>
      </c>
    </row>
    <row r="76" spans="1:28" ht="134.25" customHeight="1" x14ac:dyDescent="0.3">
      <c r="A76" s="146">
        <f>'Unit Data from Audit Worksheet'!A92</f>
        <v>661</v>
      </c>
      <c r="B76" s="156" t="str">
        <f>'Unit Data from Audit Worksheet'!C92</f>
        <v>OPEB
RSI</v>
      </c>
      <c r="C76" s="143" t="str">
        <f>'Unit Data from Audit Worksheet'!D92</f>
        <v>Total OPEB benefits - What is the plan’s fiduciary net position as a percentage of the total OPEB liability?  Please enter as percentage value; for example, 83.5% should be entered as 83.5.  If assets have not been set aside in a trust, please enter 0.0</v>
      </c>
      <c r="D76" s="160"/>
      <c r="E76" s="90">
        <f>'Unit Data from Audit Worksheet'!F92</f>
        <v>0</v>
      </c>
      <c r="F76" s="155"/>
      <c r="G76" s="211" t="s">
        <v>732</v>
      </c>
      <c r="H76" s="154">
        <f>'Unit Data from Audit Worksheet'!I90</f>
        <v>0</v>
      </c>
      <c r="I76" s="20"/>
      <c r="J76" s="146">
        <v>661</v>
      </c>
      <c r="K76" s="158" t="s">
        <v>274</v>
      </c>
      <c r="L76" s="553">
        <f t="shared" si="7"/>
        <v>0</v>
      </c>
      <c r="P76" s="135"/>
      <c r="X76" s="369">
        <v>661</v>
      </c>
      <c r="Y76" s="2">
        <v>661</v>
      </c>
      <c r="AA76" s="258">
        <f t="shared" si="8"/>
        <v>0</v>
      </c>
      <c r="AB76" s="187" t="e">
        <f>#REF!-L76</f>
        <v>#REF!</v>
      </c>
    </row>
    <row r="77" spans="1:28" ht="84.75" customHeight="1" x14ac:dyDescent="0.3">
      <c r="A77" s="543">
        <f>'Unit Data from Audit Worksheet'!A95</f>
        <v>6</v>
      </c>
      <c r="B77" s="31" t="str">
        <f>'Unit Data from Audit Worksheet'!C95</f>
        <v>Fund Balance Note</v>
      </c>
      <c r="C77" s="198" t="str">
        <f>'Unit Data from Audit Worksheet'!D95</f>
        <v>General Fund -  Total Encumbrances.  You will probably have to refer to the note disclosure where the amount of encumbrances is listed.</v>
      </c>
      <c r="D77" s="438"/>
      <c r="E77" s="161">
        <f>'Unit Data from Audit Worksheet'!F95</f>
        <v>0</v>
      </c>
      <c r="F77" s="155"/>
      <c r="G77" s="157"/>
      <c r="H77" s="154"/>
      <c r="I77" s="20"/>
      <c r="J77" s="21">
        <v>6</v>
      </c>
      <c r="K77" s="80" t="s">
        <v>155</v>
      </c>
      <c r="L77" s="195">
        <f t="shared" si="7"/>
        <v>0</v>
      </c>
      <c r="P77" s="137"/>
      <c r="X77" s="369">
        <v>6</v>
      </c>
      <c r="Y77" s="2">
        <v>6</v>
      </c>
      <c r="AA77" s="258">
        <f t="shared" si="8"/>
        <v>0</v>
      </c>
      <c r="AB77" s="187" t="e">
        <f>#REF!-L77</f>
        <v>#REF!</v>
      </c>
    </row>
    <row r="78" spans="1:28" ht="87.75" customHeight="1" x14ac:dyDescent="0.3">
      <c r="A78" s="146">
        <f>'TD Info Completed by Auditor'!A9</f>
        <v>906</v>
      </c>
      <c r="B78" s="79" t="s">
        <v>318</v>
      </c>
      <c r="C78" s="144" t="str">
        <f>'TD Info Completed by Auditor'!B9</f>
        <v>Is the Independent Auditor's Report Opinion Unmodified?</v>
      </c>
      <c r="D78" s="160"/>
      <c r="E78" s="146">
        <f>IF(+'TD Info Completed by Auditor'!C9="Yes",1,IF(+'TD Info Completed by Auditor'!C9="No",2,IF(+'TD Info Completed by Auditor'!C9="N/A",3,0)))</f>
        <v>0</v>
      </c>
      <c r="F78" s="155"/>
      <c r="G78" s="157"/>
      <c r="H78" s="154"/>
      <c r="I78" s="20"/>
      <c r="J78" s="121">
        <v>906</v>
      </c>
      <c r="K78" s="35" t="s">
        <v>308</v>
      </c>
      <c r="L78" s="555">
        <f t="shared" si="7"/>
        <v>0</v>
      </c>
      <c r="N78" s="169" t="s">
        <v>335</v>
      </c>
      <c r="P78" s="133"/>
      <c r="X78" s="187" t="e">
        <v>#N/A</v>
      </c>
      <c r="AA78" s="258">
        <f t="shared" si="8"/>
        <v>0</v>
      </c>
      <c r="AB78" s="187" t="e">
        <f>#REF!-L78</f>
        <v>#REF!</v>
      </c>
    </row>
    <row r="79" spans="1:28" ht="87.75" customHeight="1" x14ac:dyDescent="0.3">
      <c r="A79" s="146">
        <f>'TD Info Completed by Auditor'!A10</f>
        <v>907</v>
      </c>
      <c r="B79" s="79" t="s">
        <v>318</v>
      </c>
      <c r="C79" s="144" t="str">
        <f>'TD Info Completed by Auditor'!B10</f>
        <v xml:space="preserve">Is there a finding for lack of segregation of duties at this unit? </v>
      </c>
      <c r="D79" s="160"/>
      <c r="E79" s="146">
        <f>IF(+'TD Info Completed by Auditor'!C10="Yes",1,IF(+'TD Info Completed by Auditor'!C10="No",2,IF(+'TD Info Completed by Auditor'!C10="N/A",3,0)))</f>
        <v>0</v>
      </c>
      <c r="F79" s="155"/>
      <c r="G79" s="157"/>
      <c r="H79" s="154"/>
      <c r="I79" s="20"/>
      <c r="J79" s="121">
        <v>907</v>
      </c>
      <c r="K79" s="35" t="s">
        <v>309</v>
      </c>
      <c r="L79" s="555">
        <f t="shared" si="7"/>
        <v>0</v>
      </c>
      <c r="N79" s="169" t="s">
        <v>335</v>
      </c>
      <c r="P79" s="134"/>
      <c r="X79" s="187" t="e">
        <v>#N/A</v>
      </c>
      <c r="Y79" s="258"/>
      <c r="AA79" s="258">
        <f t="shared" si="8"/>
        <v>0</v>
      </c>
      <c r="AB79" s="187" t="e">
        <f>#REF!-L79</f>
        <v>#REF!</v>
      </c>
    </row>
    <row r="80" spans="1:28" s="258" customFormat="1" ht="87.75" customHeight="1" x14ac:dyDescent="0.3">
      <c r="A80" s="146">
        <f>'TD Info Completed by Auditor'!A11</f>
        <v>1058</v>
      </c>
      <c r="B80" s="79" t="s">
        <v>318</v>
      </c>
      <c r="C80" s="144" t="str">
        <f>'TD Info Completed by Auditor'!B11</f>
        <v>Did your audit disclose as a finding any statutory violations? (not including budget violations) (Yes or No) If the answer  is "Yes", review whether this needs to be disclosed in the Stewardship, Compliance and Accountability Note</v>
      </c>
      <c r="D80" s="160"/>
      <c r="E80" s="146">
        <f>IF(+'TD Info Completed by Auditor'!C11="Yes",1,IF(+'TD Info Completed by Auditor'!C11="No",2,IF(+'TD Info Completed by Auditor'!C11="N/A",3,0)))</f>
        <v>0</v>
      </c>
      <c r="F80" s="155"/>
      <c r="G80" s="157"/>
      <c r="H80" s="154"/>
      <c r="I80" s="20"/>
      <c r="J80" s="121">
        <v>1058</v>
      </c>
      <c r="K80" s="560" t="s">
        <v>739</v>
      </c>
      <c r="L80" s="555">
        <f t="shared" si="7"/>
        <v>0</v>
      </c>
      <c r="M80"/>
      <c r="N80" s="169"/>
      <c r="P80" s="135"/>
      <c r="Q80" s="180"/>
      <c r="X80" s="187"/>
      <c r="AA80" s="258">
        <f t="shared" si="8"/>
        <v>0</v>
      </c>
      <c r="AB80" s="187"/>
    </row>
    <row r="81" spans="1:28" s="258" customFormat="1" ht="150" customHeight="1" x14ac:dyDescent="0.3">
      <c r="A81" s="146">
        <f>'TD Info Completed by Auditor'!A12</f>
        <v>1059</v>
      </c>
      <c r="B81" s="79" t="s">
        <v>318</v>
      </c>
      <c r="C81" s="144" t="str">
        <f>'TD Info Completed by Auditor'!B12</f>
        <v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81" s="160"/>
      <c r="E81" s="146">
        <f>IF(+'TD Info Completed by Auditor'!C12="Yes",1,IF(+'TD Info Completed by Auditor'!C12="No",2,IF(+'TD Info Completed by Auditor'!C12="N/A",3,0)))</f>
        <v>0</v>
      </c>
      <c r="F81" s="155"/>
      <c r="G81" s="157"/>
      <c r="H81" s="154"/>
      <c r="I81" s="20"/>
      <c r="J81" s="121">
        <v>1059</v>
      </c>
      <c r="K81" s="560" t="s">
        <v>740</v>
      </c>
      <c r="L81" s="555">
        <f t="shared" si="7"/>
        <v>0</v>
      </c>
      <c r="M81"/>
      <c r="N81" s="169"/>
      <c r="P81" s="135"/>
      <c r="Q81" s="180"/>
      <c r="X81" s="187"/>
      <c r="AA81" s="258">
        <f t="shared" si="8"/>
        <v>0</v>
      </c>
      <c r="AB81" s="187"/>
    </row>
    <row r="82" spans="1:28" s="258" customFormat="1" ht="150" customHeight="1" x14ac:dyDescent="0.3">
      <c r="A82" s="541">
        <v>1078</v>
      </c>
      <c r="B82" s="142" t="s">
        <v>318</v>
      </c>
      <c r="C82" s="203" t="s">
        <v>919</v>
      </c>
      <c r="D82" s="160"/>
      <c r="E82" s="146">
        <f>IF(+'TD Info Completed by Auditor'!C13="Yes",1,IF(+'TD Info Completed by Auditor'!C13="No",2,IF(+'TD Info Completed by Auditor'!C13="N/A",3,0)))</f>
        <v>0</v>
      </c>
      <c r="F82" s="155"/>
      <c r="G82" s="157"/>
      <c r="H82" s="154"/>
      <c r="I82" s="20"/>
      <c r="J82" s="78">
        <v>1078</v>
      </c>
      <c r="K82" s="132" t="s">
        <v>936</v>
      </c>
      <c r="L82" s="654">
        <f t="shared" si="7"/>
        <v>0</v>
      </c>
      <c r="M82" s="119"/>
      <c r="N82" s="169"/>
      <c r="P82" s="135"/>
      <c r="Q82" s="180"/>
      <c r="X82" s="187"/>
      <c r="AB82" s="187"/>
    </row>
    <row r="83" spans="1:28" s="258" customFormat="1" ht="150" customHeight="1" x14ac:dyDescent="0.3">
      <c r="A83" s="541">
        <v>1067</v>
      </c>
      <c r="B83" s="142"/>
      <c r="C83" s="203" t="s">
        <v>920</v>
      </c>
      <c r="D83" s="160"/>
      <c r="E83" s="146">
        <f>IF(+'TD Info Completed by Auditor'!C14="Yes",1,IF(+'TD Info Completed by Auditor'!C14="No",2,IF(+'TD Info Completed by Auditor'!C14="N/A",3,0)))</f>
        <v>0</v>
      </c>
      <c r="F83" s="155"/>
      <c r="G83" s="157"/>
      <c r="H83" s="154"/>
      <c r="I83" s="20"/>
      <c r="J83" s="78">
        <v>1067</v>
      </c>
      <c r="K83" s="132" t="s">
        <v>937</v>
      </c>
      <c r="L83" s="654">
        <f t="shared" si="7"/>
        <v>0</v>
      </c>
      <c r="M83" s="119"/>
      <c r="N83" s="169"/>
      <c r="P83" s="135"/>
      <c r="Q83" s="180"/>
      <c r="X83" s="187"/>
      <c r="AB83" s="187"/>
    </row>
    <row r="84" spans="1:28" s="258" customFormat="1" ht="87.75" customHeight="1" x14ac:dyDescent="0.3">
      <c r="A84" s="146">
        <f>'TD Info Completed by Auditor'!A15</f>
        <v>951</v>
      </c>
      <c r="B84" s="79" t="s">
        <v>318</v>
      </c>
      <c r="C84" s="144" t="str">
        <f>'TD Info Completed by Auditor'!B15</f>
        <v>Is there a finding for lack of technical skills, knowledge and experience (SKE) at this unit?</v>
      </c>
      <c r="D84" s="160"/>
      <c r="E84" s="146">
        <f>IF(+'TD Info Completed by Auditor'!C15="Yes",1,IF(+'TD Info Completed by Auditor'!C15="No",2,IF(+'TD Info Completed by Auditor'!C15="N/A",3,0)))</f>
        <v>0</v>
      </c>
      <c r="F84" s="155"/>
      <c r="G84" s="157"/>
      <c r="H84" s="154"/>
      <c r="I84" s="20"/>
      <c r="J84" s="121">
        <v>951</v>
      </c>
      <c r="K84" s="560" t="s">
        <v>733</v>
      </c>
      <c r="L84" s="555">
        <f t="shared" si="7"/>
        <v>0</v>
      </c>
      <c r="M84"/>
      <c r="N84" s="169"/>
      <c r="P84" s="135"/>
      <c r="Q84" s="180"/>
      <c r="X84" s="187"/>
      <c r="AB84" s="187"/>
    </row>
    <row r="85" spans="1:28" ht="87.75" customHeight="1" x14ac:dyDescent="0.3">
      <c r="A85" s="146">
        <f>'TD Info Completed by Auditor'!A16</f>
        <v>953</v>
      </c>
      <c r="B85" s="79" t="s">
        <v>318</v>
      </c>
      <c r="C85" s="144" t="str">
        <f>'TD Info Completed by Auditor'!B16</f>
        <v xml:space="preserve">Is there is a going concern noted in the audit report? </v>
      </c>
      <c r="D85" s="160"/>
      <c r="E85" s="146">
        <f>IF(+'TD Info Completed by Auditor'!C16="Yes",1,IF(+'TD Info Completed by Auditor'!C16="No",2,IF(+'TD Info Completed by Auditor'!C16="N/A",3,0)))</f>
        <v>0</v>
      </c>
      <c r="F85" s="155"/>
      <c r="G85" s="157"/>
      <c r="H85" s="154"/>
      <c r="I85" s="20"/>
      <c r="J85" s="121">
        <v>953</v>
      </c>
      <c r="K85" s="35" t="s">
        <v>938</v>
      </c>
      <c r="L85" s="555">
        <f t="shared" si="7"/>
        <v>0</v>
      </c>
      <c r="N85" s="169" t="s">
        <v>335</v>
      </c>
      <c r="P85" s="135"/>
      <c r="X85" s="187" t="e">
        <v>#N/A</v>
      </c>
      <c r="Y85" s="258"/>
      <c r="AA85" s="258">
        <f>A85-J85</f>
        <v>0</v>
      </c>
      <c r="AB85" s="187">
        <f>E87-L85</f>
        <v>0</v>
      </c>
    </row>
    <row r="86" spans="1:28" ht="87.75" customHeight="1" x14ac:dyDescent="0.3">
      <c r="A86" s="146">
        <f>'TD Info Completed by Auditor'!A17</f>
        <v>955</v>
      </c>
      <c r="B86" s="79" t="s">
        <v>318</v>
      </c>
      <c r="C86" s="144" t="str">
        <f>'TD Info Completed by Auditor'!B17</f>
        <v xml:space="preserve">Number of significant deficiency findings (financial statement findings only)
Exclude findings reported in questions  907, 951 </v>
      </c>
      <c r="D86" s="160"/>
      <c r="E86" s="146">
        <f>'TD Info Completed by Auditor'!C17</f>
        <v>0</v>
      </c>
      <c r="F86" s="155"/>
      <c r="G86" s="157"/>
      <c r="H86" s="154"/>
      <c r="I86" s="20"/>
      <c r="J86" s="121">
        <v>955</v>
      </c>
      <c r="K86" s="35" t="s">
        <v>736</v>
      </c>
      <c r="L86" s="555">
        <f t="shared" si="7"/>
        <v>0</v>
      </c>
      <c r="N86" s="169" t="s">
        <v>335</v>
      </c>
      <c r="P86" s="135"/>
      <c r="X86" s="187" t="e">
        <v>#N/A</v>
      </c>
      <c r="Y86" s="258"/>
      <c r="AA86" s="258">
        <f>A86-J86</f>
        <v>0</v>
      </c>
      <c r="AB86" s="187">
        <f>E89-L86</f>
        <v>0</v>
      </c>
    </row>
    <row r="87" spans="1:28" ht="87.75" customHeight="1" x14ac:dyDescent="0.3">
      <c r="A87" s="146">
        <f>'TD Info Completed by Auditor'!A18</f>
        <v>957</v>
      </c>
      <c r="B87" s="79" t="s">
        <v>318</v>
      </c>
      <c r="C87" s="144" t="str">
        <f>'TD Info Completed by Auditor'!B18</f>
        <v xml:space="preserve">Number of material weaknesses findings (financial statements findings only)
Exclude findings reported in questions 907, 951 </v>
      </c>
      <c r="D87" s="160"/>
      <c r="E87" s="146">
        <f>'TD Info Completed by Auditor'!C18</f>
        <v>0</v>
      </c>
      <c r="F87" s="155"/>
      <c r="G87" s="157"/>
      <c r="H87" s="154"/>
      <c r="I87" s="20"/>
      <c r="J87" s="121">
        <v>957</v>
      </c>
      <c r="K87" s="35" t="s">
        <v>737</v>
      </c>
      <c r="L87" s="555">
        <f t="shared" si="7"/>
        <v>0</v>
      </c>
      <c r="N87" s="169" t="s">
        <v>335</v>
      </c>
      <c r="P87" s="135"/>
      <c r="X87" s="187" t="e">
        <v>#N/A</v>
      </c>
      <c r="Y87" s="258"/>
      <c r="AA87" s="258">
        <f>A87-J87</f>
        <v>0</v>
      </c>
      <c r="AB87" s="187" t="e">
        <f>#REF!-L87</f>
        <v>#REF!</v>
      </c>
    </row>
    <row r="88" spans="1:28" s="258" customFormat="1" ht="197.4" customHeight="1" x14ac:dyDescent="0.3">
      <c r="A88" s="146">
        <f>'TD Info Completed by Auditor'!A19</f>
        <v>973</v>
      </c>
      <c r="B88" s="79" t="s">
        <v>318</v>
      </c>
      <c r="C88" s="144" t="str">
        <f>'TD Info Completed by Auditor'!B19</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88" s="160"/>
      <c r="E88" s="146">
        <f>'TD Info Completed by Auditor'!C19</f>
        <v>0</v>
      </c>
      <c r="F88" s="155"/>
      <c r="G88" s="157"/>
      <c r="H88" s="154"/>
      <c r="I88" s="20"/>
      <c r="J88" s="121">
        <v>973</v>
      </c>
      <c r="K88" s="554" t="s">
        <v>738</v>
      </c>
      <c r="L88" s="555">
        <f t="shared" si="7"/>
        <v>0</v>
      </c>
      <c r="M88"/>
      <c r="N88" s="169"/>
      <c r="P88" s="135"/>
      <c r="Q88" s="180"/>
      <c r="X88" s="187"/>
      <c r="AA88" s="258">
        <f>A88-J88</f>
        <v>0</v>
      </c>
      <c r="AB88" s="187"/>
    </row>
    <row r="89" spans="1:28" ht="87.75" customHeight="1" x14ac:dyDescent="0.3">
      <c r="A89" s="146">
        <f>'TD Info Completed by Auditor'!A20</f>
        <v>959</v>
      </c>
      <c r="B89" s="79" t="s">
        <v>318</v>
      </c>
      <c r="C89" s="144" t="str">
        <f>'TD Info Completed by Auditor'!B20</f>
        <v>Did the Unit have debt service payments deferred or restructured in this fiscal year? (does not include refinancings designed to take advantage of lower interest rates)  Select Yes, No, or NA</v>
      </c>
      <c r="D89" s="160"/>
      <c r="E89" s="146">
        <f>IF(+'TD Info Completed by Auditor'!C20="Yes",1,IF(+'TD Info Completed by Auditor'!C20="No",2,IF(+'TD Info Completed by Auditor'!C20="N/A",3,0)))</f>
        <v>0</v>
      </c>
      <c r="F89" s="155"/>
      <c r="G89" s="157"/>
      <c r="H89" s="154"/>
      <c r="I89" s="20"/>
      <c r="J89" s="121">
        <v>959</v>
      </c>
      <c r="K89" s="35" t="s">
        <v>337</v>
      </c>
      <c r="L89" s="555">
        <f t="shared" si="7"/>
        <v>0</v>
      </c>
      <c r="N89" s="169" t="s">
        <v>335</v>
      </c>
      <c r="P89" s="135"/>
      <c r="X89" s="187" t="e">
        <v>#N/A</v>
      </c>
      <c r="Y89" s="258"/>
      <c r="AA89" s="258">
        <f>A89-J89</f>
        <v>0</v>
      </c>
      <c r="AB89" s="187">
        <f>E90-L89</f>
        <v>0</v>
      </c>
    </row>
    <row r="90" spans="1:28" s="258" customFormat="1" ht="177.75" customHeight="1" x14ac:dyDescent="0.3">
      <c r="A90" s="146">
        <f>'TD Info Completed by Auditor'!A21</f>
        <v>974</v>
      </c>
      <c r="B90" s="79" t="s">
        <v>318</v>
      </c>
      <c r="C90" s="144" t="str">
        <f>'TD Info Completed by Auditor'!B21</f>
        <v>Did the Unit have any of the following occur:
1.  Bond covenants were not met
2.  Debt service payments made late?  Deferred payments authorized by LGC or other state
     agencies should not be counted as late for purposes of this question.</v>
      </c>
      <c r="D90" s="160"/>
      <c r="E90" s="146">
        <f>IF(+'TD Info Completed by Auditor'!C21="Yes",1,IF(+'TD Info Completed by Auditor'!C21="No",2,IF(+'TD Info Completed by Auditor'!C21="N/A",3,0)))</f>
        <v>0</v>
      </c>
      <c r="F90" s="155"/>
      <c r="G90" s="157"/>
      <c r="H90" s="154"/>
      <c r="I90" s="20"/>
      <c r="J90" s="121">
        <v>974</v>
      </c>
      <c r="K90" s="35" t="s">
        <v>386</v>
      </c>
      <c r="L90" s="555">
        <f t="shared" si="7"/>
        <v>0</v>
      </c>
      <c r="M90"/>
      <c r="N90" s="169" t="s">
        <v>335</v>
      </c>
      <c r="P90" s="138"/>
      <c r="Q90" s="180"/>
      <c r="X90" s="187"/>
      <c r="AB90" s="187"/>
    </row>
    <row r="91" spans="1:28" ht="87.75" customHeight="1" x14ac:dyDescent="0.3">
      <c r="A91" s="146">
        <f>'TD Info Completed by Auditor'!A28</f>
        <v>975</v>
      </c>
      <c r="B91" s="79" t="s">
        <v>318</v>
      </c>
      <c r="C91" s="143" t="str">
        <f>'TD Info Completed by Auditor'!B28</f>
        <v>Does the Performance Indicator Print worksheet in this workbook have a red shaded cell?</v>
      </c>
      <c r="D91" s="160"/>
      <c r="E91" s="146">
        <f>IF(+'TD Info Completed by Auditor'!C28="Yes",1,IF(+'TD Info Completed by Auditor'!C28="No",2,IF(+'TD Info Completed by Auditor'!C28="N/A",3,0)))</f>
        <v>0</v>
      </c>
      <c r="F91" s="155"/>
      <c r="G91" s="157"/>
      <c r="H91" s="154"/>
      <c r="I91" s="20"/>
      <c r="J91" s="121">
        <v>975</v>
      </c>
      <c r="K91" s="35" t="s">
        <v>939</v>
      </c>
      <c r="L91" s="555">
        <f t="shared" si="7"/>
        <v>0</v>
      </c>
      <c r="N91" s="169" t="s">
        <v>335</v>
      </c>
      <c r="P91" s="138"/>
      <c r="Q91" s="209"/>
      <c r="X91" s="187" t="e">
        <v>#N/A</v>
      </c>
      <c r="Y91" s="258"/>
      <c r="AA91" s="258">
        <f>A91-J91</f>
        <v>0</v>
      </c>
      <c r="AB91" s="187" t="e">
        <f>#REF!-L91</f>
        <v>#REF!</v>
      </c>
    </row>
    <row r="92" spans="1:28" s="258" customFormat="1" ht="87.75" customHeight="1" x14ac:dyDescent="0.3">
      <c r="A92" s="541">
        <v>1068</v>
      </c>
      <c r="B92" s="142"/>
      <c r="C92" s="204" t="s">
        <v>928</v>
      </c>
      <c r="D92" s="160"/>
      <c r="E92" s="653">
        <f>IF(+'TD Info Completed by Auditor'!C30="Yes",1,IF(+'TD Info Completed by Auditor'!C30="No",2,IF(+'TD Info Completed by Auditor'!C30="N/A",3,0)))</f>
        <v>0</v>
      </c>
      <c r="F92" s="155"/>
      <c r="G92" s="157"/>
      <c r="H92" s="154"/>
      <c r="I92" s="20"/>
      <c r="J92" s="541">
        <v>1068</v>
      </c>
      <c r="K92" s="702" t="s">
        <v>952</v>
      </c>
      <c r="L92" s="555">
        <f t="shared" si="7"/>
        <v>0</v>
      </c>
      <c r="M92" s="119"/>
      <c r="N92" s="169"/>
      <c r="P92" s="138"/>
      <c r="Q92" s="209"/>
      <c r="X92" s="187"/>
      <c r="AB92" s="187"/>
    </row>
    <row r="93" spans="1:28" s="258" customFormat="1" ht="87.75" customHeight="1" x14ac:dyDescent="0.3">
      <c r="A93" s="541">
        <v>1069</v>
      </c>
      <c r="B93" s="142"/>
      <c r="C93" s="652" t="s">
        <v>929</v>
      </c>
      <c r="D93" s="160"/>
      <c r="E93" s="653">
        <f>IF(+'TD Info Completed by Auditor'!C31="Yes",1,IF(+'TD Info Completed by Auditor'!C31="No",2,IF(+'TD Info Completed by Auditor'!C31="N/A",3,0)))</f>
        <v>0</v>
      </c>
      <c r="F93" s="155"/>
      <c r="G93" s="157"/>
      <c r="H93" s="154"/>
      <c r="I93" s="20"/>
      <c r="J93" s="541">
        <v>1069</v>
      </c>
      <c r="K93" s="702" t="s">
        <v>953</v>
      </c>
      <c r="L93" s="555">
        <f t="shared" si="7"/>
        <v>0</v>
      </c>
      <c r="M93" s="119"/>
      <c r="N93" s="169"/>
      <c r="P93" s="138"/>
      <c r="Q93" s="209"/>
      <c r="X93" s="187"/>
      <c r="AB93" s="187"/>
    </row>
    <row r="94" spans="1:28" s="258" customFormat="1" ht="87.75" customHeight="1" x14ac:dyDescent="0.3">
      <c r="A94" s="541">
        <v>1070</v>
      </c>
      <c r="B94" s="142"/>
      <c r="C94" s="652" t="s">
        <v>940</v>
      </c>
      <c r="D94" s="160"/>
      <c r="E94" s="653">
        <f>IF(+'TD Info Completed by Auditor'!C32="Yes",1,IF(+'TD Info Completed by Auditor'!C32="No",2,IF(+'TD Info Completed by Auditor'!C32="N/A",3,0)))</f>
        <v>0</v>
      </c>
      <c r="F94" s="155"/>
      <c r="G94" s="157"/>
      <c r="H94" s="154"/>
      <c r="I94" s="20"/>
      <c r="J94" s="541">
        <v>1070</v>
      </c>
      <c r="K94" s="702" t="s">
        <v>954</v>
      </c>
      <c r="L94" s="555">
        <f t="shared" si="7"/>
        <v>0</v>
      </c>
      <c r="M94" s="119"/>
      <c r="N94" s="169"/>
      <c r="P94" s="138"/>
      <c r="Q94" s="209"/>
      <c r="X94" s="187"/>
      <c r="AB94" s="187"/>
    </row>
    <row r="95" spans="1:28" s="258" customFormat="1" ht="87.75" customHeight="1" x14ac:dyDescent="0.3">
      <c r="A95" s="541">
        <v>1071</v>
      </c>
      <c r="B95" s="142"/>
      <c r="C95" s="652" t="s">
        <v>941</v>
      </c>
      <c r="D95" s="160"/>
      <c r="E95" s="650">
        <f>'TD Info Completed by Auditor'!C33</f>
        <v>0</v>
      </c>
      <c r="F95" s="155"/>
      <c r="G95" s="157"/>
      <c r="H95" s="154"/>
      <c r="I95" s="20"/>
      <c r="J95" s="541">
        <v>1071</v>
      </c>
      <c r="K95" s="702" t="s">
        <v>955</v>
      </c>
      <c r="L95" s="555">
        <f t="shared" si="7"/>
        <v>0</v>
      </c>
      <c r="M95" s="119"/>
      <c r="N95" s="169"/>
      <c r="P95" s="138"/>
      <c r="Q95" s="209"/>
      <c r="X95" s="187"/>
      <c r="AB95" s="187"/>
    </row>
    <row r="96" spans="1:28" ht="109.95" customHeight="1" x14ac:dyDescent="0.3">
      <c r="A96" s="544">
        <v>336</v>
      </c>
      <c r="B96" s="167"/>
      <c r="C96" s="212" t="s">
        <v>342</v>
      </c>
      <c r="D96" s="213" t="s">
        <v>329</v>
      </c>
      <c r="E96" s="214" t="s">
        <v>721</v>
      </c>
      <c r="F96" s="168" t="s">
        <v>565</v>
      </c>
      <c r="G96" s="157"/>
      <c r="H96" s="154"/>
      <c r="I96" s="20"/>
      <c r="J96" s="551">
        <v>336</v>
      </c>
      <c r="K96" s="177" t="s">
        <v>331</v>
      </c>
      <c r="L96" s="556">
        <f>L10-L11-L12-L13-L14-L15-L16</f>
        <v>0</v>
      </c>
      <c r="N96" s="170" t="s">
        <v>330</v>
      </c>
      <c r="P96" s="138"/>
      <c r="Q96" s="209"/>
      <c r="X96" s="187" t="e">
        <v>#N/A</v>
      </c>
      <c r="Y96" s="258"/>
      <c r="AA96" s="258">
        <f>A96-J96</f>
        <v>0</v>
      </c>
      <c r="AB96" s="187" t="e">
        <f>E96-L96</f>
        <v>#VALUE!</v>
      </c>
    </row>
    <row r="97" spans="1:28" ht="113.4" customHeight="1" x14ac:dyDescent="0.3">
      <c r="A97" s="545"/>
      <c r="B97" s="59"/>
      <c r="C97" s="216"/>
      <c r="D97" s="82"/>
      <c r="E97" s="89"/>
      <c r="F97" s="38"/>
      <c r="G97" s="83"/>
      <c r="H97" s="84"/>
      <c r="I97" s="20"/>
      <c r="J97" s="552">
        <v>998</v>
      </c>
      <c r="K97" s="468" t="s">
        <v>180</v>
      </c>
      <c r="L97" s="556" t="e">
        <f>VLOOKUP('Unit Data from Audit Worksheet'!D2,'Unit Names(H)'!$A$2:$C$17,3,FALSE)</f>
        <v>#N/A</v>
      </c>
      <c r="N97" s="170" t="s">
        <v>332</v>
      </c>
      <c r="P97" s="138"/>
      <c r="Q97" s="209"/>
      <c r="X97" s="187" t="e">
        <v>#N/A</v>
      </c>
      <c r="Y97" s="258"/>
      <c r="AA97" s="258">
        <f>A97-J97</f>
        <v>-998</v>
      </c>
      <c r="AB97" s="187" t="e">
        <f>E97-L97</f>
        <v>#N/A</v>
      </c>
    </row>
    <row r="98" spans="1:28" ht="74.400000000000006" customHeight="1" x14ac:dyDescent="0.3">
      <c r="A98" s="545"/>
      <c r="B98" s="59"/>
      <c r="C98" s="216"/>
      <c r="D98" s="217"/>
      <c r="E98" s="218"/>
      <c r="F98" s="219"/>
      <c r="G98" s="220"/>
      <c r="H98" s="221"/>
      <c r="I98" s="20"/>
      <c r="J98" s="469">
        <v>554</v>
      </c>
      <c r="K98" s="223" t="s">
        <v>208</v>
      </c>
      <c r="L98" s="557"/>
      <c r="N98"/>
      <c r="P98" s="138"/>
      <c r="Q98" s="209"/>
      <c r="X98" s="187" t="e">
        <v>#N/A</v>
      </c>
      <c r="Y98" s="258"/>
      <c r="AA98" s="258" t="e">
        <f>A98-#REF!</f>
        <v>#REF!</v>
      </c>
      <c r="AB98" s="386" t="e">
        <f>E98-#REF!</f>
        <v>#REF!</v>
      </c>
    </row>
    <row r="99" spans="1:28" ht="74.400000000000006" customHeight="1" x14ac:dyDescent="0.3">
      <c r="A99" s="545"/>
      <c r="B99" s="59"/>
      <c r="C99" s="216"/>
      <c r="D99" s="217"/>
      <c r="E99" s="218"/>
      <c r="F99" s="219"/>
      <c r="G99" s="220"/>
      <c r="H99" s="221"/>
      <c r="I99" s="20"/>
      <c r="J99" s="100">
        <v>555</v>
      </c>
      <c r="K99" s="223" t="s">
        <v>209</v>
      </c>
      <c r="L99" s="557"/>
      <c r="N99"/>
      <c r="P99" s="138"/>
      <c r="Q99" s="209"/>
      <c r="X99" s="187" t="e">
        <v>#N/A</v>
      </c>
      <c r="Y99" s="258"/>
      <c r="AA99" s="258" t="e">
        <f>A99-#REF!</f>
        <v>#REF!</v>
      </c>
      <c r="AB99" s="386" t="e">
        <f>E99-#REF!</f>
        <v>#REF!</v>
      </c>
    </row>
    <row r="100" spans="1:28" ht="63" customHeight="1" x14ac:dyDescent="0.3">
      <c r="A100" s="545"/>
      <c r="B100" s="59"/>
      <c r="C100" s="216"/>
      <c r="D100" s="217"/>
      <c r="E100" s="218"/>
      <c r="F100" s="219"/>
      <c r="G100" s="220"/>
      <c r="H100" s="222"/>
      <c r="I100" s="20"/>
      <c r="J100" s="100">
        <v>556</v>
      </c>
      <c r="K100" s="223" t="s">
        <v>210</v>
      </c>
      <c r="L100" s="557"/>
      <c r="N100" s="224"/>
      <c r="P100" s="138"/>
      <c r="Q100" s="209"/>
      <c r="X100" s="187" t="e">
        <v>#N/A</v>
      </c>
      <c r="Y100" s="258"/>
      <c r="AA100" s="258">
        <f t="shared" ref="AA100:AA102" si="9">A100-J98</f>
        <v>-554</v>
      </c>
      <c r="AB100" s="187">
        <f t="shared" ref="AB100:AB102" si="10">E100-L98</f>
        <v>0</v>
      </c>
    </row>
    <row r="101" spans="1:28" ht="58.2" customHeight="1" x14ac:dyDescent="0.3">
      <c r="A101" s="545"/>
      <c r="B101" s="59"/>
      <c r="C101" s="216"/>
      <c r="D101" s="217"/>
      <c r="E101" s="218"/>
      <c r="F101" s="219"/>
      <c r="G101" s="220"/>
      <c r="H101" s="222"/>
      <c r="I101" s="20"/>
      <c r="J101" s="100">
        <v>557</v>
      </c>
      <c r="K101" s="223" t="s">
        <v>211</v>
      </c>
      <c r="L101" s="557"/>
      <c r="N101" s="224"/>
      <c r="P101" s="138"/>
      <c r="Q101" s="209"/>
      <c r="X101" s="187" t="e">
        <v>#N/A</v>
      </c>
      <c r="Y101" s="258"/>
      <c r="AA101" s="258">
        <f t="shared" si="9"/>
        <v>-555</v>
      </c>
      <c r="AB101" s="187">
        <f t="shared" si="10"/>
        <v>0</v>
      </c>
    </row>
    <row r="102" spans="1:28" ht="58.8" customHeight="1" x14ac:dyDescent="0.3">
      <c r="A102" s="545"/>
      <c r="B102" s="59"/>
      <c r="C102" s="216"/>
      <c r="D102" s="217"/>
      <c r="E102" s="218"/>
      <c r="F102" s="219"/>
      <c r="G102" s="220"/>
      <c r="H102" s="222"/>
      <c r="I102" s="20"/>
      <c r="J102" s="100">
        <v>606</v>
      </c>
      <c r="K102" s="223" t="s">
        <v>289</v>
      </c>
      <c r="L102" s="557"/>
      <c r="N102" s="224"/>
      <c r="P102" s="138"/>
      <c r="Q102" s="209"/>
      <c r="X102" s="187" t="e">
        <v>#N/A</v>
      </c>
      <c r="Y102" s="258"/>
      <c r="AA102" s="258">
        <f t="shared" si="9"/>
        <v>-556</v>
      </c>
      <c r="AB102" s="187">
        <f t="shared" si="10"/>
        <v>0</v>
      </c>
    </row>
    <row r="103" spans="1:28" ht="39.75" customHeight="1" x14ac:dyDescent="0.3">
      <c r="A103" s="545"/>
      <c r="B103" s="59"/>
      <c r="C103" s="216"/>
      <c r="D103" s="217"/>
      <c r="E103" s="218"/>
      <c r="F103" s="219"/>
      <c r="G103" s="220"/>
      <c r="H103" s="222"/>
      <c r="I103" s="20"/>
      <c r="J103" s="85"/>
      <c r="K103" s="225"/>
      <c r="L103" s="226"/>
      <c r="N103" s="224"/>
      <c r="P103" s="139"/>
      <c r="X103" s="187" t="e">
        <v>#N/A</v>
      </c>
      <c r="Y103" s="258"/>
      <c r="AA103" s="258" t="e">
        <f>A103-#REF!</f>
        <v>#REF!</v>
      </c>
      <c r="AB103" s="187" t="e">
        <f>E103-#REF!</f>
        <v>#REF!</v>
      </c>
    </row>
    <row r="104" spans="1:28" ht="79.95" customHeight="1" x14ac:dyDescent="0.3">
      <c r="A104" s="146">
        <f>'Unit Data from Audit Worksheet'!A97</f>
        <v>947</v>
      </c>
      <c r="B104" s="79"/>
      <c r="C104" s="143" t="str">
        <f>'Unit Data from Audit Worksheet'!D97</f>
        <v>First name of finance officer or interim finance officer (please enter “vacant” for first name if the position is currently vacant)</v>
      </c>
      <c r="D104" s="163"/>
      <c r="E104" s="458">
        <f>'Unit Data from Audit Worksheet'!F97</f>
        <v>0</v>
      </c>
      <c r="F104" s="155" t="str">
        <f>'Unit Data from Audit Worksheet'!G97</f>
        <v>Please do not leave blank</v>
      </c>
      <c r="G104" s="157"/>
      <c r="H104" s="154"/>
      <c r="I104" s="20"/>
      <c r="J104" s="101">
        <v>947</v>
      </c>
      <c r="K104" s="227" t="s">
        <v>263</v>
      </c>
      <c r="L104" s="228">
        <f t="shared" ref="L104:L114" si="11">IF(D104="",E104,D104)</f>
        <v>0</v>
      </c>
      <c r="N104" s="224"/>
      <c r="P104" s="139"/>
      <c r="X104" s="187" t="e">
        <v>#N/A</v>
      </c>
      <c r="Y104" s="258"/>
      <c r="AA104" s="258" t="e">
        <f>#REF!-#REF!</f>
        <v>#REF!</v>
      </c>
      <c r="AB104" s="187" t="e">
        <f>#REF!-#REF!</f>
        <v>#REF!</v>
      </c>
    </row>
    <row r="105" spans="1:28" s="16" customFormat="1" ht="75" customHeight="1" x14ac:dyDescent="0.3">
      <c r="A105" s="146">
        <f>'Unit Data from Audit Worksheet'!A98</f>
        <v>948</v>
      </c>
      <c r="B105" s="79"/>
      <c r="C105" s="143" t="str">
        <f>'Unit Data from Audit Worksheet'!D98</f>
        <v>Last name of finance officer or interim finance officer (please enter “vacant” for last name if the position is currently vacant)</v>
      </c>
      <c r="D105" s="163"/>
      <c r="E105" s="229">
        <f>'Unit Data from Audit Worksheet'!F98</f>
        <v>0</v>
      </c>
      <c r="F105" s="155" t="str">
        <f>'Unit Data from Audit Worksheet'!G98</f>
        <v>Please do not leave blank</v>
      </c>
      <c r="G105" s="157"/>
      <c r="H105" s="154"/>
      <c r="I105" s="20"/>
      <c r="J105" s="101">
        <v>948</v>
      </c>
      <c r="K105" s="227" t="s">
        <v>264</v>
      </c>
      <c r="L105" s="228">
        <f t="shared" si="11"/>
        <v>0</v>
      </c>
      <c r="M105"/>
      <c r="N105" s="169"/>
      <c r="P105" s="139"/>
      <c r="Q105" s="180"/>
      <c r="R105" s="2"/>
      <c r="S105" s="2"/>
      <c r="T105" s="2"/>
      <c r="U105" s="2"/>
      <c r="V105" s="2"/>
      <c r="W105" s="2"/>
      <c r="X105" s="187" t="e">
        <v>#N/A</v>
      </c>
      <c r="Y105" s="258"/>
      <c r="Z105" s="2"/>
      <c r="AA105" s="258" t="e">
        <f>#REF!-J103</f>
        <v>#REF!</v>
      </c>
      <c r="AB105" s="187" t="e">
        <f>#REF!-L103</f>
        <v>#REF!</v>
      </c>
    </row>
    <row r="106" spans="1:28" ht="99" customHeight="1" x14ac:dyDescent="0.3">
      <c r="A106" s="146">
        <f>'Unit Data from Audit Worksheet'!A99</f>
        <v>949</v>
      </c>
      <c r="B106" s="79"/>
      <c r="C106" s="143" t="str">
        <f>'Unit Data from Audit Worksheet'!D99</f>
        <v>Is the finance officer serving in a permanent role or an interim role? (select permanent/interim/vacant)</v>
      </c>
      <c r="D106" s="163"/>
      <c r="E106" s="112">
        <f>'Unit Data from Audit Worksheet'!F99</f>
        <v>0</v>
      </c>
      <c r="F106" s="155" t="str">
        <f>'Unit Data from Audit Worksheet'!G99</f>
        <v>Please do not leave blank</v>
      </c>
      <c r="G106" s="157"/>
      <c r="H106" s="154"/>
      <c r="I106" s="20"/>
      <c r="J106" s="101">
        <v>949</v>
      </c>
      <c r="K106" s="227" t="s">
        <v>285</v>
      </c>
      <c r="L106" s="228">
        <f t="shared" si="11"/>
        <v>0</v>
      </c>
      <c r="N106" s="224"/>
      <c r="P106" s="139"/>
      <c r="Q106" s="53"/>
      <c r="X106" s="187">
        <v>947</v>
      </c>
      <c r="Y106" s="2">
        <v>947</v>
      </c>
      <c r="AA106" s="258">
        <f t="shared" ref="AA106:AA114" si="12">A104-J104</f>
        <v>0</v>
      </c>
      <c r="AB106" s="187" t="b">
        <f t="shared" ref="AB106:AB114" si="13">EXACT(E104,L104)</f>
        <v>1</v>
      </c>
    </row>
    <row r="107" spans="1:28" ht="128.25" customHeight="1" x14ac:dyDescent="0.3">
      <c r="A107" s="146">
        <f>'Unit Data from Audit Worksheet'!A100</f>
        <v>950</v>
      </c>
      <c r="B107" s="79"/>
      <c r="C107" s="143" t="str">
        <f>'Unit Data from Audit Worksheet'!D100</f>
        <v>Has the finance officer been formally appointed by the local government, public authority, or designated official?  (Y/N)</v>
      </c>
      <c r="D107" s="163"/>
      <c r="E107" s="112">
        <f>'Unit Data from Audit Worksheet'!F100</f>
        <v>0</v>
      </c>
      <c r="F107" s="155" t="str">
        <f>'Unit Data from Audit Worksheet'!G100</f>
        <v>Please do not leave blank</v>
      </c>
      <c r="G107" s="157"/>
      <c r="H107" s="154"/>
      <c r="I107" s="20"/>
      <c r="J107" s="101">
        <v>950</v>
      </c>
      <c r="K107" s="227" t="s">
        <v>286</v>
      </c>
      <c r="L107" s="228">
        <f t="shared" si="11"/>
        <v>0</v>
      </c>
      <c r="N107" s="224"/>
      <c r="P107" s="139"/>
      <c r="X107" s="187">
        <v>948</v>
      </c>
      <c r="Y107" s="2">
        <v>948</v>
      </c>
      <c r="AA107" s="258">
        <f t="shared" si="12"/>
        <v>0</v>
      </c>
      <c r="AB107" s="187" t="b">
        <f t="shared" si="13"/>
        <v>1</v>
      </c>
    </row>
    <row r="108" spans="1:28" ht="121.2" customHeight="1" x14ac:dyDescent="0.3">
      <c r="A108" s="146">
        <f>'Unit Data from Audit Worksheet'!A101</f>
        <v>952</v>
      </c>
      <c r="B108" s="79"/>
      <c r="C108" s="143" t="str">
        <f>'Unit Data from Audit Worksheet'!D101</f>
        <v>Date on which the local government, public authority, or designated official appointed the finance officer?   Date Format  MM/DD/YYYY</v>
      </c>
      <c r="D108" s="163"/>
      <c r="E108" s="444" t="str">
        <f>IF('Unit Data from Audit Worksheet'!F101&gt;0,'Unit Data from Audit Worksheet'!F101," ")</f>
        <v xml:space="preserve"> </v>
      </c>
      <c r="F108" s="155" t="str">
        <f>'Unit Data from Audit Worksheet'!G101</f>
        <v>Leave blank if data not available</v>
      </c>
      <c r="G108" s="157"/>
      <c r="H108" s="154"/>
      <c r="I108" s="20"/>
      <c r="J108" s="101">
        <v>952</v>
      </c>
      <c r="K108" s="227" t="s">
        <v>287</v>
      </c>
      <c r="L108" s="230" t="str">
        <f t="shared" si="11"/>
        <v xml:space="preserve"> </v>
      </c>
      <c r="N108" s="224"/>
      <c r="P108" s="139"/>
      <c r="X108" s="187">
        <v>949</v>
      </c>
      <c r="Y108" s="2">
        <v>949</v>
      </c>
      <c r="AA108" s="258">
        <f t="shared" si="12"/>
        <v>0</v>
      </c>
      <c r="AB108" s="187" t="b">
        <f t="shared" si="13"/>
        <v>1</v>
      </c>
    </row>
    <row r="109" spans="1:28" ht="37.799999999999997" customHeight="1" x14ac:dyDescent="0.3">
      <c r="A109" s="546">
        <f>'Unit Data from Audit Worksheet'!A109</f>
        <v>960</v>
      </c>
      <c r="B109" s="108"/>
      <c r="C109" s="579" t="str">
        <f>'Unit Data from Audit Worksheet'!B109</f>
        <v>Name of Finance Officer</v>
      </c>
      <c r="D109" s="163"/>
      <c r="E109" s="231">
        <f>'Unit Data from Audit Worksheet'!D109</f>
        <v>0</v>
      </c>
      <c r="F109" s="232" t="str">
        <f>'Unit Data from Audit Worksheet'!F109</f>
        <v>Required</v>
      </c>
      <c r="G109" s="157"/>
      <c r="H109" s="154"/>
      <c r="I109" s="20"/>
      <c r="J109" s="111">
        <v>960</v>
      </c>
      <c r="K109" s="233" t="s">
        <v>281</v>
      </c>
      <c r="L109" s="234">
        <f t="shared" si="11"/>
        <v>0</v>
      </c>
      <c r="N109" s="224"/>
      <c r="P109" s="139"/>
      <c r="X109" s="187">
        <v>956</v>
      </c>
      <c r="Y109" s="2">
        <v>956</v>
      </c>
      <c r="AA109" s="258" t="e">
        <f>#REF!-#REF!</f>
        <v>#REF!</v>
      </c>
      <c r="AB109" s="187" t="e">
        <f>EXACT(#REF!,#REF!)</f>
        <v>#REF!</v>
      </c>
    </row>
    <row r="110" spans="1:28" ht="31.8" customHeight="1" x14ac:dyDescent="0.3">
      <c r="A110" s="546">
        <f>'Unit Data from Audit Worksheet'!A110</f>
        <v>962</v>
      </c>
      <c r="B110" s="108"/>
      <c r="C110" s="109" t="str">
        <f>'Unit Data from Audit Worksheet'!B110</f>
        <v>Title of Official</v>
      </c>
      <c r="D110" s="163"/>
      <c r="E110" s="231">
        <f>'Unit Data from Audit Worksheet'!D110</f>
        <v>0</v>
      </c>
      <c r="F110" s="232" t="str">
        <f>'Unit Data from Audit Worksheet'!F110</f>
        <v>Required</v>
      </c>
      <c r="G110" s="157"/>
      <c r="H110" s="154"/>
      <c r="I110" s="20"/>
      <c r="J110" s="111">
        <v>962</v>
      </c>
      <c r="K110" s="233" t="s">
        <v>259</v>
      </c>
      <c r="L110" s="234">
        <f t="shared" si="11"/>
        <v>0</v>
      </c>
      <c r="N110" s="224"/>
      <c r="P110" s="139"/>
      <c r="X110" s="187">
        <v>958</v>
      </c>
      <c r="Y110" s="2">
        <v>958</v>
      </c>
      <c r="AA110" s="258" t="e">
        <f>#REF!-#REF!</f>
        <v>#REF!</v>
      </c>
      <c r="AB110" s="187" t="e">
        <f>EXACT(#REF!,#REF!)</f>
        <v>#REF!</v>
      </c>
    </row>
    <row r="111" spans="1:28" ht="30.75" customHeight="1" x14ac:dyDescent="0.3">
      <c r="A111" s="546">
        <f>'Unit Data from Audit Worksheet'!A111</f>
        <v>964</v>
      </c>
      <c r="B111" s="108"/>
      <c r="C111" s="110" t="str">
        <f>'Unit Data from Audit Worksheet'!B111</f>
        <v>Date                        (Enter as "MM/DD/YYYY")</v>
      </c>
      <c r="D111" s="163"/>
      <c r="E111" s="235" t="str">
        <f>IF('Unit Data from Audit Worksheet'!D111&gt;0,'Unit Data from Audit Worksheet'!D111," ")</f>
        <v xml:space="preserve"> </v>
      </c>
      <c r="F111" s="232" t="str">
        <f>'Unit Data from Audit Worksheet'!F111</f>
        <v>Required</v>
      </c>
      <c r="G111" s="388"/>
      <c r="H111" s="154"/>
      <c r="I111" s="20"/>
      <c r="J111" s="111">
        <v>964</v>
      </c>
      <c r="K111" s="233" t="s">
        <v>297</v>
      </c>
      <c r="L111" s="236" t="str">
        <f t="shared" si="11"/>
        <v xml:space="preserve"> </v>
      </c>
      <c r="N111" s="207"/>
      <c r="P111" s="139"/>
      <c r="X111" s="187">
        <v>960</v>
      </c>
      <c r="Y111" s="2">
        <v>960</v>
      </c>
      <c r="AA111" s="258">
        <f t="shared" si="12"/>
        <v>0</v>
      </c>
      <c r="AB111" s="187" t="b">
        <f t="shared" si="13"/>
        <v>1</v>
      </c>
    </row>
    <row r="112" spans="1:28" ht="30.75" customHeight="1" x14ac:dyDescent="0.3">
      <c r="A112" s="546">
        <f>'Unit Data from Audit Worksheet'!A112</f>
        <v>966</v>
      </c>
      <c r="B112" s="108"/>
      <c r="C112" s="109" t="s">
        <v>566</v>
      </c>
      <c r="D112" s="163"/>
      <c r="E112" s="387" t="str">
        <f>_xlfn.TEXTJOIN(",",,TEXT('Unit Data from Audit Worksheet'!D112,"###-###-####")," "&amp;'Unit Data from Audit Worksheet'!D113)</f>
        <v xml:space="preserve">--, </v>
      </c>
      <c r="F112" s="232" t="str">
        <f>'Unit Data from Audit Worksheet'!F112</f>
        <v>Required</v>
      </c>
      <c r="G112" s="157"/>
      <c r="H112" s="154"/>
      <c r="I112" s="20"/>
      <c r="J112" s="111">
        <v>966</v>
      </c>
      <c r="K112" s="233" t="s">
        <v>261</v>
      </c>
      <c r="L112" s="234" t="str">
        <f t="shared" si="11"/>
        <v xml:space="preserve">--, </v>
      </c>
      <c r="N112" s="207"/>
      <c r="P112" s="139"/>
      <c r="X112" s="187">
        <v>962</v>
      </c>
      <c r="Y112" s="2">
        <v>962</v>
      </c>
      <c r="AA112" s="258">
        <f t="shared" si="12"/>
        <v>0</v>
      </c>
      <c r="AB112" s="187" t="b">
        <f t="shared" si="13"/>
        <v>1</v>
      </c>
    </row>
    <row r="113" spans="1:28" ht="30.75" customHeight="1" x14ac:dyDescent="0.3">
      <c r="A113" s="546">
        <f>'Unit Data from Audit Worksheet'!A114</f>
        <v>968</v>
      </c>
      <c r="B113" s="108"/>
      <c r="C113" s="109" t="str">
        <f>'Unit Data from Audit Worksheet'!B114</f>
        <v>E-mail address</v>
      </c>
      <c r="D113" s="163"/>
      <c r="E113" s="231">
        <f>'Unit Data from Audit Worksheet'!D114</f>
        <v>0</v>
      </c>
      <c r="F113" s="232" t="str">
        <f>'Unit Data from Audit Worksheet'!F114</f>
        <v>Required</v>
      </c>
      <c r="G113" s="157"/>
      <c r="H113" s="154"/>
      <c r="I113" s="20"/>
      <c r="J113" s="111">
        <v>968</v>
      </c>
      <c r="K113" s="233" t="s">
        <v>262</v>
      </c>
      <c r="L113" s="234">
        <f t="shared" si="11"/>
        <v>0</v>
      </c>
      <c r="N113" s="207"/>
      <c r="P113" s="139"/>
      <c r="X113" s="187">
        <v>964</v>
      </c>
      <c r="Y113" s="2">
        <v>964</v>
      </c>
      <c r="AA113" s="258">
        <f t="shared" si="12"/>
        <v>0</v>
      </c>
      <c r="AB113" s="187" t="b">
        <f t="shared" si="13"/>
        <v>1</v>
      </c>
    </row>
    <row r="114" spans="1:28" ht="82.95" customHeight="1" x14ac:dyDescent="0.3">
      <c r="A114" s="547">
        <v>980</v>
      </c>
      <c r="B114" s="167" t="s">
        <v>318</v>
      </c>
      <c r="C114" s="171" t="str">
        <f>'TD Info Completed by Auditor'!B27</f>
        <v>Date the auditor presented or plans to present Financial Performance Indicators of Concern (FPIC) to the Governing Board.  If there are no FPICs to present to the governing board,  enter "7/1/2023" to indicate that a FPIC response is not required.</v>
      </c>
      <c r="D114" s="163"/>
      <c r="E114" s="437" t="str">
        <f>IF('TD Info Completed by Auditor'!C27&gt;0,'TD Info Completed by Auditor'!C27," ")</f>
        <v xml:space="preserve"> </v>
      </c>
      <c r="F114" s="237" t="s">
        <v>334</v>
      </c>
      <c r="G114" s="157"/>
      <c r="H114" s="154"/>
      <c r="I114" s="20"/>
      <c r="J114" s="172">
        <v>980</v>
      </c>
      <c r="K114" s="173" t="s">
        <v>313</v>
      </c>
      <c r="L114" s="238" t="str">
        <f t="shared" si="11"/>
        <v xml:space="preserve"> </v>
      </c>
      <c r="N114" s="207"/>
      <c r="P114" s="139"/>
      <c r="X114" s="187">
        <v>966</v>
      </c>
      <c r="Y114" s="2">
        <v>966</v>
      </c>
      <c r="AA114" s="258">
        <f t="shared" si="12"/>
        <v>0</v>
      </c>
      <c r="AB114" s="187" t="b">
        <f t="shared" si="13"/>
        <v>1</v>
      </c>
    </row>
    <row r="115" spans="1:28" s="258" customFormat="1" ht="82.95" customHeight="1" x14ac:dyDescent="0.3">
      <c r="A115" s="547">
        <f>'TD Info Completed by Auditor'!A26</f>
        <v>1079</v>
      </c>
      <c r="B115" s="167"/>
      <c r="C115" s="171" t="str">
        <f>'TD Info Completed by Auditor'!B26</f>
        <v>What date was the audit report submitted to the LGC?  (Note audit reports are due four months after fiscal year end regardless of the contract submission date.)</v>
      </c>
      <c r="D115" s="163"/>
      <c r="E115" s="679">
        <f>'TD Info Completed by Auditor'!C26</f>
        <v>0</v>
      </c>
      <c r="F115" s="237"/>
      <c r="G115" s="157"/>
      <c r="H115" s="154"/>
      <c r="I115" s="20"/>
      <c r="J115" s="172">
        <v>1079</v>
      </c>
      <c r="K115" s="173" t="s">
        <v>950</v>
      </c>
      <c r="L115" s="238">
        <f>E115</f>
        <v>0</v>
      </c>
      <c r="M115" s="119"/>
      <c r="N115" s="207"/>
      <c r="P115" s="139"/>
      <c r="Q115" s="180"/>
      <c r="X115" s="187"/>
      <c r="AB115" s="187"/>
    </row>
    <row r="116" spans="1:28" ht="63.6" customHeight="1" x14ac:dyDescent="0.3">
      <c r="A116" s="215"/>
      <c r="B116" s="59"/>
      <c r="C116" s="216"/>
      <c r="D116" s="217"/>
      <c r="E116" s="218"/>
      <c r="F116" s="219"/>
      <c r="G116" s="220"/>
      <c r="H116" s="221"/>
      <c r="I116" s="20"/>
      <c r="J116" s="101">
        <v>999</v>
      </c>
      <c r="K116" s="227" t="s">
        <v>181</v>
      </c>
      <c r="L116" s="558" t="e">
        <f>'Unit Data from Audit Worksheet'!D3</f>
        <v>#N/A</v>
      </c>
      <c r="N116" s="239" t="s">
        <v>956</v>
      </c>
      <c r="P116" s="139"/>
      <c r="X116" s="187">
        <v>968</v>
      </c>
      <c r="Y116" s="2">
        <v>968</v>
      </c>
      <c r="AA116" s="258">
        <f>A113-J113</f>
        <v>0</v>
      </c>
      <c r="AB116" s="187" t="b">
        <f>EXACT(E113,L113)</f>
        <v>1</v>
      </c>
    </row>
    <row r="117" spans="1:28" customFormat="1" ht="33" customHeight="1" x14ac:dyDescent="0.3"/>
    <row r="118" spans="1:28" customFormat="1" ht="33" customHeight="1" x14ac:dyDescent="0.3"/>
    <row r="119" spans="1:28" ht="29.4" customHeight="1" x14ac:dyDescent="0.3">
      <c r="C119" s="440"/>
      <c r="D119" s="241"/>
      <c r="E119" s="242"/>
      <c r="F119" s="242"/>
      <c r="G119" s="243"/>
      <c r="H119" s="242"/>
      <c r="I119" s="126"/>
      <c r="K119" s="459" t="s">
        <v>599</v>
      </c>
      <c r="L119" s="460" t="e">
        <f>SUM(L4:L102)</f>
        <v>#N/A</v>
      </c>
      <c r="N119" s="3"/>
      <c r="P119" s="139"/>
      <c r="AA119" s="258"/>
    </row>
    <row r="120" spans="1:28" s="258" customFormat="1" ht="27.6" customHeight="1" x14ac:dyDescent="0.3">
      <c r="A120"/>
      <c r="B120"/>
      <c r="C120"/>
      <c r="D120"/>
      <c r="E120"/>
      <c r="F120"/>
      <c r="G120" s="243"/>
      <c r="H120" s="242"/>
      <c r="I120" s="126"/>
      <c r="J120" s="4"/>
      <c r="K120" s="461" t="s">
        <v>583</v>
      </c>
      <c r="L120" s="460"/>
      <c r="M120"/>
      <c r="N120" s="3"/>
      <c r="P120" s="139"/>
      <c r="Q120" s="180"/>
    </row>
    <row r="121" spans="1:28" ht="28.2" customHeight="1" x14ac:dyDescent="0.7">
      <c r="A121" s="144"/>
      <c r="B121" s="144"/>
      <c r="C121" s="51"/>
      <c r="D121" s="50"/>
      <c r="E121" s="61"/>
      <c r="F121" s="50"/>
      <c r="G121" s="243"/>
      <c r="H121" s="242"/>
      <c r="I121" s="244"/>
      <c r="J121" s="96"/>
      <c r="K121" s="95"/>
      <c r="L121" s="460" t="e">
        <f>L119-L120</f>
        <v>#N/A</v>
      </c>
      <c r="N121" s="3"/>
      <c r="P121" s="139"/>
      <c r="AA121" s="258"/>
    </row>
    <row r="122" spans="1:28" ht="23.4" customHeight="1" x14ac:dyDescent="0.3">
      <c r="A122" s="126"/>
      <c r="B122" s="126"/>
      <c r="C122" s="126"/>
      <c r="D122" s="126"/>
      <c r="E122" s="126"/>
      <c r="F122" s="242"/>
      <c r="G122" s="243"/>
      <c r="H122" s="242"/>
      <c r="I122" s="244"/>
      <c r="K122" s="8"/>
      <c r="L122" s="245"/>
      <c r="N122" s="3"/>
      <c r="P122" s="139"/>
      <c r="AA122" s="258"/>
    </row>
    <row r="123" spans="1:28" ht="117" customHeight="1" x14ac:dyDescent="0.3">
      <c r="A123" s="126"/>
      <c r="B123" s="126"/>
      <c r="C123" s="126"/>
      <c r="D123" s="126"/>
      <c r="E123" s="126"/>
      <c r="F123" s="242"/>
      <c r="G123" s="243"/>
      <c r="H123" s="242"/>
      <c r="I123" s="244"/>
      <c r="K123" s="8"/>
      <c r="L123" s="245"/>
      <c r="N123" s="3"/>
      <c r="P123" s="139"/>
      <c r="Y123" s="258">
        <v>590</v>
      </c>
      <c r="AA123" s="258"/>
    </row>
    <row r="124" spans="1:28" ht="25.2" customHeight="1" x14ac:dyDescent="0.3">
      <c r="A124" s="126"/>
      <c r="B124" s="126"/>
      <c r="C124" s="126"/>
      <c r="D124" s="126"/>
      <c r="E124" s="126"/>
      <c r="F124" s="242"/>
      <c r="G124" s="243"/>
      <c r="H124" s="242"/>
      <c r="I124" s="244"/>
      <c r="K124" s="8"/>
      <c r="L124" s="245"/>
      <c r="P124" s="139"/>
      <c r="X124" s="187">
        <f>SUM(X5:X77)</f>
        <v>20698</v>
      </c>
      <c r="Y124" s="2">
        <v>96734</v>
      </c>
      <c r="AA124" s="258"/>
    </row>
    <row r="125" spans="1:28" x14ac:dyDescent="0.3">
      <c r="A125" s="126"/>
      <c r="B125" s="126"/>
      <c r="C125" s="126"/>
      <c r="D125" s="126"/>
      <c r="E125" s="126"/>
      <c r="F125" s="242"/>
      <c r="G125" s="243"/>
      <c r="H125" s="242"/>
      <c r="I125" s="244"/>
      <c r="K125" s="8"/>
      <c r="L125" s="245"/>
      <c r="P125" s="139"/>
      <c r="X125" s="187">
        <f>SUM(X106:X116)</f>
        <v>9578</v>
      </c>
      <c r="AA125" s="258"/>
    </row>
    <row r="126" spans="1:28" ht="18.75" customHeight="1" x14ac:dyDescent="0.3">
      <c r="A126" s="126"/>
      <c r="B126" s="126"/>
      <c r="C126" s="126"/>
      <c r="D126" s="126"/>
      <c r="E126" s="126"/>
      <c r="F126" s="242"/>
      <c r="G126" s="243"/>
      <c r="H126" s="242"/>
      <c r="I126" s="244"/>
      <c r="K126" s="8"/>
      <c r="L126" s="245"/>
      <c r="P126" s="139"/>
      <c r="Y126" s="2" t="s">
        <v>411</v>
      </c>
      <c r="AA126" s="258"/>
    </row>
    <row r="127" spans="1:28" ht="30.75" customHeight="1" x14ac:dyDescent="0.3">
      <c r="A127" s="126"/>
      <c r="B127" s="126"/>
      <c r="C127" s="126"/>
      <c r="D127" s="126"/>
      <c r="E127" s="126"/>
      <c r="F127" s="242"/>
      <c r="G127" s="243"/>
      <c r="H127" s="242"/>
      <c r="I127" s="244"/>
      <c r="K127" s="8"/>
      <c r="L127" s="245"/>
      <c r="P127" s="139"/>
      <c r="X127" s="187">
        <f>SUM(X124:X126)</f>
        <v>30276</v>
      </c>
      <c r="Y127" s="2">
        <f>Y124</f>
        <v>96734</v>
      </c>
      <c r="Z127" s="187">
        <f>X127-Y127</f>
        <v>-66458</v>
      </c>
      <c r="AA127" s="258"/>
    </row>
    <row r="128" spans="1:28" ht="30.75" customHeight="1" x14ac:dyDescent="0.3">
      <c r="A128" s="126"/>
      <c r="B128" s="126"/>
      <c r="C128" s="126"/>
      <c r="D128" s="126"/>
      <c r="E128" s="126"/>
      <c r="F128" s="242"/>
      <c r="G128" s="243"/>
      <c r="H128" s="242"/>
      <c r="I128" s="244"/>
      <c r="K128" s="8"/>
      <c r="L128" s="245"/>
      <c r="P128" s="139"/>
      <c r="AA128" s="258"/>
    </row>
    <row r="129" spans="1:27" ht="30.75" customHeight="1" x14ac:dyDescent="0.3">
      <c r="A129" s="126"/>
      <c r="B129" s="126"/>
      <c r="C129" s="126"/>
      <c r="D129" s="126"/>
      <c r="E129" s="126"/>
      <c r="F129" s="242"/>
      <c r="G129" s="243"/>
      <c r="H129" s="242"/>
      <c r="I129" s="244"/>
      <c r="K129" s="8"/>
      <c r="L129" s="245"/>
      <c r="P129" s="139"/>
      <c r="AA129" s="258"/>
    </row>
    <row r="130" spans="1:27" ht="30.75" customHeight="1" x14ac:dyDescent="0.3">
      <c r="A130" s="126"/>
      <c r="B130" s="126"/>
      <c r="C130" s="126"/>
      <c r="D130" s="126"/>
      <c r="E130" s="126"/>
      <c r="I130" s="244"/>
      <c r="K130" s="8"/>
      <c r="L130" s="245"/>
      <c r="P130" s="139"/>
      <c r="AA130" s="258"/>
    </row>
    <row r="131" spans="1:27" ht="30.75" customHeight="1" x14ac:dyDescent="0.3">
      <c r="A131" s="126"/>
      <c r="B131" s="126"/>
      <c r="C131" s="126"/>
      <c r="D131" s="126"/>
      <c r="E131" s="126"/>
      <c r="I131" s="244"/>
      <c r="L131" s="245"/>
      <c r="P131" s="139"/>
      <c r="AA131" s="258"/>
    </row>
    <row r="132" spans="1:27" x14ac:dyDescent="0.3">
      <c r="A132" s="4"/>
      <c r="B132" s="246"/>
      <c r="C132" s="18"/>
      <c r="D132" s="49"/>
      <c r="I132" s="244"/>
      <c r="L132" s="245"/>
      <c r="P132" s="139"/>
      <c r="AA132" s="258"/>
    </row>
    <row r="133" spans="1:27" x14ac:dyDescent="0.3">
      <c r="A133" s="4"/>
      <c r="B133" s="246"/>
      <c r="C133" s="18"/>
      <c r="D133" s="49"/>
      <c r="I133" s="244"/>
      <c r="L133" s="245"/>
      <c r="P133" s="139"/>
      <c r="AA133" s="258"/>
    </row>
    <row r="134" spans="1:27" x14ac:dyDescent="0.3">
      <c r="D134" s="49"/>
      <c r="I134" s="244"/>
      <c r="P134" s="139"/>
      <c r="AA134" s="258"/>
    </row>
    <row r="135" spans="1:27" x14ac:dyDescent="0.3">
      <c r="D135" s="49"/>
      <c r="P135" s="139"/>
      <c r="AA135" s="258"/>
    </row>
    <row r="136" spans="1:27" x14ac:dyDescent="0.3">
      <c r="D136" s="49"/>
      <c r="P136" s="139"/>
      <c r="AA136" s="258"/>
    </row>
    <row r="137" spans="1:27" x14ac:dyDescent="0.3">
      <c r="D137" s="49"/>
      <c r="P137" s="139"/>
      <c r="AA137" s="258"/>
    </row>
    <row r="138" spans="1:27" x14ac:dyDescent="0.3">
      <c r="A138" s="4"/>
      <c r="B138" s="246"/>
      <c r="C138" s="18"/>
      <c r="D138" s="49"/>
      <c r="P138" s="139"/>
      <c r="AA138" s="258"/>
    </row>
    <row r="139" spans="1:27" x14ac:dyDescent="0.3">
      <c r="A139" s="4"/>
      <c r="B139" s="246"/>
      <c r="C139" s="18"/>
      <c r="D139" s="49"/>
      <c r="P139" s="139"/>
      <c r="AA139" s="258"/>
    </row>
    <row r="140" spans="1:27" x14ac:dyDescent="0.3">
      <c r="D140" s="49"/>
      <c r="P140" s="139"/>
      <c r="AA140" s="258"/>
    </row>
    <row r="141" spans="1:27" x14ac:dyDescent="0.3">
      <c r="D141" s="49"/>
      <c r="P141" s="139"/>
      <c r="AA141" s="258"/>
    </row>
    <row r="142" spans="1:27" x14ac:dyDescent="0.3">
      <c r="D142" s="49"/>
      <c r="P142" s="139"/>
      <c r="AA142" s="258"/>
    </row>
    <row r="143" spans="1:27" x14ac:dyDescent="0.3">
      <c r="D143" s="49"/>
      <c r="P143" s="139"/>
      <c r="AA143" s="258"/>
    </row>
    <row r="144" spans="1:27" x14ac:dyDescent="0.3">
      <c r="A144" s="4"/>
      <c r="B144" s="246"/>
      <c r="C144" s="18"/>
      <c r="D144" s="49"/>
      <c r="P144" s="139"/>
      <c r="AA144" s="258"/>
    </row>
    <row r="145" spans="1:27" x14ac:dyDescent="0.3">
      <c r="A145" s="4"/>
      <c r="B145" s="246"/>
      <c r="C145" s="18"/>
      <c r="D145" s="49"/>
      <c r="P145" s="139"/>
      <c r="AA145" s="258"/>
    </row>
    <row r="146" spans="1:27" x14ac:dyDescent="0.3">
      <c r="D146" s="49"/>
      <c r="P146" s="139"/>
      <c r="AA146" s="258"/>
    </row>
    <row r="147" spans="1:27" x14ac:dyDescent="0.3">
      <c r="D147" s="49"/>
      <c r="P147" s="139"/>
      <c r="AA147" s="258"/>
    </row>
    <row r="148" spans="1:27" x14ac:dyDescent="0.3">
      <c r="D148" s="49"/>
      <c r="P148" s="139"/>
      <c r="AA148" s="258"/>
    </row>
    <row r="149" spans="1:27" x14ac:dyDescent="0.3">
      <c r="D149" s="49"/>
      <c r="P149" s="139"/>
      <c r="AA149" s="258"/>
    </row>
    <row r="150" spans="1:27" x14ac:dyDescent="0.3">
      <c r="A150" s="4"/>
      <c r="B150" s="246"/>
      <c r="C150" s="18"/>
      <c r="D150" s="49"/>
      <c r="P150" s="139"/>
      <c r="AA150" s="258"/>
    </row>
    <row r="151" spans="1:27" x14ac:dyDescent="0.3">
      <c r="A151" s="4"/>
      <c r="B151" s="246"/>
      <c r="C151" s="18"/>
      <c r="D151" s="49"/>
      <c r="P151" s="139"/>
      <c r="AA151" s="258"/>
    </row>
    <row r="152" spans="1:27" x14ac:dyDescent="0.3">
      <c r="A152" s="4"/>
      <c r="B152" s="246"/>
      <c r="C152" s="18"/>
      <c r="D152" s="49"/>
      <c r="P152" s="139"/>
      <c r="AA152" s="258"/>
    </row>
    <row r="153" spans="1:27" x14ac:dyDescent="0.3">
      <c r="A153" s="4"/>
      <c r="B153" s="246"/>
      <c r="C153" s="18"/>
      <c r="D153" s="49"/>
      <c r="P153" s="139"/>
      <c r="AA153" s="258"/>
    </row>
    <row r="154" spans="1:27" x14ac:dyDescent="0.3">
      <c r="D154" s="49"/>
      <c r="P154" s="139"/>
      <c r="AA154" s="258"/>
    </row>
    <row r="155" spans="1:27" x14ac:dyDescent="0.3">
      <c r="D155" s="49"/>
      <c r="P155" s="139"/>
      <c r="AA155" s="258"/>
    </row>
    <row r="156" spans="1:27" x14ac:dyDescent="0.3">
      <c r="D156" s="49"/>
      <c r="P156" s="139"/>
      <c r="AA156" s="258"/>
    </row>
    <row r="157" spans="1:27" x14ac:dyDescent="0.3">
      <c r="A157" s="4"/>
      <c r="B157" s="246"/>
      <c r="C157" s="18"/>
      <c r="D157" s="49"/>
      <c r="P157" s="139"/>
      <c r="AA157" s="258"/>
    </row>
    <row r="158" spans="1:27" x14ac:dyDescent="0.3">
      <c r="A158" s="4"/>
      <c r="B158" s="246"/>
      <c r="C158" s="18"/>
      <c r="D158" s="49"/>
      <c r="P158" s="139"/>
      <c r="AA158" s="258"/>
    </row>
    <row r="159" spans="1:27" x14ac:dyDescent="0.3">
      <c r="A159" s="4"/>
      <c r="B159" s="246"/>
      <c r="C159" s="18"/>
      <c r="D159" s="49"/>
      <c r="P159" s="139"/>
      <c r="AA159" s="258"/>
    </row>
    <row r="160" spans="1:27" x14ac:dyDescent="0.3">
      <c r="A160" s="4"/>
      <c r="B160" s="246"/>
      <c r="C160" s="18"/>
      <c r="D160" s="49"/>
      <c r="P160" s="139"/>
      <c r="AA160" s="258"/>
    </row>
    <row r="161" spans="1:27" x14ac:dyDescent="0.3">
      <c r="A161" s="4"/>
      <c r="B161" s="246"/>
      <c r="C161" s="18"/>
      <c r="D161" s="49"/>
      <c r="P161" s="139"/>
      <c r="AA161" s="258"/>
    </row>
    <row r="162" spans="1:27" x14ac:dyDescent="0.3">
      <c r="A162" s="4"/>
      <c r="B162" s="246"/>
      <c r="C162" s="18"/>
      <c r="D162" s="49"/>
      <c r="P162" s="139"/>
      <c r="AA162" s="258"/>
    </row>
    <row r="163" spans="1:27" x14ac:dyDescent="0.3">
      <c r="A163" s="4"/>
      <c r="B163" s="246"/>
      <c r="C163" s="18"/>
      <c r="D163" s="49"/>
      <c r="P163" s="139"/>
      <c r="AA163" s="258"/>
    </row>
    <row r="164" spans="1:27" x14ac:dyDescent="0.3">
      <c r="A164" s="4"/>
      <c r="B164" s="246"/>
      <c r="C164" s="18"/>
      <c r="D164" s="49"/>
      <c r="P164" s="139"/>
      <c r="AA164" s="258"/>
    </row>
    <row r="165" spans="1:27" x14ac:dyDescent="0.3">
      <c r="A165" s="4"/>
      <c r="B165" s="246"/>
      <c r="C165" s="18"/>
      <c r="D165" s="49"/>
      <c r="P165" s="139"/>
      <c r="AA165" s="258"/>
    </row>
    <row r="166" spans="1:27" x14ac:dyDescent="0.3">
      <c r="A166" s="4"/>
      <c r="B166" s="246"/>
      <c r="C166" s="18"/>
      <c r="D166" s="49"/>
      <c r="P166" s="139"/>
      <c r="AA166" s="258"/>
    </row>
    <row r="167" spans="1:27" x14ac:dyDescent="0.3">
      <c r="A167" s="4"/>
      <c r="B167" s="246"/>
      <c r="C167" s="18"/>
      <c r="D167" s="49"/>
      <c r="P167" s="139"/>
      <c r="AA167" s="258"/>
    </row>
    <row r="168" spans="1:27" x14ac:dyDescent="0.3">
      <c r="A168" s="4"/>
      <c r="B168" s="246"/>
      <c r="C168" s="18"/>
      <c r="D168" s="49"/>
      <c r="P168" s="139"/>
      <c r="AA168" s="258"/>
    </row>
    <row r="169" spans="1:27" x14ac:dyDescent="0.3">
      <c r="A169" s="4"/>
      <c r="B169" s="246"/>
      <c r="C169" s="18"/>
      <c r="D169" s="49"/>
      <c r="P169" s="139"/>
      <c r="AA169" s="258"/>
    </row>
    <row r="170" spans="1:27" x14ac:dyDescent="0.3">
      <c r="A170" s="4"/>
      <c r="B170" s="246"/>
      <c r="C170" s="18"/>
      <c r="D170" s="49"/>
      <c r="P170" s="139"/>
      <c r="AA170" s="258"/>
    </row>
    <row r="171" spans="1:27" x14ac:dyDescent="0.3">
      <c r="A171" s="4"/>
      <c r="B171" s="246"/>
      <c r="C171" s="18"/>
      <c r="D171" s="49"/>
      <c r="P171" s="139"/>
      <c r="AA171" s="258"/>
    </row>
    <row r="172" spans="1:27" x14ac:dyDescent="0.3">
      <c r="A172" s="4"/>
      <c r="B172" s="246"/>
      <c r="C172" s="18"/>
      <c r="D172" s="49"/>
      <c r="P172" s="139"/>
      <c r="AA172" s="258"/>
    </row>
    <row r="173" spans="1:27" x14ac:dyDescent="0.3">
      <c r="A173" s="4"/>
      <c r="B173" s="246"/>
      <c r="C173" s="18"/>
      <c r="D173" s="49"/>
      <c r="P173" s="139"/>
      <c r="AA173" s="258"/>
    </row>
    <row r="174" spans="1:27" x14ac:dyDescent="0.3">
      <c r="A174" s="4"/>
      <c r="B174" s="246"/>
      <c r="C174" s="18"/>
      <c r="D174" s="49"/>
      <c r="P174" s="139"/>
      <c r="AA174" s="258"/>
    </row>
    <row r="175" spans="1:27" x14ac:dyDescent="0.3">
      <c r="A175" s="4"/>
      <c r="B175" s="246"/>
      <c r="C175" s="18"/>
      <c r="D175" s="49"/>
      <c r="P175" s="139"/>
      <c r="AA175" s="258"/>
    </row>
    <row r="176" spans="1:27" x14ac:dyDescent="0.3">
      <c r="A176" s="4"/>
      <c r="B176" s="246"/>
      <c r="C176" s="18"/>
      <c r="D176" s="49"/>
      <c r="P176" s="139"/>
      <c r="AA176" s="258"/>
    </row>
    <row r="177" spans="1:27" x14ac:dyDescent="0.3">
      <c r="A177" s="4"/>
      <c r="B177" s="246"/>
      <c r="C177" s="18"/>
      <c r="D177" s="49"/>
      <c r="P177" s="139"/>
      <c r="AA177" s="258"/>
    </row>
    <row r="178" spans="1:27" x14ac:dyDescent="0.3">
      <c r="A178" s="4"/>
      <c r="B178" s="246"/>
      <c r="C178" s="18"/>
      <c r="D178" s="49"/>
      <c r="P178" s="139"/>
    </row>
    <row r="179" spans="1:27" x14ac:dyDescent="0.3">
      <c r="A179" s="4"/>
      <c r="B179" s="246"/>
      <c r="C179" s="18"/>
      <c r="D179" s="49"/>
      <c r="P179" s="139"/>
    </row>
    <row r="180" spans="1:27" x14ac:dyDescent="0.3">
      <c r="A180" s="4"/>
      <c r="B180" s="246"/>
      <c r="C180" s="18"/>
      <c r="D180" s="49"/>
      <c r="P180" s="139"/>
    </row>
    <row r="181" spans="1:27" x14ac:dyDescent="0.3">
      <c r="A181" s="4"/>
      <c r="B181" s="246"/>
      <c r="C181" s="18"/>
      <c r="D181" s="49"/>
      <c r="P181" s="139"/>
    </row>
    <row r="182" spans="1:27" x14ac:dyDescent="0.3">
      <c r="A182" s="4"/>
      <c r="B182" s="246"/>
      <c r="C182" s="18"/>
      <c r="D182" s="49"/>
      <c r="P182" s="139"/>
    </row>
    <row r="183" spans="1:27" x14ac:dyDescent="0.3">
      <c r="A183" s="4"/>
      <c r="B183" s="246"/>
      <c r="C183" s="18"/>
      <c r="D183" s="49"/>
      <c r="P183" s="139"/>
    </row>
    <row r="184" spans="1:27" x14ac:dyDescent="0.3">
      <c r="A184" s="4"/>
      <c r="B184" s="246"/>
      <c r="C184" s="18"/>
      <c r="D184" s="49"/>
      <c r="P184" s="139"/>
    </row>
    <row r="185" spans="1:27" x14ac:dyDescent="0.3">
      <c r="A185" s="4"/>
      <c r="B185" s="246"/>
      <c r="C185" s="18"/>
      <c r="D185" s="49"/>
      <c r="P185" s="139"/>
    </row>
    <row r="186" spans="1:27" x14ac:dyDescent="0.3">
      <c r="A186" s="4"/>
      <c r="B186" s="246"/>
      <c r="C186" s="18"/>
      <c r="D186" s="49"/>
      <c r="P186" s="139"/>
    </row>
    <row r="187" spans="1:27" x14ac:dyDescent="0.3">
      <c r="A187" s="4"/>
      <c r="B187" s="246"/>
      <c r="C187" s="18"/>
      <c r="D187" s="49"/>
      <c r="P187" s="139"/>
    </row>
    <row r="188" spans="1:27" x14ac:dyDescent="0.3">
      <c r="A188" s="4"/>
      <c r="B188" s="246"/>
      <c r="C188" s="18"/>
      <c r="D188" s="49"/>
      <c r="P188" s="139"/>
    </row>
    <row r="189" spans="1:27" x14ac:dyDescent="0.3">
      <c r="A189" s="4"/>
      <c r="B189" s="246"/>
      <c r="C189" s="18"/>
      <c r="D189" s="49"/>
      <c r="P189" s="139"/>
    </row>
    <row r="190" spans="1:27" x14ac:dyDescent="0.3">
      <c r="A190" s="4"/>
      <c r="B190" s="246"/>
      <c r="C190" s="18"/>
      <c r="D190" s="49"/>
      <c r="P190" s="139"/>
    </row>
    <row r="191" spans="1:27" x14ac:dyDescent="0.3">
      <c r="A191" s="4"/>
      <c r="B191" s="246"/>
      <c r="C191" s="18"/>
      <c r="D191" s="49"/>
      <c r="P191" s="139"/>
    </row>
    <row r="192" spans="1:27" x14ac:dyDescent="0.3">
      <c r="A192" s="4"/>
      <c r="B192" s="246"/>
      <c r="C192" s="18"/>
      <c r="D192" s="49"/>
      <c r="P192" s="139"/>
    </row>
    <row r="193" spans="1:16" x14ac:dyDescent="0.3">
      <c r="A193" s="4"/>
      <c r="B193" s="246"/>
      <c r="C193" s="18"/>
      <c r="D193" s="49"/>
      <c r="P193" s="139"/>
    </row>
    <row r="194" spans="1:16" x14ac:dyDescent="0.3">
      <c r="A194" s="4"/>
      <c r="B194" s="246"/>
      <c r="C194" s="18"/>
      <c r="D194" s="49"/>
      <c r="P194" s="139"/>
    </row>
    <row r="195" spans="1:16" x14ac:dyDescent="0.3">
      <c r="A195" s="4"/>
      <c r="B195" s="246"/>
      <c r="C195" s="18"/>
      <c r="D195" s="49"/>
      <c r="P195" s="139"/>
    </row>
    <row r="196" spans="1:16" x14ac:dyDescent="0.3">
      <c r="A196" s="4"/>
      <c r="B196" s="246"/>
      <c r="C196" s="18"/>
      <c r="D196" s="49"/>
      <c r="P196" s="139"/>
    </row>
    <row r="197" spans="1:16" x14ac:dyDescent="0.3">
      <c r="A197" s="4"/>
      <c r="B197" s="246"/>
      <c r="C197" s="18"/>
      <c r="D197" s="49"/>
      <c r="P197" s="139"/>
    </row>
    <row r="198" spans="1:16" x14ac:dyDescent="0.3">
      <c r="A198" s="4"/>
      <c r="B198" s="246"/>
      <c r="C198" s="18"/>
      <c r="D198" s="49"/>
      <c r="P198" s="139"/>
    </row>
    <row r="199" spans="1:16" x14ac:dyDescent="0.3">
      <c r="A199" s="4"/>
      <c r="B199" s="246"/>
      <c r="C199" s="18"/>
      <c r="D199" s="49"/>
      <c r="P199" s="139"/>
    </row>
    <row r="200" spans="1:16" x14ac:dyDescent="0.3">
      <c r="A200" s="4"/>
      <c r="B200" s="246"/>
      <c r="C200" s="18"/>
      <c r="D200" s="49"/>
      <c r="P200" s="139"/>
    </row>
    <row r="201" spans="1:16" x14ac:dyDescent="0.3">
      <c r="A201" s="4"/>
      <c r="B201" s="246"/>
      <c r="C201" s="18"/>
      <c r="D201" s="49"/>
      <c r="P201" s="139"/>
    </row>
    <row r="202" spans="1:16" x14ac:dyDescent="0.3">
      <c r="A202" s="4"/>
      <c r="B202" s="246"/>
      <c r="C202" s="18"/>
      <c r="D202" s="49"/>
      <c r="P202" s="139"/>
    </row>
    <row r="203" spans="1:16" x14ac:dyDescent="0.3">
      <c r="A203" s="4"/>
      <c r="B203" s="246"/>
      <c r="C203" s="18"/>
      <c r="D203" s="49"/>
      <c r="P203" s="139"/>
    </row>
    <row r="204" spans="1:16" x14ac:dyDescent="0.3">
      <c r="A204" s="4"/>
      <c r="B204" s="246"/>
      <c r="C204" s="18"/>
      <c r="D204" s="49"/>
      <c r="P204" s="139"/>
    </row>
    <row r="205" spans="1:16" x14ac:dyDescent="0.3">
      <c r="A205" s="4"/>
      <c r="B205" s="246"/>
      <c r="C205" s="18"/>
      <c r="D205" s="49"/>
      <c r="P205" s="139"/>
    </row>
    <row r="206" spans="1:16" x14ac:dyDescent="0.3">
      <c r="A206" s="4"/>
      <c r="B206" s="246"/>
      <c r="C206" s="18"/>
      <c r="D206" s="49"/>
      <c r="P206" s="139"/>
    </row>
    <row r="207" spans="1:16" x14ac:dyDescent="0.3">
      <c r="A207" s="4"/>
      <c r="B207" s="246"/>
      <c r="C207" s="18"/>
      <c r="D207" s="49"/>
      <c r="P207" s="139"/>
    </row>
    <row r="208" spans="1:16" x14ac:dyDescent="0.3">
      <c r="A208" s="4"/>
      <c r="B208" s="246"/>
      <c r="C208" s="18"/>
      <c r="D208" s="49"/>
      <c r="P208" s="139"/>
    </row>
    <row r="209" spans="1:16" x14ac:dyDescent="0.3">
      <c r="A209" s="4"/>
      <c r="B209" s="246"/>
      <c r="C209" s="18"/>
      <c r="D209" s="49"/>
      <c r="P209" s="139"/>
    </row>
    <row r="210" spans="1:16" x14ac:dyDescent="0.3">
      <c r="A210" s="4"/>
      <c r="B210" s="246"/>
      <c r="C210" s="18"/>
      <c r="D210" s="49"/>
      <c r="P210" s="139"/>
    </row>
    <row r="211" spans="1:16" x14ac:dyDescent="0.3">
      <c r="A211" s="4"/>
      <c r="B211" s="246"/>
      <c r="C211" s="18"/>
      <c r="D211" s="49"/>
      <c r="P211" s="139"/>
    </row>
    <row r="212" spans="1:16" x14ac:dyDescent="0.3">
      <c r="A212" s="4"/>
      <c r="B212" s="246"/>
      <c r="C212" s="18"/>
      <c r="D212" s="49"/>
      <c r="P212" s="139"/>
    </row>
    <row r="213" spans="1:16" x14ac:dyDescent="0.3">
      <c r="A213" s="4"/>
      <c r="B213" s="246"/>
      <c r="C213" s="18"/>
      <c r="D213" s="49"/>
      <c r="P213" s="139"/>
    </row>
    <row r="214" spans="1:16" x14ac:dyDescent="0.3">
      <c r="A214" s="4"/>
      <c r="B214" s="246"/>
      <c r="C214" s="18"/>
      <c r="D214" s="49"/>
      <c r="P214" s="139"/>
    </row>
    <row r="215" spans="1:16" x14ac:dyDescent="0.3">
      <c r="A215" s="4"/>
      <c r="B215" s="246"/>
      <c r="C215" s="18"/>
      <c r="D215" s="49"/>
      <c r="P215" s="139"/>
    </row>
    <row r="216" spans="1:16" x14ac:dyDescent="0.3">
      <c r="A216" s="4"/>
      <c r="B216" s="246"/>
      <c r="C216" s="18"/>
      <c r="D216" s="49"/>
      <c r="P216" s="139"/>
    </row>
    <row r="217" spans="1:16" x14ac:dyDescent="0.3">
      <c r="A217" s="4"/>
      <c r="B217" s="246"/>
      <c r="C217" s="18"/>
      <c r="D217" s="49"/>
      <c r="P217" s="139"/>
    </row>
    <row r="218" spans="1:16" x14ac:dyDescent="0.3">
      <c r="A218" s="4"/>
      <c r="B218" s="246"/>
      <c r="C218" s="18"/>
      <c r="D218" s="49"/>
      <c r="P218" s="139"/>
    </row>
    <row r="219" spans="1:16" x14ac:dyDescent="0.3">
      <c r="A219" s="4"/>
      <c r="B219" s="246"/>
      <c r="C219" s="18"/>
      <c r="D219" s="49"/>
      <c r="P219" s="139"/>
    </row>
    <row r="220" spans="1:16" x14ac:dyDescent="0.3">
      <c r="A220" s="4"/>
      <c r="B220" s="246"/>
      <c r="C220" s="18"/>
      <c r="D220" s="49"/>
      <c r="P220" s="139"/>
    </row>
    <row r="221" spans="1:16" x14ac:dyDescent="0.3">
      <c r="A221" s="4"/>
      <c r="B221" s="246"/>
      <c r="C221" s="18"/>
      <c r="D221" s="49"/>
      <c r="P221" s="139"/>
    </row>
    <row r="222" spans="1:16" x14ac:dyDescent="0.3">
      <c r="A222" s="4"/>
      <c r="B222" s="246"/>
      <c r="C222" s="18"/>
      <c r="D222" s="49"/>
      <c r="P222" s="139"/>
    </row>
    <row r="223" spans="1:16" x14ac:dyDescent="0.3">
      <c r="A223" s="4"/>
      <c r="B223" s="246"/>
      <c r="C223" s="18"/>
      <c r="D223" s="49"/>
      <c r="P223" s="139"/>
    </row>
    <row r="224" spans="1:16" x14ac:dyDescent="0.3">
      <c r="A224" s="4"/>
      <c r="B224" s="246"/>
      <c r="C224" s="18"/>
      <c r="D224" s="49"/>
      <c r="P224" s="139"/>
    </row>
    <row r="225" spans="1:16" x14ac:dyDescent="0.3">
      <c r="A225" s="4"/>
      <c r="B225" s="246"/>
      <c r="C225" s="18"/>
      <c r="D225" s="49"/>
      <c r="P225" s="139"/>
    </row>
    <row r="226" spans="1:16" x14ac:dyDescent="0.3">
      <c r="A226" s="4"/>
      <c r="B226" s="246"/>
      <c r="C226" s="18"/>
      <c r="D226" s="49"/>
      <c r="P226" s="139"/>
    </row>
    <row r="227" spans="1:16" x14ac:dyDescent="0.3">
      <c r="A227" s="4"/>
      <c r="B227" s="246"/>
      <c r="C227" s="18"/>
      <c r="D227" s="49"/>
      <c r="P227" s="139"/>
    </row>
    <row r="228" spans="1:16" x14ac:dyDescent="0.3">
      <c r="A228" s="4"/>
      <c r="B228" s="246"/>
      <c r="C228" s="18"/>
      <c r="D228" s="49"/>
      <c r="P228" s="139"/>
    </row>
    <row r="229" spans="1:16" x14ac:dyDescent="0.3">
      <c r="A229" s="4"/>
      <c r="B229" s="246"/>
      <c r="C229" s="18"/>
      <c r="D229" s="49"/>
      <c r="P229" s="139"/>
    </row>
    <row r="230" spans="1:16" x14ac:dyDescent="0.3">
      <c r="A230" s="4"/>
      <c r="B230" s="246"/>
      <c r="C230" s="18"/>
      <c r="D230" s="49"/>
      <c r="P230" s="139"/>
    </row>
    <row r="231" spans="1:16" x14ac:dyDescent="0.3">
      <c r="A231" s="4"/>
      <c r="B231" s="246"/>
      <c r="C231" s="18"/>
      <c r="D231" s="49"/>
      <c r="P231" s="139"/>
    </row>
    <row r="232" spans="1:16" x14ac:dyDescent="0.3">
      <c r="A232" s="4"/>
      <c r="B232" s="246"/>
      <c r="C232" s="18"/>
      <c r="D232" s="49"/>
      <c r="P232" s="139"/>
    </row>
    <row r="233" spans="1:16" x14ac:dyDescent="0.3">
      <c r="A233" s="4"/>
      <c r="B233" s="246"/>
      <c r="C233" s="18"/>
      <c r="D233" s="49"/>
      <c r="P233" s="139"/>
    </row>
    <row r="234" spans="1:16" x14ac:dyDescent="0.3">
      <c r="A234" s="4"/>
      <c r="B234" s="246"/>
      <c r="C234" s="18"/>
      <c r="D234" s="49"/>
      <c r="P234" s="139"/>
    </row>
    <row r="235" spans="1:16" x14ac:dyDescent="0.3">
      <c r="A235" s="4"/>
      <c r="B235" s="246"/>
      <c r="C235" s="18"/>
      <c r="D235" s="49"/>
      <c r="P235" s="139"/>
    </row>
    <row r="236" spans="1:16" x14ac:dyDescent="0.3">
      <c r="A236" s="4"/>
      <c r="B236" s="246"/>
      <c r="C236" s="18"/>
      <c r="D236" s="49"/>
      <c r="P236" s="139"/>
    </row>
    <row r="237" spans="1:16" x14ac:dyDescent="0.3">
      <c r="A237" s="4"/>
      <c r="B237" s="246"/>
      <c r="C237" s="18"/>
      <c r="D237" s="49"/>
    </row>
    <row r="238" spans="1:16" x14ac:dyDescent="0.3">
      <c r="A238" s="4"/>
      <c r="B238" s="246"/>
      <c r="C238" s="18"/>
      <c r="D238" s="49"/>
      <c r="P238" s="139"/>
    </row>
    <row r="239" spans="1:16" x14ac:dyDescent="0.3">
      <c r="A239" s="4"/>
      <c r="B239" s="246"/>
      <c r="C239" s="18"/>
      <c r="D239" s="49"/>
    </row>
    <row r="240" spans="1:16" x14ac:dyDescent="0.3">
      <c r="A240" s="4"/>
      <c r="B240" s="246"/>
      <c r="C240" s="18"/>
      <c r="D240" s="49"/>
    </row>
    <row r="241" spans="1:4" x14ac:dyDescent="0.3">
      <c r="A241" s="4"/>
      <c r="B241" s="246"/>
      <c r="C241" s="18"/>
      <c r="D241" s="49"/>
    </row>
    <row r="242" spans="1:4" x14ac:dyDescent="0.3">
      <c r="A242" s="4"/>
      <c r="B242" s="246"/>
      <c r="C242" s="18"/>
      <c r="D242" s="49"/>
    </row>
    <row r="243" spans="1:4" x14ac:dyDescent="0.3">
      <c r="A243" s="4"/>
      <c r="B243" s="246"/>
      <c r="C243" s="18"/>
      <c r="D243" s="49"/>
    </row>
    <row r="244" spans="1:4" x14ac:dyDescent="0.3">
      <c r="A244" s="4"/>
      <c r="B244" s="246"/>
      <c r="C244" s="18"/>
      <c r="D244" s="49"/>
    </row>
    <row r="245" spans="1:4" x14ac:dyDescent="0.3">
      <c r="A245" s="4"/>
      <c r="B245" s="246"/>
      <c r="C245" s="18"/>
      <c r="D245" s="49"/>
    </row>
    <row r="246" spans="1:4" x14ac:dyDescent="0.3">
      <c r="A246" s="4"/>
      <c r="B246" s="246"/>
      <c r="C246" s="18"/>
      <c r="D246" s="49"/>
    </row>
    <row r="247" spans="1:4" x14ac:dyDescent="0.3">
      <c r="A247" s="4"/>
      <c r="B247" s="246"/>
      <c r="C247" s="18"/>
      <c r="D247" s="49"/>
    </row>
    <row r="248" spans="1:4" x14ac:dyDescent="0.3">
      <c r="A248" s="4"/>
      <c r="B248" s="246"/>
      <c r="C248" s="18"/>
      <c r="D248" s="49"/>
    </row>
    <row r="249" spans="1:4" x14ac:dyDescent="0.3">
      <c r="A249" s="4"/>
      <c r="B249" s="246"/>
      <c r="C249" s="18"/>
      <c r="D249" s="49"/>
    </row>
    <row r="250" spans="1:4" x14ac:dyDescent="0.3">
      <c r="A250" s="4"/>
      <c r="B250" s="246"/>
      <c r="C250" s="18"/>
      <c r="D250" s="49"/>
    </row>
    <row r="251" spans="1:4" x14ac:dyDescent="0.3">
      <c r="A251" s="4"/>
      <c r="B251" s="246"/>
      <c r="C251" s="18"/>
      <c r="D251" s="49"/>
    </row>
    <row r="252" spans="1:4" x14ac:dyDescent="0.3">
      <c r="A252" s="4"/>
      <c r="B252" s="246"/>
      <c r="C252" s="18"/>
      <c r="D252" s="49"/>
    </row>
    <row r="253" spans="1:4" x14ac:dyDescent="0.3">
      <c r="A253" s="4"/>
      <c r="B253" s="246"/>
      <c r="C253" s="18"/>
      <c r="D253" s="49"/>
    </row>
    <row r="254" spans="1:4" x14ac:dyDescent="0.3">
      <c r="A254" s="4"/>
      <c r="B254" s="246"/>
      <c r="C254" s="18"/>
      <c r="D254" s="49"/>
    </row>
    <row r="255" spans="1:4" x14ac:dyDescent="0.3">
      <c r="A255" s="4"/>
      <c r="B255" s="246"/>
      <c r="C255" s="18"/>
      <c r="D255" s="49"/>
    </row>
    <row r="256" spans="1:4" x14ac:dyDescent="0.3">
      <c r="A256" s="4"/>
      <c r="B256" s="246"/>
      <c r="C256" s="18"/>
      <c r="D256" s="49"/>
    </row>
    <row r="257" spans="1:4" x14ac:dyDescent="0.3">
      <c r="A257" s="4"/>
      <c r="B257" s="246"/>
      <c r="C257" s="18"/>
      <c r="D257" s="49"/>
    </row>
    <row r="258" spans="1:4" x14ac:dyDescent="0.3">
      <c r="A258" s="4"/>
      <c r="B258" s="246"/>
      <c r="C258" s="18"/>
      <c r="D258" s="49"/>
    </row>
    <row r="259" spans="1:4" x14ac:dyDescent="0.3">
      <c r="A259" s="4"/>
      <c r="B259" s="246"/>
      <c r="C259" s="18"/>
      <c r="D259" s="49"/>
    </row>
    <row r="260" spans="1:4" x14ac:dyDescent="0.3">
      <c r="A260" s="4"/>
      <c r="B260" s="246"/>
      <c r="C260" s="18"/>
      <c r="D260" s="49"/>
    </row>
    <row r="261" spans="1:4" x14ac:dyDescent="0.3">
      <c r="A261" s="4"/>
      <c r="B261" s="246"/>
      <c r="C261" s="18"/>
      <c r="D261" s="49"/>
    </row>
    <row r="262" spans="1:4" x14ac:dyDescent="0.3">
      <c r="A262" s="4"/>
      <c r="B262" s="246"/>
      <c r="C262" s="18"/>
      <c r="D262" s="49"/>
    </row>
    <row r="263" spans="1:4" x14ac:dyDescent="0.3">
      <c r="A263" s="4"/>
      <c r="B263" s="246"/>
      <c r="C263" s="18"/>
      <c r="D263" s="49"/>
    </row>
    <row r="264" spans="1:4" x14ac:dyDescent="0.3">
      <c r="A264" s="4"/>
      <c r="B264" s="246"/>
      <c r="C264" s="18"/>
      <c r="D264" s="49"/>
    </row>
    <row r="265" spans="1:4" x14ac:dyDescent="0.3">
      <c r="A265" s="4"/>
      <c r="B265" s="246"/>
      <c r="C265" s="18"/>
      <c r="D265" s="49"/>
    </row>
    <row r="266" spans="1:4" x14ac:dyDescent="0.3">
      <c r="A266" s="4"/>
      <c r="B266" s="246"/>
      <c r="C266" s="18"/>
      <c r="D266" s="49"/>
    </row>
    <row r="267" spans="1:4" x14ac:dyDescent="0.3">
      <c r="A267" s="4"/>
      <c r="B267" s="246"/>
      <c r="C267" s="18"/>
      <c r="D267" s="49"/>
    </row>
    <row r="268" spans="1:4" x14ac:dyDescent="0.3">
      <c r="A268" s="4"/>
      <c r="B268" s="246"/>
      <c r="C268" s="18"/>
      <c r="D268" s="49"/>
    </row>
    <row r="269" spans="1:4" x14ac:dyDescent="0.3">
      <c r="D269" s="49"/>
    </row>
    <row r="270" spans="1:4" x14ac:dyDescent="0.3">
      <c r="D270" s="49"/>
    </row>
    <row r="271" spans="1:4" x14ac:dyDescent="0.3">
      <c r="D271" s="49"/>
    </row>
    <row r="272" spans="1:4" x14ac:dyDescent="0.3">
      <c r="D272" s="49"/>
    </row>
    <row r="273" spans="4:4" x14ac:dyDescent="0.3">
      <c r="D273" s="49"/>
    </row>
    <row r="274" spans="4:4" x14ac:dyDescent="0.3">
      <c r="D274" s="49"/>
    </row>
    <row r="275" spans="4:4" x14ac:dyDescent="0.3">
      <c r="D275" s="49"/>
    </row>
    <row r="276" spans="4:4" x14ac:dyDescent="0.3">
      <c r="D276" s="49"/>
    </row>
    <row r="277" spans="4:4" x14ac:dyDescent="0.3">
      <c r="D277" s="49"/>
    </row>
    <row r="278" spans="4:4" x14ac:dyDescent="0.3">
      <c r="D278" s="49"/>
    </row>
    <row r="279" spans="4:4" x14ac:dyDescent="0.3">
      <c r="D279" s="49"/>
    </row>
    <row r="280" spans="4:4" x14ac:dyDescent="0.3">
      <c r="D280" s="49"/>
    </row>
    <row r="281" spans="4:4" x14ac:dyDescent="0.3">
      <c r="D281" s="49"/>
    </row>
    <row r="282" spans="4:4" x14ac:dyDescent="0.3">
      <c r="D282" s="49"/>
    </row>
    <row r="283" spans="4:4" x14ac:dyDescent="0.3">
      <c r="D283" s="49"/>
    </row>
    <row r="284" spans="4:4" x14ac:dyDescent="0.3">
      <c r="D284" s="49"/>
    </row>
    <row r="285" spans="4:4" x14ac:dyDescent="0.3">
      <c r="D285" s="49"/>
    </row>
    <row r="286" spans="4:4" x14ac:dyDescent="0.3">
      <c r="D286" s="49"/>
    </row>
    <row r="287" spans="4:4" x14ac:dyDescent="0.3">
      <c r="D287" s="49"/>
    </row>
    <row r="288" spans="4:4" x14ac:dyDescent="0.3">
      <c r="D288" s="49"/>
    </row>
    <row r="289" spans="4:4" x14ac:dyDescent="0.3">
      <c r="D289" s="49"/>
    </row>
    <row r="290" spans="4:4" x14ac:dyDescent="0.3">
      <c r="D290" s="49"/>
    </row>
    <row r="291" spans="4:4" x14ac:dyDescent="0.3">
      <c r="D291" s="49"/>
    </row>
    <row r="292" spans="4:4" x14ac:dyDescent="0.3">
      <c r="D292" s="49"/>
    </row>
    <row r="293" spans="4:4" x14ac:dyDescent="0.3">
      <c r="D293" s="49"/>
    </row>
    <row r="294" spans="4:4" x14ac:dyDescent="0.3">
      <c r="D294" s="49"/>
    </row>
    <row r="295" spans="4:4" x14ac:dyDescent="0.3">
      <c r="D295" s="49"/>
    </row>
    <row r="296" spans="4:4" x14ac:dyDescent="0.3">
      <c r="D296" s="49"/>
    </row>
    <row r="297" spans="4:4" x14ac:dyDescent="0.3">
      <c r="D297" s="49"/>
    </row>
    <row r="298" spans="4:4" x14ac:dyDescent="0.3">
      <c r="D298" s="49"/>
    </row>
    <row r="299" spans="4:4" x14ac:dyDescent="0.3">
      <c r="D299" s="49"/>
    </row>
    <row r="300" spans="4:4" x14ac:dyDescent="0.3">
      <c r="D300" s="49"/>
    </row>
    <row r="301" spans="4:4" x14ac:dyDescent="0.3">
      <c r="D301" s="49"/>
    </row>
    <row r="302" spans="4:4" x14ac:dyDescent="0.3">
      <c r="D302" s="49"/>
    </row>
    <row r="303" spans="4:4" x14ac:dyDescent="0.3">
      <c r="D303" s="49"/>
    </row>
    <row r="304" spans="4:4" x14ac:dyDescent="0.3">
      <c r="D304" s="49"/>
    </row>
    <row r="305" spans="4:4" x14ac:dyDescent="0.3">
      <c r="D305" s="49"/>
    </row>
    <row r="306" spans="4:4" x14ac:dyDescent="0.3">
      <c r="D306" s="49"/>
    </row>
    <row r="307" spans="4:4" x14ac:dyDescent="0.3">
      <c r="D307" s="49"/>
    </row>
    <row r="308" spans="4:4" x14ac:dyDescent="0.3">
      <c r="D308" s="49"/>
    </row>
    <row r="309" spans="4:4" x14ac:dyDescent="0.3">
      <c r="D309" s="49"/>
    </row>
    <row r="310" spans="4:4" x14ac:dyDescent="0.3">
      <c r="D310" s="49"/>
    </row>
    <row r="311" spans="4:4" x14ac:dyDescent="0.3">
      <c r="D311" s="49"/>
    </row>
    <row r="312" spans="4:4" x14ac:dyDescent="0.3">
      <c r="D312" s="49"/>
    </row>
    <row r="313" spans="4:4" x14ac:dyDescent="0.3">
      <c r="D313" s="49"/>
    </row>
    <row r="314" spans="4:4" x14ac:dyDescent="0.3">
      <c r="D314" s="49"/>
    </row>
    <row r="315" spans="4:4" x14ac:dyDescent="0.3">
      <c r="D315" s="49"/>
    </row>
    <row r="316" spans="4:4" x14ac:dyDescent="0.3">
      <c r="D316" s="49"/>
    </row>
    <row r="317" spans="4:4" x14ac:dyDescent="0.3">
      <c r="D317" s="49"/>
    </row>
    <row r="318" spans="4:4" x14ac:dyDescent="0.3">
      <c r="D318" s="49"/>
    </row>
    <row r="319" spans="4:4" x14ac:dyDescent="0.3">
      <c r="D319" s="49"/>
    </row>
    <row r="320" spans="4:4" x14ac:dyDescent="0.3">
      <c r="D320" s="49"/>
    </row>
    <row r="321" spans="4:4" x14ac:dyDescent="0.3">
      <c r="D321" s="49"/>
    </row>
    <row r="322" spans="4:4" x14ac:dyDescent="0.3">
      <c r="D322" s="49"/>
    </row>
    <row r="323" spans="4:4" x14ac:dyDescent="0.3">
      <c r="D323" s="49"/>
    </row>
    <row r="324" spans="4:4" x14ac:dyDescent="0.3">
      <c r="D324" s="49"/>
    </row>
    <row r="325" spans="4:4" x14ac:dyDescent="0.3">
      <c r="D325" s="49"/>
    </row>
    <row r="326" spans="4:4" x14ac:dyDescent="0.3">
      <c r="D326" s="49"/>
    </row>
    <row r="327" spans="4:4" x14ac:dyDescent="0.3">
      <c r="D327" s="49"/>
    </row>
    <row r="328" spans="4:4" x14ac:dyDescent="0.3">
      <c r="D328" s="49"/>
    </row>
    <row r="329" spans="4:4" x14ac:dyDescent="0.3">
      <c r="D329" s="49"/>
    </row>
    <row r="330" spans="4:4" x14ac:dyDescent="0.3">
      <c r="D330" s="49"/>
    </row>
    <row r="331" spans="4:4" x14ac:dyDescent="0.3">
      <c r="D331" s="49"/>
    </row>
    <row r="332" spans="4:4" x14ac:dyDescent="0.3">
      <c r="D332" s="49"/>
    </row>
    <row r="333" spans="4:4" x14ac:dyDescent="0.3">
      <c r="D333" s="49"/>
    </row>
    <row r="334" spans="4:4" x14ac:dyDescent="0.3">
      <c r="D334" s="49"/>
    </row>
    <row r="335" spans="4:4" x14ac:dyDescent="0.3">
      <c r="D335" s="49"/>
    </row>
    <row r="336" spans="4:4" x14ac:dyDescent="0.3">
      <c r="D336" s="49"/>
    </row>
    <row r="337" spans="4:4" x14ac:dyDescent="0.3">
      <c r="D337" s="49"/>
    </row>
    <row r="338" spans="4:4" x14ac:dyDescent="0.3">
      <c r="D338" s="49"/>
    </row>
    <row r="339" spans="4:4" x14ac:dyDescent="0.3">
      <c r="D339" s="49"/>
    </row>
    <row r="340" spans="4:4" x14ac:dyDescent="0.3">
      <c r="D340" s="49"/>
    </row>
    <row r="341" spans="4:4" x14ac:dyDescent="0.3">
      <c r="D341" s="49"/>
    </row>
    <row r="342" spans="4:4" x14ac:dyDescent="0.3">
      <c r="D342" s="49"/>
    </row>
    <row r="343" spans="4:4" x14ac:dyDescent="0.3">
      <c r="D343" s="49"/>
    </row>
    <row r="344" spans="4:4" x14ac:dyDescent="0.3">
      <c r="D344" s="49"/>
    </row>
    <row r="345" spans="4:4" x14ac:dyDescent="0.3">
      <c r="D345" s="49"/>
    </row>
    <row r="346" spans="4:4" x14ac:dyDescent="0.3">
      <c r="D346" s="49"/>
    </row>
    <row r="347" spans="4:4" x14ac:dyDescent="0.3">
      <c r="D347" s="49"/>
    </row>
    <row r="348" spans="4:4" x14ac:dyDescent="0.3">
      <c r="D348" s="49"/>
    </row>
    <row r="349" spans="4:4" x14ac:dyDescent="0.3">
      <c r="D349" s="49"/>
    </row>
    <row r="350" spans="4:4" x14ac:dyDescent="0.3">
      <c r="D350" s="49"/>
    </row>
    <row r="351" spans="4:4" x14ac:dyDescent="0.3">
      <c r="D351" s="49"/>
    </row>
    <row r="352" spans="4:4" x14ac:dyDescent="0.3">
      <c r="D352" s="49"/>
    </row>
    <row r="353" spans="4:4" x14ac:dyDescent="0.3">
      <c r="D353" s="49"/>
    </row>
    <row r="354" spans="4:4" x14ac:dyDescent="0.3">
      <c r="D354" s="49"/>
    </row>
    <row r="355" spans="4:4" x14ac:dyDescent="0.3">
      <c r="D355" s="49"/>
    </row>
    <row r="356" spans="4:4" x14ac:dyDescent="0.3">
      <c r="D356" s="49"/>
    </row>
    <row r="357" spans="4:4" x14ac:dyDescent="0.3">
      <c r="D357" s="49"/>
    </row>
    <row r="358" spans="4:4" x14ac:dyDescent="0.3">
      <c r="D358" s="49"/>
    </row>
    <row r="359" spans="4:4" x14ac:dyDescent="0.3">
      <c r="D359" s="49"/>
    </row>
    <row r="360" spans="4:4" x14ac:dyDescent="0.3">
      <c r="D360" s="49"/>
    </row>
    <row r="361" spans="4:4" x14ac:dyDescent="0.3">
      <c r="D361" s="49"/>
    </row>
    <row r="362" spans="4:4" x14ac:dyDescent="0.3">
      <c r="D362" s="49"/>
    </row>
    <row r="363" spans="4:4" x14ac:dyDescent="0.3">
      <c r="D363" s="49"/>
    </row>
    <row r="364" spans="4:4" x14ac:dyDescent="0.3">
      <c r="D364" s="49"/>
    </row>
    <row r="365" spans="4:4" x14ac:dyDescent="0.3">
      <c r="D365" s="49"/>
    </row>
    <row r="366" spans="4:4" x14ac:dyDescent="0.3">
      <c r="D366" s="49"/>
    </row>
    <row r="367" spans="4:4" x14ac:dyDescent="0.3">
      <c r="D367" s="49"/>
    </row>
    <row r="368" spans="4:4" x14ac:dyDescent="0.3">
      <c r="D368" s="49"/>
    </row>
    <row r="369" spans="4:4" x14ac:dyDescent="0.3">
      <c r="D369" s="49"/>
    </row>
    <row r="370" spans="4:4" x14ac:dyDescent="0.3">
      <c r="D370" s="49"/>
    </row>
    <row r="371" spans="4:4" x14ac:dyDescent="0.3">
      <c r="D371" s="49"/>
    </row>
    <row r="372" spans="4:4" x14ac:dyDescent="0.3">
      <c r="D372" s="49"/>
    </row>
    <row r="373" spans="4:4" x14ac:dyDescent="0.3">
      <c r="D373" s="49"/>
    </row>
    <row r="374" spans="4:4" x14ac:dyDescent="0.3">
      <c r="D374" s="49"/>
    </row>
    <row r="375" spans="4:4" x14ac:dyDescent="0.3">
      <c r="D375" s="49"/>
    </row>
    <row r="376" spans="4:4" x14ac:dyDescent="0.3">
      <c r="D376" s="49"/>
    </row>
    <row r="377" spans="4:4" x14ac:dyDescent="0.3">
      <c r="D377" s="49"/>
    </row>
    <row r="378" spans="4:4" x14ac:dyDescent="0.3">
      <c r="D378" s="49"/>
    </row>
    <row r="379" spans="4:4" x14ac:dyDescent="0.3">
      <c r="D379" s="49"/>
    </row>
    <row r="380" spans="4:4" x14ac:dyDescent="0.3">
      <c r="D380" s="49"/>
    </row>
    <row r="381" spans="4:4" x14ac:dyDescent="0.3">
      <c r="D381" s="49"/>
    </row>
    <row r="382" spans="4:4" x14ac:dyDescent="0.3">
      <c r="D382" s="49"/>
    </row>
    <row r="383" spans="4:4" x14ac:dyDescent="0.3">
      <c r="D383" s="49"/>
    </row>
    <row r="384" spans="4:4" x14ac:dyDescent="0.3">
      <c r="D384" s="49"/>
    </row>
    <row r="385" spans="4:4" x14ac:dyDescent="0.3">
      <c r="D385" s="49"/>
    </row>
    <row r="386" spans="4:4" x14ac:dyDescent="0.3">
      <c r="D386" s="49"/>
    </row>
    <row r="387" spans="4:4" x14ac:dyDescent="0.3">
      <c r="D387" s="49"/>
    </row>
    <row r="388" spans="4:4" x14ac:dyDescent="0.3">
      <c r="D388" s="49"/>
    </row>
    <row r="389" spans="4:4" x14ac:dyDescent="0.3">
      <c r="D389" s="49"/>
    </row>
    <row r="390" spans="4:4" x14ac:dyDescent="0.3">
      <c r="D390" s="49"/>
    </row>
    <row r="391" spans="4:4" x14ac:dyDescent="0.3">
      <c r="D391" s="49"/>
    </row>
    <row r="392" spans="4:4" x14ac:dyDescent="0.3">
      <c r="D392" s="49"/>
    </row>
    <row r="393" spans="4:4" x14ac:dyDescent="0.3">
      <c r="D393" s="49"/>
    </row>
    <row r="394" spans="4:4" x14ac:dyDescent="0.3">
      <c r="D394" s="49"/>
    </row>
    <row r="395" spans="4:4" x14ac:dyDescent="0.3">
      <c r="D395" s="49"/>
    </row>
    <row r="396" spans="4:4" x14ac:dyDescent="0.3">
      <c r="D396" s="49"/>
    </row>
    <row r="397" spans="4:4" x14ac:dyDescent="0.3">
      <c r="D397" s="49"/>
    </row>
    <row r="398" spans="4:4" x14ac:dyDescent="0.3">
      <c r="D398" s="49"/>
    </row>
    <row r="399" spans="4:4" x14ac:dyDescent="0.3">
      <c r="D399" s="49"/>
    </row>
    <row r="400" spans="4:4" x14ac:dyDescent="0.3">
      <c r="D400" s="49"/>
    </row>
    <row r="401" spans="4:4" x14ac:dyDescent="0.3">
      <c r="D401" s="49"/>
    </row>
    <row r="402" spans="4:4" x14ac:dyDescent="0.3">
      <c r="D402" s="49"/>
    </row>
    <row r="403" spans="4:4" x14ac:dyDescent="0.3">
      <c r="D403" s="49"/>
    </row>
    <row r="404" spans="4:4" x14ac:dyDescent="0.3">
      <c r="D404" s="49"/>
    </row>
    <row r="405" spans="4:4" x14ac:dyDescent="0.3">
      <c r="D405" s="49"/>
    </row>
    <row r="406" spans="4:4" x14ac:dyDescent="0.3">
      <c r="D406" s="49"/>
    </row>
    <row r="407" spans="4:4" x14ac:dyDescent="0.3">
      <c r="D407" s="49"/>
    </row>
    <row r="408" spans="4:4" x14ac:dyDescent="0.3">
      <c r="D408" s="49"/>
    </row>
    <row r="409" spans="4:4" x14ac:dyDescent="0.3">
      <c r="D409" s="49"/>
    </row>
    <row r="410" spans="4:4" x14ac:dyDescent="0.3">
      <c r="D410" s="49"/>
    </row>
    <row r="411" spans="4:4" x14ac:dyDescent="0.3">
      <c r="D411" s="49"/>
    </row>
    <row r="412" spans="4:4" x14ac:dyDescent="0.3">
      <c r="D412" s="49"/>
    </row>
    <row r="413" spans="4:4" x14ac:dyDescent="0.3">
      <c r="D413" s="49"/>
    </row>
    <row r="414" spans="4:4" x14ac:dyDescent="0.3">
      <c r="D414" s="49"/>
    </row>
    <row r="415" spans="4:4" x14ac:dyDescent="0.3">
      <c r="D415" s="49"/>
    </row>
    <row r="416" spans="4:4" x14ac:dyDescent="0.3">
      <c r="D416" s="49"/>
    </row>
    <row r="417" spans="4:4" x14ac:dyDescent="0.3">
      <c r="D417" s="49"/>
    </row>
    <row r="418" spans="4:4" x14ac:dyDescent="0.3">
      <c r="D418" s="49"/>
    </row>
    <row r="419" spans="4:4" x14ac:dyDescent="0.3">
      <c r="D419" s="49"/>
    </row>
    <row r="420" spans="4:4" x14ac:dyDescent="0.3">
      <c r="D420" s="49"/>
    </row>
    <row r="421" spans="4:4" x14ac:dyDescent="0.3">
      <c r="D421" s="49"/>
    </row>
    <row r="422" spans="4:4" x14ac:dyDescent="0.3">
      <c r="D422" s="49"/>
    </row>
    <row r="423" spans="4:4" x14ac:dyDescent="0.3">
      <c r="D423" s="49"/>
    </row>
    <row r="424" spans="4:4" x14ac:dyDescent="0.3">
      <c r="D424" s="49"/>
    </row>
    <row r="425" spans="4:4" x14ac:dyDescent="0.3">
      <c r="D425" s="49"/>
    </row>
    <row r="426" spans="4:4" x14ac:dyDescent="0.3">
      <c r="D426" s="49"/>
    </row>
    <row r="427" spans="4:4" x14ac:dyDescent="0.3">
      <c r="D427" s="49"/>
    </row>
    <row r="428" spans="4:4" x14ac:dyDescent="0.3">
      <c r="D428" s="49"/>
    </row>
    <row r="429" spans="4:4" x14ac:dyDescent="0.3">
      <c r="D429" s="49"/>
    </row>
    <row r="430" spans="4:4" x14ac:dyDescent="0.3">
      <c r="D430" s="49"/>
    </row>
    <row r="431" spans="4:4" x14ac:dyDescent="0.3">
      <c r="D431" s="49"/>
    </row>
    <row r="432" spans="4:4" x14ac:dyDescent="0.3">
      <c r="D432" s="49"/>
    </row>
    <row r="433" spans="4:4" x14ac:dyDescent="0.3">
      <c r="D433" s="49"/>
    </row>
    <row r="434" spans="4:4" x14ac:dyDescent="0.3">
      <c r="D434" s="49"/>
    </row>
    <row r="435" spans="4:4" x14ac:dyDescent="0.3">
      <c r="D435" s="49"/>
    </row>
    <row r="436" spans="4:4" x14ac:dyDescent="0.3">
      <c r="D436" s="49"/>
    </row>
    <row r="437" spans="4:4" x14ac:dyDescent="0.3">
      <c r="D437" s="49"/>
    </row>
    <row r="438" spans="4:4" x14ac:dyDescent="0.3">
      <c r="D438" s="49"/>
    </row>
    <row r="439" spans="4:4" x14ac:dyDescent="0.3">
      <c r="D439" s="49"/>
    </row>
    <row r="440" spans="4:4" x14ac:dyDescent="0.3">
      <c r="D440" s="49"/>
    </row>
    <row r="441" spans="4:4" x14ac:dyDescent="0.3">
      <c r="D441" s="49"/>
    </row>
    <row r="442" spans="4:4" x14ac:dyDescent="0.3">
      <c r="D442" s="49"/>
    </row>
    <row r="443" spans="4:4" x14ac:dyDescent="0.3">
      <c r="D443" s="49"/>
    </row>
    <row r="444" spans="4:4" x14ac:dyDescent="0.3">
      <c r="D444" s="49"/>
    </row>
    <row r="445" spans="4:4" x14ac:dyDescent="0.3">
      <c r="D445" s="49"/>
    </row>
    <row r="446" spans="4:4" x14ac:dyDescent="0.3">
      <c r="D446" s="49"/>
    </row>
    <row r="447" spans="4:4" x14ac:dyDescent="0.3">
      <c r="D447" s="49"/>
    </row>
    <row r="448" spans="4:4" x14ac:dyDescent="0.3">
      <c r="D448" s="49"/>
    </row>
    <row r="449" spans="4:4" x14ac:dyDescent="0.3">
      <c r="D449" s="49"/>
    </row>
    <row r="450" spans="4:4" x14ac:dyDescent="0.3">
      <c r="D450" s="49"/>
    </row>
    <row r="451" spans="4:4" x14ac:dyDescent="0.3">
      <c r="D451" s="49"/>
    </row>
    <row r="452" spans="4:4" x14ac:dyDescent="0.3">
      <c r="D452" s="49"/>
    </row>
    <row r="453" spans="4:4" x14ac:dyDescent="0.3">
      <c r="D453" s="49"/>
    </row>
    <row r="454" spans="4:4" x14ac:dyDescent="0.3">
      <c r="D454" s="49"/>
    </row>
    <row r="455" spans="4:4" x14ac:dyDescent="0.3">
      <c r="D455" s="49"/>
    </row>
    <row r="456" spans="4:4" x14ac:dyDescent="0.3">
      <c r="D456" s="49"/>
    </row>
    <row r="457" spans="4:4" x14ac:dyDescent="0.3">
      <c r="D457" s="49"/>
    </row>
    <row r="458" spans="4:4" x14ac:dyDescent="0.3">
      <c r="D458" s="49"/>
    </row>
    <row r="459" spans="4:4" x14ac:dyDescent="0.3">
      <c r="D459" s="49"/>
    </row>
    <row r="460" spans="4:4" x14ac:dyDescent="0.3">
      <c r="D460" s="49"/>
    </row>
    <row r="461" spans="4:4" x14ac:dyDescent="0.3">
      <c r="D461" s="49"/>
    </row>
    <row r="462" spans="4:4" x14ac:dyDescent="0.3">
      <c r="D462" s="49"/>
    </row>
    <row r="463" spans="4:4" x14ac:dyDescent="0.3">
      <c r="D463" s="49"/>
    </row>
    <row r="464" spans="4:4" x14ac:dyDescent="0.3">
      <c r="D464" s="49"/>
    </row>
    <row r="465" spans="4:4" x14ac:dyDescent="0.3">
      <c r="D465" s="49"/>
    </row>
    <row r="466" spans="4:4" x14ac:dyDescent="0.3">
      <c r="D466" s="49"/>
    </row>
    <row r="467" spans="4:4" x14ac:dyDescent="0.3">
      <c r="D467" s="49"/>
    </row>
    <row r="468" spans="4:4" x14ac:dyDescent="0.3">
      <c r="D468" s="49"/>
    </row>
    <row r="469" spans="4:4" x14ac:dyDescent="0.3">
      <c r="D469" s="49"/>
    </row>
    <row r="470" spans="4:4" x14ac:dyDescent="0.3">
      <c r="D470" s="49"/>
    </row>
    <row r="471" spans="4:4" x14ac:dyDescent="0.3">
      <c r="D471" s="49"/>
    </row>
    <row r="472" spans="4:4" x14ac:dyDescent="0.3">
      <c r="D472" s="49"/>
    </row>
    <row r="473" spans="4:4" x14ac:dyDescent="0.3">
      <c r="D473" s="49"/>
    </row>
    <row r="474" spans="4:4" x14ac:dyDescent="0.3">
      <c r="D474" s="49"/>
    </row>
    <row r="475" spans="4:4" x14ac:dyDescent="0.3">
      <c r="D475" s="49"/>
    </row>
    <row r="476" spans="4:4" x14ac:dyDescent="0.3">
      <c r="D476" s="49"/>
    </row>
    <row r="477" spans="4:4" x14ac:dyDescent="0.3">
      <c r="D477" s="49"/>
    </row>
    <row r="478" spans="4:4" x14ac:dyDescent="0.3">
      <c r="D478" s="49"/>
    </row>
    <row r="479" spans="4:4" x14ac:dyDescent="0.3">
      <c r="D479" s="49"/>
    </row>
    <row r="480" spans="4:4" x14ac:dyDescent="0.3">
      <c r="D480" s="49"/>
    </row>
    <row r="481" spans="4:4" x14ac:dyDescent="0.3">
      <c r="D481" s="49"/>
    </row>
    <row r="482" spans="4:4" x14ac:dyDescent="0.3">
      <c r="D482" s="49"/>
    </row>
    <row r="483" spans="4:4" x14ac:dyDescent="0.3">
      <c r="D483" s="49"/>
    </row>
    <row r="484" spans="4:4" x14ac:dyDescent="0.3">
      <c r="D484" s="49"/>
    </row>
    <row r="485" spans="4:4" x14ac:dyDescent="0.3">
      <c r="D485" s="49"/>
    </row>
    <row r="486" spans="4:4" x14ac:dyDescent="0.3">
      <c r="D486" s="49"/>
    </row>
    <row r="487" spans="4:4" x14ac:dyDescent="0.3">
      <c r="D487" s="49"/>
    </row>
    <row r="488" spans="4:4" x14ac:dyDescent="0.3">
      <c r="D488" s="49"/>
    </row>
    <row r="489" spans="4:4" x14ac:dyDescent="0.3">
      <c r="D489" s="49"/>
    </row>
    <row r="490" spans="4:4" x14ac:dyDescent="0.3">
      <c r="D490" s="49"/>
    </row>
    <row r="491" spans="4:4" x14ac:dyDescent="0.3">
      <c r="D491" s="49"/>
    </row>
    <row r="492" spans="4:4" x14ac:dyDescent="0.3">
      <c r="D492" s="49"/>
    </row>
    <row r="493" spans="4:4" x14ac:dyDescent="0.3">
      <c r="D493" s="49"/>
    </row>
    <row r="494" spans="4:4" x14ac:dyDescent="0.3">
      <c r="D494" s="49"/>
    </row>
    <row r="495" spans="4:4" x14ac:dyDescent="0.3">
      <c r="D495" s="49"/>
    </row>
    <row r="496" spans="4:4" x14ac:dyDescent="0.3">
      <c r="D496" s="49"/>
    </row>
    <row r="497" spans="4:4" x14ac:dyDescent="0.3">
      <c r="D497" s="49"/>
    </row>
    <row r="498" spans="4:4" x14ac:dyDescent="0.3">
      <c r="D498" s="49"/>
    </row>
    <row r="499" spans="4:4" x14ac:dyDescent="0.3">
      <c r="D499" s="49"/>
    </row>
    <row r="500" spans="4:4" x14ac:dyDescent="0.3">
      <c r="D500" s="49"/>
    </row>
    <row r="501" spans="4:4" x14ac:dyDescent="0.3">
      <c r="D501" s="49"/>
    </row>
    <row r="502" spans="4:4" x14ac:dyDescent="0.3">
      <c r="D502" s="49"/>
    </row>
    <row r="503" spans="4:4" x14ac:dyDescent="0.3">
      <c r="D503" s="49"/>
    </row>
    <row r="504" spans="4:4" x14ac:dyDescent="0.3">
      <c r="D504" s="49"/>
    </row>
    <row r="505" spans="4:4" x14ac:dyDescent="0.3">
      <c r="D505" s="49"/>
    </row>
    <row r="506" spans="4:4" x14ac:dyDescent="0.3">
      <c r="D506" s="49"/>
    </row>
    <row r="507" spans="4:4" x14ac:dyDescent="0.3">
      <c r="D507" s="49"/>
    </row>
    <row r="508" spans="4:4" x14ac:dyDescent="0.3">
      <c r="D508" s="49"/>
    </row>
    <row r="509" spans="4:4" x14ac:dyDescent="0.3">
      <c r="D509" s="49"/>
    </row>
    <row r="510" spans="4:4" x14ac:dyDescent="0.3">
      <c r="D510" s="49"/>
    </row>
    <row r="511" spans="4:4" x14ac:dyDescent="0.3">
      <c r="D511" s="49"/>
    </row>
    <row r="512" spans="4:4" x14ac:dyDescent="0.3">
      <c r="D512" s="49"/>
    </row>
    <row r="513" spans="4:4" x14ac:dyDescent="0.3">
      <c r="D513" s="49"/>
    </row>
    <row r="514" spans="4:4" x14ac:dyDescent="0.3">
      <c r="D514" s="49"/>
    </row>
    <row r="515" spans="4:4" x14ac:dyDescent="0.3">
      <c r="D515" s="49"/>
    </row>
    <row r="516" spans="4:4" x14ac:dyDescent="0.3">
      <c r="D516" s="49"/>
    </row>
    <row r="517" spans="4:4" x14ac:dyDescent="0.3">
      <c r="D517" s="49"/>
    </row>
    <row r="518" spans="4:4" x14ac:dyDescent="0.3">
      <c r="D518" s="49"/>
    </row>
    <row r="519" spans="4:4" x14ac:dyDescent="0.3">
      <c r="D519" s="49"/>
    </row>
    <row r="520" spans="4:4" x14ac:dyDescent="0.3">
      <c r="D520" s="49"/>
    </row>
    <row r="521" spans="4:4" x14ac:dyDescent="0.3">
      <c r="D521" s="49"/>
    </row>
    <row r="522" spans="4:4" x14ac:dyDescent="0.3">
      <c r="D522" s="49"/>
    </row>
    <row r="523" spans="4:4" x14ac:dyDescent="0.3">
      <c r="D523" s="49"/>
    </row>
    <row r="524" spans="4:4" x14ac:dyDescent="0.3">
      <c r="D524" s="49"/>
    </row>
    <row r="525" spans="4:4" x14ac:dyDescent="0.3">
      <c r="D525" s="49"/>
    </row>
    <row r="526" spans="4:4" x14ac:dyDescent="0.3">
      <c r="D526" s="49"/>
    </row>
    <row r="527" spans="4:4" x14ac:dyDescent="0.3">
      <c r="D527" s="49"/>
    </row>
    <row r="528" spans="4:4" x14ac:dyDescent="0.3">
      <c r="D528" s="49"/>
    </row>
    <row r="529" spans="4:4" x14ac:dyDescent="0.3">
      <c r="D529" s="49"/>
    </row>
    <row r="530" spans="4:4" x14ac:dyDescent="0.3">
      <c r="D530" s="49"/>
    </row>
    <row r="531" spans="4:4" x14ac:dyDescent="0.3">
      <c r="D531" s="49"/>
    </row>
    <row r="532" spans="4:4" x14ac:dyDescent="0.3">
      <c r="D532" s="49"/>
    </row>
    <row r="533" spans="4:4" x14ac:dyDescent="0.3">
      <c r="D533" s="49"/>
    </row>
    <row r="534" spans="4:4" x14ac:dyDescent="0.3">
      <c r="D534" s="49"/>
    </row>
    <row r="535" spans="4:4" x14ac:dyDescent="0.3">
      <c r="D535" s="49"/>
    </row>
    <row r="536" spans="4:4" x14ac:dyDescent="0.3">
      <c r="D536" s="49"/>
    </row>
    <row r="537" spans="4:4" x14ac:dyDescent="0.3">
      <c r="D537" s="49"/>
    </row>
    <row r="538" spans="4:4" x14ac:dyDescent="0.3">
      <c r="D538" s="49"/>
    </row>
    <row r="539" spans="4:4" x14ac:dyDescent="0.3">
      <c r="D539" s="49"/>
    </row>
    <row r="540" spans="4:4" x14ac:dyDescent="0.3">
      <c r="D540" s="49"/>
    </row>
    <row r="541" spans="4:4" x14ac:dyDescent="0.3">
      <c r="D541" s="49"/>
    </row>
    <row r="542" spans="4:4" x14ac:dyDescent="0.3">
      <c r="D542" s="49"/>
    </row>
    <row r="543" spans="4:4" x14ac:dyDescent="0.3">
      <c r="D543" s="49"/>
    </row>
    <row r="544" spans="4:4" x14ac:dyDescent="0.3">
      <c r="D544" s="49"/>
    </row>
    <row r="545" spans="4:4" x14ac:dyDescent="0.3">
      <c r="D545" s="49"/>
    </row>
    <row r="546" spans="4:4" x14ac:dyDescent="0.3">
      <c r="D546" s="49"/>
    </row>
    <row r="547" spans="4:4" x14ac:dyDescent="0.3">
      <c r="D547" s="49"/>
    </row>
    <row r="548" spans="4:4" x14ac:dyDescent="0.3">
      <c r="D548" s="49"/>
    </row>
    <row r="549" spans="4:4" x14ac:dyDescent="0.3">
      <c r="D549" s="49"/>
    </row>
    <row r="550" spans="4:4" x14ac:dyDescent="0.3">
      <c r="D550" s="49"/>
    </row>
    <row r="551" spans="4:4" x14ac:dyDescent="0.3">
      <c r="D551" s="49"/>
    </row>
    <row r="552" spans="4:4" x14ac:dyDescent="0.3">
      <c r="D552" s="49"/>
    </row>
    <row r="553" spans="4:4" x14ac:dyDescent="0.3">
      <c r="D553" s="49"/>
    </row>
    <row r="554" spans="4:4" x14ac:dyDescent="0.3">
      <c r="D554" s="49"/>
    </row>
    <row r="555" spans="4:4" x14ac:dyDescent="0.3">
      <c r="D555" s="49"/>
    </row>
    <row r="556" spans="4:4" x14ac:dyDescent="0.3">
      <c r="D556" s="49"/>
    </row>
    <row r="557" spans="4:4" x14ac:dyDescent="0.3">
      <c r="D557" s="49"/>
    </row>
    <row r="558" spans="4:4" x14ac:dyDescent="0.3">
      <c r="D558" s="49"/>
    </row>
    <row r="559" spans="4:4" x14ac:dyDescent="0.3">
      <c r="D559" s="49"/>
    </row>
    <row r="560" spans="4:4" x14ac:dyDescent="0.3">
      <c r="D560" s="49"/>
    </row>
    <row r="561" spans="4:4" x14ac:dyDescent="0.3">
      <c r="D561" s="49"/>
    </row>
    <row r="562" spans="4:4" x14ac:dyDescent="0.3">
      <c r="D562" s="49"/>
    </row>
    <row r="563" spans="4:4" x14ac:dyDescent="0.3">
      <c r="D563" s="49"/>
    </row>
    <row r="564" spans="4:4" x14ac:dyDescent="0.3">
      <c r="D564" s="49"/>
    </row>
    <row r="565" spans="4:4" x14ac:dyDescent="0.3">
      <c r="D565" s="49"/>
    </row>
    <row r="566" spans="4:4" x14ac:dyDescent="0.3">
      <c r="D566" s="49"/>
    </row>
    <row r="567" spans="4:4" x14ac:dyDescent="0.3">
      <c r="D567" s="49"/>
    </row>
    <row r="568" spans="4:4" x14ac:dyDescent="0.3">
      <c r="D568" s="49"/>
    </row>
    <row r="569" spans="4:4" x14ac:dyDescent="0.3">
      <c r="D569" s="49"/>
    </row>
    <row r="570" spans="4:4" x14ac:dyDescent="0.3">
      <c r="D570" s="49"/>
    </row>
  </sheetData>
  <sheetProtection formatCells="0" formatColumns="0" formatRows="0"/>
  <conditionalFormatting sqref="G32">
    <cfRule type="cellIs" dxfId="7" priority="93" stopIfTrue="1" operator="notEqual">
      <formula>0</formula>
    </cfRule>
  </conditionalFormatting>
  <conditionalFormatting sqref="G33">
    <cfRule type="cellIs" dxfId="6" priority="92" stopIfTrue="1" operator="notEqual">
      <formula>0</formula>
    </cfRule>
  </conditionalFormatting>
  <conditionalFormatting sqref="G50">
    <cfRule type="cellIs" dxfId="5" priority="91" stopIfTrue="1" operator="notEqual">
      <formula>0</formula>
    </cfRule>
  </conditionalFormatting>
  <conditionalFormatting sqref="G21">
    <cfRule type="cellIs" dxfId="4" priority="73" stopIfTrue="1" operator="notEqual">
      <formula>0</formula>
    </cfRule>
  </conditionalFormatting>
  <conditionalFormatting sqref="G7">
    <cfRule type="containsText" dxfId="3" priority="71" stopIfTrue="1" operator="containsText" text="Included in error count">
      <formula>NOT(ISERROR(SEARCH("Included in error count",G7)))</formula>
    </cfRule>
    <cfRule type="cellIs" dxfId="2" priority="72" stopIfTrue="1" operator="equal">
      <formula>1</formula>
    </cfRule>
  </conditionalFormatting>
  <conditionalFormatting sqref="G42">
    <cfRule type="containsText" dxfId="1" priority="69" stopIfTrue="1" operator="containsText" text="Included in error count">
      <formula>NOT(ISERROR(SEARCH("Included in error count",G42)))</formula>
    </cfRule>
    <cfRule type="cellIs" dxfId="0"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S200"/>
  <sheetViews>
    <sheetView workbookViewId="0">
      <pane xSplit="3" topLeftCell="D1" activePane="topRight" state="frozen"/>
      <selection activeCell="D361" sqref="D361"/>
      <selection pane="topRight" activeCell="C1" sqref="C1"/>
    </sheetView>
  </sheetViews>
  <sheetFormatPr defaultRowHeight="14.4" x14ac:dyDescent="0.3"/>
  <cols>
    <col min="1" max="1" width="29.33203125" style="97" customWidth="1"/>
    <col min="2" max="2" width="72.6640625" customWidth="1"/>
    <col min="3" max="3" width="30.88671875" customWidth="1"/>
    <col min="4" max="13" width="20.6640625" customWidth="1"/>
    <col min="14" max="14" width="28.21875" customWidth="1"/>
    <col min="15" max="97" width="20.6640625" customWidth="1"/>
  </cols>
  <sheetData>
    <row r="1" spans="1:19" ht="45" customHeight="1" x14ac:dyDescent="0.3">
      <c r="A1" s="371" t="s">
        <v>899</v>
      </c>
      <c r="B1" s="119" t="s">
        <v>900</v>
      </c>
      <c r="C1" s="119" t="s">
        <v>233</v>
      </c>
      <c r="D1" s="330" t="s">
        <v>600</v>
      </c>
      <c r="E1" s="330" t="s">
        <v>601</v>
      </c>
      <c r="F1" s="330" t="s">
        <v>602</v>
      </c>
      <c r="G1" s="330" t="s">
        <v>603</v>
      </c>
      <c r="H1" s="330" t="s">
        <v>604</v>
      </c>
      <c r="I1" s="330" t="s">
        <v>605</v>
      </c>
      <c r="J1" s="330" t="s">
        <v>606</v>
      </c>
      <c r="K1" s="330" t="s">
        <v>607</v>
      </c>
      <c r="L1" s="330" t="s">
        <v>608</v>
      </c>
      <c r="M1" s="330" t="s">
        <v>609</v>
      </c>
      <c r="N1" s="330" t="s">
        <v>610</v>
      </c>
      <c r="O1" s="330" t="s">
        <v>718</v>
      </c>
      <c r="P1" s="330" t="s">
        <v>612</v>
      </c>
      <c r="Q1" s="330" t="s">
        <v>613</v>
      </c>
      <c r="R1" s="330" t="s">
        <v>614</v>
      </c>
      <c r="S1" s="330" t="s">
        <v>615</v>
      </c>
    </row>
    <row r="2" spans="1:19" x14ac:dyDescent="0.3">
      <c r="A2" s="97" t="s">
        <v>414</v>
      </c>
      <c r="B2" s="119" t="s">
        <v>10</v>
      </c>
      <c r="C2" s="119" t="s">
        <v>2</v>
      </c>
      <c r="D2" s="119" t="s">
        <v>809</v>
      </c>
      <c r="E2" s="119" t="s">
        <v>810</v>
      </c>
      <c r="F2" s="119" t="s">
        <v>811</v>
      </c>
      <c r="G2" s="119" t="s">
        <v>812</v>
      </c>
      <c r="H2" s="119" t="s">
        <v>813</v>
      </c>
      <c r="I2" s="119" t="s">
        <v>814</v>
      </c>
      <c r="J2" s="119" t="s">
        <v>815</v>
      </c>
      <c r="K2" s="119" t="s">
        <v>816</v>
      </c>
      <c r="L2" s="119" t="s">
        <v>817</v>
      </c>
      <c r="M2" s="119" t="s">
        <v>818</v>
      </c>
      <c r="N2" s="119" t="s">
        <v>819</v>
      </c>
      <c r="O2" s="119" t="s">
        <v>820</v>
      </c>
      <c r="P2" s="119" t="s">
        <v>821</v>
      </c>
      <c r="Q2" s="119" t="s">
        <v>822</v>
      </c>
      <c r="R2" s="119" t="s">
        <v>823</v>
      </c>
      <c r="S2" s="119" t="s">
        <v>824</v>
      </c>
    </row>
    <row r="3" spans="1:19" x14ac:dyDescent="0.3">
      <c r="A3" s="97">
        <v>4</v>
      </c>
      <c r="B3" s="119" t="s">
        <v>48</v>
      </c>
      <c r="C3" s="119"/>
      <c r="D3" s="119">
        <v>54144</v>
      </c>
      <c r="E3" s="119">
        <v>674253</v>
      </c>
      <c r="F3" s="119">
        <v>1939366</v>
      </c>
      <c r="G3" s="119">
        <v>970138</v>
      </c>
      <c r="H3" s="119">
        <v>38689</v>
      </c>
      <c r="I3" s="119">
        <v>400496</v>
      </c>
      <c r="J3" s="119">
        <v>3610440</v>
      </c>
      <c r="K3" s="119">
        <v>1069040</v>
      </c>
      <c r="L3" s="119">
        <v>814218</v>
      </c>
      <c r="M3" s="119">
        <v>1053</v>
      </c>
      <c r="N3" s="119"/>
      <c r="O3" s="119">
        <v>2664</v>
      </c>
      <c r="P3" s="119">
        <v>2452072</v>
      </c>
      <c r="Q3" s="119">
        <v>11015676</v>
      </c>
      <c r="R3" s="119">
        <v>506583</v>
      </c>
      <c r="S3" s="119">
        <v>317485</v>
      </c>
    </row>
    <row r="4" spans="1:19" x14ac:dyDescent="0.3">
      <c r="A4" s="97">
        <v>5</v>
      </c>
      <c r="B4" s="119" t="s">
        <v>49</v>
      </c>
      <c r="C4" s="119"/>
      <c r="D4" s="119">
        <v>0</v>
      </c>
      <c r="E4" s="119">
        <v>1639</v>
      </c>
      <c r="F4" s="119">
        <v>0</v>
      </c>
      <c r="G4" s="119">
        <v>0</v>
      </c>
      <c r="H4" s="119">
        <v>2000</v>
      </c>
      <c r="I4" s="119">
        <v>0</v>
      </c>
      <c r="J4" s="119">
        <v>983613</v>
      </c>
      <c r="K4" s="119">
        <v>48315</v>
      </c>
      <c r="L4" s="119">
        <v>0</v>
      </c>
      <c r="M4" s="119">
        <v>0</v>
      </c>
      <c r="N4" s="119"/>
      <c r="O4" s="119">
        <v>0</v>
      </c>
      <c r="P4" s="119">
        <v>0</v>
      </c>
      <c r="Q4" s="119">
        <v>29252</v>
      </c>
      <c r="R4" s="119">
        <v>3047</v>
      </c>
      <c r="S4" s="119">
        <v>0</v>
      </c>
    </row>
    <row r="5" spans="1:19" x14ac:dyDescent="0.3">
      <c r="A5" s="97">
        <v>6</v>
      </c>
      <c r="B5" s="119" t="s">
        <v>155</v>
      </c>
      <c r="C5" s="119"/>
      <c r="D5" s="119">
        <v>0</v>
      </c>
      <c r="E5" s="119">
        <v>0</v>
      </c>
      <c r="F5" s="119">
        <v>0</v>
      </c>
      <c r="G5" s="119">
        <v>0</v>
      </c>
      <c r="H5" s="119">
        <v>0</v>
      </c>
      <c r="I5" s="119">
        <v>0</v>
      </c>
      <c r="J5" s="119">
        <v>0</v>
      </c>
      <c r="K5" s="119">
        <v>0</v>
      </c>
      <c r="L5" s="119">
        <v>0</v>
      </c>
      <c r="M5" s="119">
        <v>0</v>
      </c>
      <c r="N5" s="119"/>
      <c r="O5" s="119">
        <v>0</v>
      </c>
      <c r="P5" s="119">
        <v>0</v>
      </c>
      <c r="Q5" s="119">
        <v>0</v>
      </c>
      <c r="R5" s="119">
        <v>0</v>
      </c>
      <c r="S5" s="119">
        <v>0</v>
      </c>
    </row>
    <row r="6" spans="1:19" x14ac:dyDescent="0.3">
      <c r="A6" s="97">
        <v>7</v>
      </c>
      <c r="B6" s="119" t="s">
        <v>101</v>
      </c>
      <c r="C6" s="119"/>
      <c r="D6" s="119">
        <v>0</v>
      </c>
      <c r="E6" s="119">
        <v>13192</v>
      </c>
      <c r="F6" s="119">
        <v>86567</v>
      </c>
      <c r="G6" s="119">
        <v>53404</v>
      </c>
      <c r="H6" s="119">
        <v>0</v>
      </c>
      <c r="I6" s="119">
        <v>833</v>
      </c>
      <c r="J6" s="119">
        <v>0</v>
      </c>
      <c r="K6" s="119">
        <v>54021</v>
      </c>
      <c r="L6" s="119">
        <v>0</v>
      </c>
      <c r="M6" s="119">
        <v>0</v>
      </c>
      <c r="N6" s="119"/>
      <c r="O6" s="119">
        <v>0</v>
      </c>
      <c r="P6" s="119">
        <v>0</v>
      </c>
      <c r="Q6" s="119">
        <v>1044</v>
      </c>
      <c r="R6" s="119">
        <v>19617</v>
      </c>
      <c r="S6" s="119">
        <v>37821</v>
      </c>
    </row>
    <row r="7" spans="1:19" x14ac:dyDescent="0.3">
      <c r="A7" s="97">
        <v>9</v>
      </c>
      <c r="B7" s="119" t="s">
        <v>103</v>
      </c>
      <c r="C7" s="119"/>
      <c r="D7" s="119">
        <v>1118732</v>
      </c>
      <c r="E7" s="119">
        <v>735085</v>
      </c>
      <c r="F7" s="119">
        <v>1298180</v>
      </c>
      <c r="G7" s="119">
        <v>1756278</v>
      </c>
      <c r="H7" s="119">
        <v>1446652</v>
      </c>
      <c r="I7" s="119">
        <v>733191</v>
      </c>
      <c r="J7" s="119">
        <v>3942636</v>
      </c>
      <c r="K7" s="119">
        <v>701254</v>
      </c>
      <c r="L7" s="119">
        <v>667176</v>
      </c>
      <c r="M7" s="119">
        <v>392129</v>
      </c>
      <c r="N7" s="119"/>
      <c r="O7" s="119">
        <v>3587900</v>
      </c>
      <c r="P7" s="119">
        <v>291945</v>
      </c>
      <c r="Q7" s="119">
        <v>2370147</v>
      </c>
      <c r="R7" s="119">
        <v>362196</v>
      </c>
      <c r="S7" s="119">
        <v>2181115</v>
      </c>
    </row>
    <row r="8" spans="1:19" x14ac:dyDescent="0.3">
      <c r="A8" s="97">
        <v>13</v>
      </c>
      <c r="B8" s="119" t="s">
        <v>415</v>
      </c>
      <c r="C8" s="119"/>
      <c r="D8" s="119">
        <v>0</v>
      </c>
      <c r="E8" s="119">
        <v>0</v>
      </c>
      <c r="F8" s="119">
        <v>0</v>
      </c>
      <c r="G8" s="119">
        <v>0</v>
      </c>
      <c r="H8" s="119">
        <v>0</v>
      </c>
      <c r="I8" s="119">
        <v>0</v>
      </c>
      <c r="J8" s="119">
        <v>0</v>
      </c>
      <c r="K8" s="119">
        <v>676629</v>
      </c>
      <c r="L8" s="119">
        <v>0</v>
      </c>
      <c r="M8" s="119">
        <v>467649</v>
      </c>
      <c r="N8" s="119"/>
      <c r="O8" s="119">
        <v>0</v>
      </c>
      <c r="P8" s="119">
        <v>0</v>
      </c>
      <c r="Q8" s="119">
        <v>0</v>
      </c>
      <c r="R8" s="119">
        <v>0</v>
      </c>
      <c r="S8" s="119">
        <v>0</v>
      </c>
    </row>
    <row r="9" spans="1:19" x14ac:dyDescent="0.3">
      <c r="A9" s="97">
        <v>14</v>
      </c>
      <c r="B9" s="119" t="s">
        <v>416</v>
      </c>
      <c r="C9" s="119"/>
      <c r="D9" s="119">
        <v>0</v>
      </c>
      <c r="E9" s="119">
        <v>0</v>
      </c>
      <c r="F9" s="119">
        <v>0</v>
      </c>
      <c r="G9" s="119">
        <v>0</v>
      </c>
      <c r="H9" s="119">
        <v>0</v>
      </c>
      <c r="I9" s="119">
        <v>0</v>
      </c>
      <c r="J9" s="119">
        <v>0</v>
      </c>
      <c r="K9" s="119">
        <v>26352</v>
      </c>
      <c r="L9" s="119">
        <v>0</v>
      </c>
      <c r="M9" s="119">
        <v>92549</v>
      </c>
      <c r="N9" s="119"/>
      <c r="O9" s="119">
        <v>0</v>
      </c>
      <c r="P9" s="119">
        <v>0</v>
      </c>
      <c r="Q9" s="119">
        <v>0</v>
      </c>
      <c r="R9" s="119">
        <v>0</v>
      </c>
      <c r="S9" s="119">
        <v>0</v>
      </c>
    </row>
    <row r="10" spans="1:19" x14ac:dyDescent="0.3">
      <c r="A10" s="97">
        <v>16</v>
      </c>
      <c r="B10" s="119" t="s">
        <v>105</v>
      </c>
      <c r="C10" s="119"/>
      <c r="D10" s="119">
        <v>687095</v>
      </c>
      <c r="E10" s="119">
        <v>153154</v>
      </c>
      <c r="F10" s="119">
        <v>7065688</v>
      </c>
      <c r="G10" s="119">
        <v>12841779</v>
      </c>
      <c r="H10" s="119">
        <v>251647</v>
      </c>
      <c r="I10" s="119">
        <v>2891863</v>
      </c>
      <c r="J10" s="119">
        <v>13078367</v>
      </c>
      <c r="K10" s="119">
        <v>8464341</v>
      </c>
      <c r="L10" s="119">
        <v>8653075</v>
      </c>
      <c r="M10" s="119">
        <v>146297</v>
      </c>
      <c r="N10" s="119"/>
      <c r="O10" s="119">
        <v>598685</v>
      </c>
      <c r="P10" s="119">
        <v>6783561</v>
      </c>
      <c r="Q10" s="119">
        <v>20644334</v>
      </c>
      <c r="R10" s="119">
        <v>208077</v>
      </c>
      <c r="S10" s="119">
        <v>7048908</v>
      </c>
    </row>
    <row r="11" spans="1:19" x14ac:dyDescent="0.3">
      <c r="A11" s="97">
        <v>17</v>
      </c>
      <c r="B11" s="119" t="s">
        <v>107</v>
      </c>
      <c r="C11" s="119"/>
      <c r="D11" s="119">
        <v>21552</v>
      </c>
      <c r="E11" s="119">
        <v>254219</v>
      </c>
      <c r="F11" s="119">
        <v>0</v>
      </c>
      <c r="G11" s="119">
        <v>0</v>
      </c>
      <c r="H11" s="119">
        <v>0</v>
      </c>
      <c r="I11" s="119">
        <v>12010</v>
      </c>
      <c r="J11" s="119">
        <v>0</v>
      </c>
      <c r="K11" s="119">
        <v>0</v>
      </c>
      <c r="L11" s="119">
        <v>0</v>
      </c>
      <c r="M11" s="119">
        <v>0</v>
      </c>
      <c r="N11" s="119"/>
      <c r="O11" s="119">
        <v>0</v>
      </c>
      <c r="P11" s="119">
        <v>101031</v>
      </c>
      <c r="Q11" s="119">
        <v>0</v>
      </c>
      <c r="R11" s="119">
        <v>0</v>
      </c>
      <c r="S11" s="119">
        <v>0</v>
      </c>
    </row>
    <row r="12" spans="1:19" x14ac:dyDescent="0.3">
      <c r="A12" s="97">
        <v>20</v>
      </c>
      <c r="B12" s="119" t="s">
        <v>108</v>
      </c>
      <c r="C12" s="119"/>
      <c r="D12" s="119">
        <v>100447</v>
      </c>
      <c r="E12" s="119">
        <v>0</v>
      </c>
      <c r="F12" s="119">
        <v>0</v>
      </c>
      <c r="G12" s="119">
        <v>0</v>
      </c>
      <c r="H12" s="119">
        <v>0</v>
      </c>
      <c r="I12" s="119">
        <v>0</v>
      </c>
      <c r="J12" s="119">
        <v>0</v>
      </c>
      <c r="K12" s="119">
        <v>0</v>
      </c>
      <c r="L12" s="119">
        <v>0</v>
      </c>
      <c r="M12" s="119">
        <v>77019</v>
      </c>
      <c r="N12" s="119"/>
      <c r="O12" s="119">
        <v>0</v>
      </c>
      <c r="P12" s="119">
        <v>0</v>
      </c>
      <c r="Q12" s="119">
        <v>0</v>
      </c>
      <c r="R12" s="119">
        <v>138574</v>
      </c>
      <c r="S12" s="119">
        <v>16151</v>
      </c>
    </row>
    <row r="13" spans="1:19" x14ac:dyDescent="0.3">
      <c r="A13" s="97">
        <v>22</v>
      </c>
      <c r="B13" s="119" t="s">
        <v>109</v>
      </c>
      <c r="C13" s="119"/>
      <c r="D13" s="119">
        <v>0</v>
      </c>
      <c r="E13" s="119">
        <v>0</v>
      </c>
      <c r="F13" s="119">
        <v>2361753</v>
      </c>
      <c r="G13" s="119">
        <v>0</v>
      </c>
      <c r="H13" s="119">
        <v>15437</v>
      </c>
      <c r="I13" s="119">
        <v>0</v>
      </c>
      <c r="J13" s="119">
        <v>0</v>
      </c>
      <c r="K13" s="119">
        <v>0</v>
      </c>
      <c r="L13" s="119">
        <v>0</v>
      </c>
      <c r="M13" s="119">
        <v>0</v>
      </c>
      <c r="N13" s="119"/>
      <c r="O13" s="119">
        <v>0</v>
      </c>
      <c r="P13" s="119">
        <v>0</v>
      </c>
      <c r="Q13" s="119">
        <v>0</v>
      </c>
      <c r="R13" s="119">
        <v>0</v>
      </c>
      <c r="S13" s="119">
        <v>0</v>
      </c>
    </row>
    <row r="14" spans="1:19" x14ac:dyDescent="0.3">
      <c r="A14" s="97">
        <v>23</v>
      </c>
      <c r="B14" s="119" t="s">
        <v>112</v>
      </c>
      <c r="C14" s="119"/>
      <c r="D14" s="119">
        <v>52522</v>
      </c>
      <c r="E14" s="119">
        <v>66922</v>
      </c>
      <c r="F14" s="119">
        <v>-72700</v>
      </c>
      <c r="G14" s="119">
        <v>353479</v>
      </c>
      <c r="H14" s="119">
        <v>63530</v>
      </c>
      <c r="I14" s="119">
        <v>69207</v>
      </c>
      <c r="J14" s="119">
        <v>549708</v>
      </c>
      <c r="K14" s="119">
        <v>-358</v>
      </c>
      <c r="L14" s="119">
        <v>63504</v>
      </c>
      <c r="M14" s="119">
        <v>7189</v>
      </c>
      <c r="N14" s="119"/>
      <c r="O14" s="119">
        <v>259348</v>
      </c>
      <c r="P14" s="119">
        <v>-19418</v>
      </c>
      <c r="Q14" s="119">
        <v>712049</v>
      </c>
      <c r="R14" s="119">
        <v>62932</v>
      </c>
      <c r="S14" s="119">
        <v>247496</v>
      </c>
    </row>
    <row r="15" spans="1:19" x14ac:dyDescent="0.3">
      <c r="A15" s="97">
        <v>31</v>
      </c>
      <c r="B15" s="119" t="s">
        <v>417</v>
      </c>
      <c r="C15" s="119"/>
      <c r="D15" s="119">
        <v>0</v>
      </c>
      <c r="E15" s="119">
        <v>0</v>
      </c>
      <c r="F15" s="119">
        <v>0</v>
      </c>
      <c r="G15" s="119">
        <v>0</v>
      </c>
      <c r="H15" s="119">
        <v>0</v>
      </c>
      <c r="I15" s="119">
        <v>0</v>
      </c>
      <c r="J15" s="119">
        <v>0</v>
      </c>
      <c r="K15" s="119">
        <v>-44697</v>
      </c>
      <c r="L15" s="119">
        <v>0</v>
      </c>
      <c r="M15" s="119">
        <v>-22983</v>
      </c>
      <c r="N15" s="119"/>
      <c r="O15" s="119">
        <v>0</v>
      </c>
      <c r="P15" s="119">
        <v>0</v>
      </c>
      <c r="Q15" s="119">
        <v>0</v>
      </c>
      <c r="R15" s="119">
        <v>0</v>
      </c>
      <c r="S15" s="119">
        <v>0</v>
      </c>
    </row>
    <row r="16" spans="1:19" x14ac:dyDescent="0.3">
      <c r="A16" s="97">
        <v>32</v>
      </c>
      <c r="B16" s="119" t="s">
        <v>418</v>
      </c>
      <c r="C16" s="119"/>
      <c r="D16" s="119">
        <v>0</v>
      </c>
      <c r="E16" s="119">
        <v>0</v>
      </c>
      <c r="F16" s="119">
        <v>0</v>
      </c>
      <c r="G16" s="119">
        <v>0</v>
      </c>
      <c r="H16" s="119">
        <v>0</v>
      </c>
      <c r="I16" s="119">
        <v>0</v>
      </c>
      <c r="J16" s="119">
        <v>0</v>
      </c>
      <c r="K16" s="119">
        <v>97619</v>
      </c>
      <c r="L16" s="119">
        <v>0</v>
      </c>
      <c r="M16" s="119">
        <v>53289</v>
      </c>
      <c r="N16" s="119"/>
      <c r="O16" s="119">
        <v>0</v>
      </c>
      <c r="P16" s="119">
        <v>0</v>
      </c>
      <c r="Q16" s="119">
        <v>0</v>
      </c>
      <c r="R16" s="119">
        <v>0</v>
      </c>
      <c r="S16" s="119">
        <v>0</v>
      </c>
    </row>
    <row r="17" spans="1:19" x14ac:dyDescent="0.3">
      <c r="A17" s="97">
        <v>33</v>
      </c>
      <c r="B17" s="119" t="s">
        <v>185</v>
      </c>
      <c r="C17" s="119"/>
      <c r="D17" s="119">
        <v>0</v>
      </c>
      <c r="E17" s="119">
        <v>0</v>
      </c>
      <c r="F17" s="119">
        <v>0</v>
      </c>
      <c r="G17" s="119">
        <v>0</v>
      </c>
      <c r="H17" s="119">
        <v>0</v>
      </c>
      <c r="I17" s="119">
        <v>0</v>
      </c>
      <c r="J17" s="119">
        <v>0</v>
      </c>
      <c r="K17" s="119">
        <v>35513</v>
      </c>
      <c r="L17" s="119">
        <v>0</v>
      </c>
      <c r="M17" s="119">
        <v>-62726</v>
      </c>
      <c r="N17" s="119"/>
      <c r="O17" s="119">
        <v>0</v>
      </c>
      <c r="P17" s="119">
        <v>0</v>
      </c>
      <c r="Q17" s="119">
        <v>0</v>
      </c>
      <c r="R17" s="119">
        <v>0</v>
      </c>
      <c r="S17" s="119">
        <v>0</v>
      </c>
    </row>
    <row r="18" spans="1:19" x14ac:dyDescent="0.3">
      <c r="A18" s="97">
        <v>193</v>
      </c>
      <c r="B18" s="119" t="s">
        <v>186</v>
      </c>
      <c r="C18" s="119"/>
      <c r="D18" s="119">
        <v>0</v>
      </c>
      <c r="E18" s="119">
        <v>0</v>
      </c>
      <c r="F18" s="119">
        <v>0</v>
      </c>
      <c r="G18" s="119">
        <v>0</v>
      </c>
      <c r="H18" s="119">
        <v>0</v>
      </c>
      <c r="I18" s="119">
        <v>0</v>
      </c>
      <c r="J18" s="119">
        <v>0</v>
      </c>
      <c r="K18" s="119">
        <v>0</v>
      </c>
      <c r="L18" s="119">
        <v>0</v>
      </c>
      <c r="M18" s="119">
        <v>0</v>
      </c>
      <c r="N18" s="119"/>
      <c r="O18" s="119">
        <v>0</v>
      </c>
      <c r="P18" s="119">
        <v>0</v>
      </c>
      <c r="Q18" s="119">
        <v>0</v>
      </c>
      <c r="R18" s="119">
        <v>0</v>
      </c>
      <c r="S18" s="119">
        <v>0</v>
      </c>
    </row>
    <row r="19" spans="1:19" x14ac:dyDescent="0.3">
      <c r="A19" s="97">
        <v>252</v>
      </c>
      <c r="B19" s="119" t="s">
        <v>33</v>
      </c>
      <c r="C19" s="119"/>
      <c r="D19" s="119">
        <v>119480</v>
      </c>
      <c r="E19" s="119">
        <v>0</v>
      </c>
      <c r="F19" s="119">
        <v>290739</v>
      </c>
      <c r="G19" s="119">
        <v>144327</v>
      </c>
      <c r="H19" s="119">
        <v>380645</v>
      </c>
      <c r="I19" s="119">
        <v>-358</v>
      </c>
      <c r="J19" s="119">
        <v>6443</v>
      </c>
      <c r="K19" s="119">
        <v>355718</v>
      </c>
      <c r="L19" s="119">
        <v>2950</v>
      </c>
      <c r="M19" s="119">
        <v>39683</v>
      </c>
      <c r="N19" s="119"/>
      <c r="O19" s="119">
        <v>1175174</v>
      </c>
      <c r="P19" s="119">
        <v>39470</v>
      </c>
      <c r="Q19" s="119">
        <v>6725</v>
      </c>
      <c r="R19" s="119">
        <v>18723</v>
      </c>
      <c r="S19" s="119">
        <v>19505</v>
      </c>
    </row>
    <row r="20" spans="1:19" x14ac:dyDescent="0.3">
      <c r="A20" s="97">
        <v>253</v>
      </c>
      <c r="B20" s="119" t="s">
        <v>34</v>
      </c>
      <c r="C20" s="119"/>
      <c r="D20" s="119">
        <v>1401600</v>
      </c>
      <c r="E20" s="119">
        <v>2042895</v>
      </c>
      <c r="F20" s="119">
        <v>688475</v>
      </c>
      <c r="G20" s="119">
        <v>2154044</v>
      </c>
      <c r="H20" s="119">
        <v>71514</v>
      </c>
      <c r="I20" s="119">
        <v>2308631</v>
      </c>
      <c r="J20" s="119">
        <v>2811962</v>
      </c>
      <c r="K20" s="119">
        <v>1494292</v>
      </c>
      <c r="L20" s="119">
        <v>1322365</v>
      </c>
      <c r="M20" s="119">
        <v>2238403</v>
      </c>
      <c r="N20" s="119"/>
      <c r="O20" s="119">
        <v>3789885</v>
      </c>
      <c r="P20" s="119">
        <v>4892951</v>
      </c>
      <c r="Q20" s="119">
        <v>3393934</v>
      </c>
      <c r="R20" s="119">
        <v>2683407</v>
      </c>
      <c r="S20" s="119">
        <v>3066017</v>
      </c>
    </row>
    <row r="21" spans="1:19" x14ac:dyDescent="0.3">
      <c r="A21" s="97">
        <v>254</v>
      </c>
      <c r="B21" s="119" t="s">
        <v>35</v>
      </c>
      <c r="C21" s="119"/>
      <c r="D21" s="119">
        <v>763298</v>
      </c>
      <c r="E21" s="119">
        <v>-1402359</v>
      </c>
      <c r="F21" s="119">
        <v>-772762</v>
      </c>
      <c r="G21" s="119">
        <v>-478105</v>
      </c>
      <c r="H21" s="119">
        <v>1302654</v>
      </c>
      <c r="I21" s="119">
        <v>-838887</v>
      </c>
      <c r="J21" s="119">
        <v>1308501</v>
      </c>
      <c r="K21" s="119">
        <v>-1053263</v>
      </c>
      <c r="L21" s="119">
        <v>-629230</v>
      </c>
      <c r="M21" s="119">
        <v>-1899642</v>
      </c>
      <c r="N21" s="119"/>
      <c r="O21" s="119">
        <v>1984537</v>
      </c>
      <c r="P21" s="119">
        <v>-832642</v>
      </c>
      <c r="Q21" s="119">
        <v>-3680023</v>
      </c>
      <c r="R21" s="119">
        <v>-1542369</v>
      </c>
      <c r="S21" s="119">
        <v>-807824</v>
      </c>
    </row>
    <row r="22" spans="1:19" x14ac:dyDescent="0.3">
      <c r="A22" s="97">
        <v>255</v>
      </c>
      <c r="B22" s="119" t="s">
        <v>96</v>
      </c>
      <c r="C22" s="119"/>
      <c r="D22" s="119">
        <v>-13963</v>
      </c>
      <c r="E22" s="119">
        <v>100525</v>
      </c>
      <c r="F22" s="119">
        <v>173499</v>
      </c>
      <c r="G22" s="119">
        <v>369799</v>
      </c>
      <c r="H22" s="119">
        <v>302224</v>
      </c>
      <c r="I22" s="119">
        <v>290574</v>
      </c>
      <c r="J22" s="119">
        <v>652400</v>
      </c>
      <c r="K22" s="119">
        <v>68424</v>
      </c>
      <c r="L22" s="119">
        <v>101293</v>
      </c>
      <c r="M22" s="119">
        <v>133991</v>
      </c>
      <c r="N22" s="119"/>
      <c r="O22" s="119">
        <v>1064301</v>
      </c>
      <c r="P22" s="119">
        <v>887609</v>
      </c>
      <c r="Q22" s="119">
        <v>490705</v>
      </c>
      <c r="R22" s="119">
        <v>225858</v>
      </c>
      <c r="S22" s="119">
        <v>62410</v>
      </c>
    </row>
    <row r="23" spans="1:19" x14ac:dyDescent="0.3">
      <c r="A23" s="97">
        <v>333</v>
      </c>
      <c r="B23" s="119" t="s">
        <v>84</v>
      </c>
      <c r="C23" s="119"/>
      <c r="D23" s="119">
        <v>1784195</v>
      </c>
      <c r="E23" s="119">
        <v>1365078</v>
      </c>
      <c r="F23" s="119">
        <v>2462504</v>
      </c>
      <c r="G23" s="119">
        <v>665417</v>
      </c>
      <c r="H23" s="119">
        <v>1657004</v>
      </c>
      <c r="I23" s="119">
        <v>1578919</v>
      </c>
      <c r="J23" s="119">
        <v>5724727</v>
      </c>
      <c r="K23" s="119">
        <v>270296</v>
      </c>
      <c r="L23" s="119">
        <v>452254</v>
      </c>
      <c r="M23" s="119">
        <v>1599713</v>
      </c>
      <c r="N23" s="119"/>
      <c r="O23" s="119">
        <v>4709264</v>
      </c>
      <c r="P23" s="119">
        <v>1829603</v>
      </c>
      <c r="Q23" s="119">
        <v>9990845</v>
      </c>
      <c r="R23" s="119">
        <v>839045</v>
      </c>
      <c r="S23" s="119">
        <v>2289638</v>
      </c>
    </row>
    <row r="24" spans="1:19" x14ac:dyDescent="0.3">
      <c r="A24" s="97">
        <v>335</v>
      </c>
      <c r="B24" s="119" t="s">
        <v>46</v>
      </c>
      <c r="C24" s="119"/>
      <c r="D24" s="119">
        <v>0</v>
      </c>
      <c r="E24" s="119">
        <v>70992</v>
      </c>
      <c r="F24" s="119">
        <v>0</v>
      </c>
      <c r="G24" s="119">
        <v>186993</v>
      </c>
      <c r="H24" s="119">
        <v>0</v>
      </c>
      <c r="I24" s="119">
        <v>838887</v>
      </c>
      <c r="J24" s="119">
        <v>1502713</v>
      </c>
      <c r="K24" s="119">
        <v>0</v>
      </c>
      <c r="L24" s="119">
        <v>0</v>
      </c>
      <c r="M24" s="119">
        <v>0</v>
      </c>
      <c r="N24" s="119"/>
      <c r="O24" s="119">
        <v>1248251</v>
      </c>
      <c r="P24" s="119">
        <v>1994211</v>
      </c>
      <c r="Q24" s="119">
        <v>6914830</v>
      </c>
      <c r="R24" s="119">
        <v>0</v>
      </c>
      <c r="S24" s="119">
        <v>462180</v>
      </c>
    </row>
    <row r="25" spans="1:19" x14ac:dyDescent="0.3">
      <c r="A25" s="97">
        <v>336</v>
      </c>
      <c r="B25" s="119" t="s">
        <v>440</v>
      </c>
      <c r="C25" s="119"/>
      <c r="D25" s="119">
        <v>497798</v>
      </c>
      <c r="E25" s="119">
        <v>2095581</v>
      </c>
      <c r="F25" s="119">
        <v>3918927</v>
      </c>
      <c r="G25" s="119">
        <v>954836</v>
      </c>
      <c r="H25" s="119">
        <v>612842</v>
      </c>
      <c r="I25" s="119">
        <v>1012505</v>
      </c>
      <c r="J25" s="119">
        <v>3685962</v>
      </c>
      <c r="K25" s="119">
        <v>1155589</v>
      </c>
      <c r="L25" s="119">
        <v>893404</v>
      </c>
      <c r="M25" s="119">
        <v>2599758</v>
      </c>
      <c r="N25" s="119"/>
      <c r="O25" s="119">
        <v>3841945</v>
      </c>
      <c r="P25" s="119">
        <v>2457526</v>
      </c>
      <c r="Q25" s="119">
        <v>11255152</v>
      </c>
      <c r="R25" s="119">
        <v>1047107</v>
      </c>
      <c r="S25" s="119">
        <v>1606216</v>
      </c>
    </row>
    <row r="26" spans="1:19" x14ac:dyDescent="0.3">
      <c r="A26" s="97">
        <v>338</v>
      </c>
      <c r="B26" s="119" t="s">
        <v>45</v>
      </c>
      <c r="C26" s="119"/>
      <c r="D26" s="119">
        <v>1347163</v>
      </c>
      <c r="E26" s="119">
        <v>3171960</v>
      </c>
      <c r="F26" s="119">
        <v>8326320</v>
      </c>
      <c r="G26" s="119">
        <v>1746524</v>
      </c>
      <c r="H26" s="119">
        <v>2230916</v>
      </c>
      <c r="I26" s="119">
        <v>3449821</v>
      </c>
      <c r="J26" s="119">
        <v>6179298</v>
      </c>
      <c r="K26" s="119">
        <v>2382605</v>
      </c>
      <c r="L26" s="119">
        <v>2000531</v>
      </c>
      <c r="M26" s="119">
        <v>3511346</v>
      </c>
      <c r="N26" s="119"/>
      <c r="O26" s="119">
        <v>7590648</v>
      </c>
      <c r="P26" s="119">
        <v>3007336</v>
      </c>
      <c r="Q26" s="119">
        <v>15004790</v>
      </c>
      <c r="R26" s="119">
        <v>2006519</v>
      </c>
      <c r="S26" s="119">
        <v>6796724</v>
      </c>
    </row>
    <row r="27" spans="1:19" x14ac:dyDescent="0.3">
      <c r="A27" s="375">
        <v>339</v>
      </c>
      <c r="B27" s="376" t="s">
        <v>89</v>
      </c>
      <c r="C27" s="376"/>
      <c r="D27" s="376">
        <v>476747</v>
      </c>
      <c r="E27" s="376">
        <v>493185</v>
      </c>
      <c r="F27" s="376">
        <v>1798827</v>
      </c>
      <c r="G27" s="376">
        <v>0</v>
      </c>
      <c r="H27" s="376">
        <v>0</v>
      </c>
      <c r="I27" s="376">
        <v>488159</v>
      </c>
      <c r="J27" s="376">
        <v>363750</v>
      </c>
      <c r="K27" s="376">
        <v>586371</v>
      </c>
      <c r="L27" s="376">
        <v>851354</v>
      </c>
      <c r="M27" s="376">
        <v>836848</v>
      </c>
      <c r="N27" s="376"/>
      <c r="O27" s="376">
        <v>3101385</v>
      </c>
      <c r="P27" s="376">
        <v>132916</v>
      </c>
      <c r="Q27" s="376">
        <v>1737662</v>
      </c>
      <c r="R27" s="376">
        <v>495784</v>
      </c>
      <c r="S27" s="376">
        <v>1957448</v>
      </c>
    </row>
    <row r="28" spans="1:19" x14ac:dyDescent="0.3">
      <c r="A28" s="375">
        <v>341</v>
      </c>
      <c r="B28" s="376" t="s">
        <v>441</v>
      </c>
      <c r="C28" s="376"/>
      <c r="D28" s="376">
        <v>7206</v>
      </c>
      <c r="E28" s="376">
        <v>230217</v>
      </c>
      <c r="F28" s="376">
        <v>910260</v>
      </c>
      <c r="G28" s="376">
        <v>185448</v>
      </c>
      <c r="H28" s="376">
        <v>251647</v>
      </c>
      <c r="I28" s="376">
        <v>173127</v>
      </c>
      <c r="J28" s="376">
        <v>397488</v>
      </c>
      <c r="K28" s="376">
        <v>0</v>
      </c>
      <c r="L28" s="376">
        <v>717446</v>
      </c>
      <c r="M28" s="376">
        <v>35159</v>
      </c>
      <c r="N28" s="376"/>
      <c r="O28" s="376">
        <v>2861</v>
      </c>
      <c r="P28" s="376">
        <v>325085</v>
      </c>
      <c r="Q28" s="376">
        <v>1128990</v>
      </c>
      <c r="R28" s="376">
        <v>212240</v>
      </c>
      <c r="S28" s="376">
        <v>327547</v>
      </c>
    </row>
    <row r="29" spans="1:19" x14ac:dyDescent="0.3">
      <c r="A29" s="375">
        <v>376</v>
      </c>
      <c r="B29" s="376" t="s">
        <v>38</v>
      </c>
      <c r="C29" s="376"/>
      <c r="D29" s="376">
        <v>0</v>
      </c>
      <c r="E29" s="376">
        <v>0</v>
      </c>
      <c r="F29" s="376">
        <v>0</v>
      </c>
      <c r="G29" s="376">
        <v>0</v>
      </c>
      <c r="H29" s="376">
        <v>1</v>
      </c>
      <c r="I29" s="376">
        <v>0</v>
      </c>
      <c r="J29" s="376">
        <v>0</v>
      </c>
      <c r="K29" s="376">
        <v>0</v>
      </c>
      <c r="L29" s="376">
        <v>0</v>
      </c>
      <c r="M29" s="376">
        <v>0</v>
      </c>
      <c r="N29" s="376"/>
      <c r="O29" s="376">
        <v>0</v>
      </c>
      <c r="P29" s="376">
        <v>0</v>
      </c>
      <c r="Q29" s="376">
        <v>0</v>
      </c>
      <c r="R29" s="376">
        <v>0</v>
      </c>
      <c r="S29" s="376">
        <v>0</v>
      </c>
    </row>
    <row r="30" spans="1:19" ht="13.95" customHeight="1" x14ac:dyDescent="0.3">
      <c r="A30" s="375">
        <v>379</v>
      </c>
      <c r="B30" s="376" t="s">
        <v>47</v>
      </c>
      <c r="C30" s="376"/>
      <c r="D30" s="376">
        <v>1172876</v>
      </c>
      <c r="E30" s="376">
        <v>1410977</v>
      </c>
      <c r="F30" s="376">
        <v>3237546</v>
      </c>
      <c r="G30" s="376">
        <v>2726416</v>
      </c>
      <c r="H30" s="376">
        <v>1487341</v>
      </c>
      <c r="I30" s="376">
        <v>1133687</v>
      </c>
      <c r="J30" s="376">
        <v>8536689</v>
      </c>
      <c r="K30" s="376">
        <v>1818609</v>
      </c>
      <c r="L30" s="376">
        <v>1481394</v>
      </c>
      <c r="M30" s="376">
        <v>393182</v>
      </c>
      <c r="N30" s="376"/>
      <c r="O30" s="376">
        <v>3590564</v>
      </c>
      <c r="P30" s="376">
        <v>2744017</v>
      </c>
      <c r="Q30" s="376">
        <v>13415075</v>
      </c>
      <c r="R30" s="376">
        <v>871826</v>
      </c>
      <c r="S30" s="376">
        <v>2498600</v>
      </c>
    </row>
    <row r="31" spans="1:19" x14ac:dyDescent="0.3">
      <c r="A31" s="97">
        <v>380</v>
      </c>
      <c r="B31" s="119" t="s">
        <v>50</v>
      </c>
      <c r="C31" s="119"/>
      <c r="D31" s="119">
        <v>0</v>
      </c>
      <c r="E31" s="119">
        <v>0</v>
      </c>
      <c r="F31" s="119">
        <v>0</v>
      </c>
      <c r="G31" s="119">
        <v>0</v>
      </c>
      <c r="H31" s="119">
        <v>0</v>
      </c>
      <c r="I31" s="119">
        <v>0</v>
      </c>
      <c r="J31" s="119">
        <v>0</v>
      </c>
      <c r="K31" s="119">
        <v>0</v>
      </c>
      <c r="L31" s="119">
        <v>0</v>
      </c>
      <c r="M31" s="119">
        <v>0</v>
      </c>
      <c r="N31" s="119"/>
      <c r="O31" s="119">
        <v>0</v>
      </c>
      <c r="P31" s="119">
        <v>0</v>
      </c>
      <c r="Q31" s="119">
        <v>0</v>
      </c>
      <c r="R31" s="119">
        <v>0</v>
      </c>
      <c r="S31" s="119">
        <v>0</v>
      </c>
    </row>
    <row r="32" spans="1:19" x14ac:dyDescent="0.3">
      <c r="A32" s="97">
        <v>385</v>
      </c>
      <c r="B32" s="119" t="s">
        <v>44</v>
      </c>
      <c r="C32" s="119"/>
      <c r="D32" s="119">
        <v>3631541</v>
      </c>
      <c r="E32" s="119">
        <v>3812496</v>
      </c>
      <c r="F32" s="119">
        <v>8532772</v>
      </c>
      <c r="G32" s="119">
        <v>3566790</v>
      </c>
      <c r="H32" s="119">
        <v>3985729</v>
      </c>
      <c r="I32" s="119">
        <v>4919207</v>
      </c>
      <c r="J32" s="119">
        <v>10306204</v>
      </c>
      <c r="K32" s="119">
        <v>3179352</v>
      </c>
      <c r="L32" s="119">
        <v>2696616</v>
      </c>
      <c r="M32" s="119">
        <v>3889790</v>
      </c>
      <c r="N32" s="119"/>
      <c r="O32" s="119">
        <v>14540244</v>
      </c>
      <c r="P32" s="119">
        <v>7107115</v>
      </c>
      <c r="Q32" s="119">
        <v>14725426</v>
      </c>
      <c r="R32" s="119">
        <v>3166280</v>
      </c>
      <c r="S32" s="119">
        <v>9074422</v>
      </c>
    </row>
    <row r="33" spans="1:19" x14ac:dyDescent="0.3">
      <c r="A33" s="97">
        <v>386</v>
      </c>
      <c r="B33" s="119" t="s">
        <v>93</v>
      </c>
      <c r="C33" s="119"/>
      <c r="D33" s="119">
        <v>0</v>
      </c>
      <c r="E33" s="119">
        <v>0</v>
      </c>
      <c r="F33" s="119">
        <v>0</v>
      </c>
      <c r="G33" s="119">
        <v>0</v>
      </c>
      <c r="H33" s="119">
        <v>0</v>
      </c>
      <c r="I33" s="119">
        <v>0</v>
      </c>
      <c r="J33" s="119">
        <v>0</v>
      </c>
      <c r="K33" s="119">
        <v>0</v>
      </c>
      <c r="L33" s="119">
        <v>0</v>
      </c>
      <c r="M33" s="119">
        <v>0</v>
      </c>
      <c r="N33" s="119"/>
      <c r="O33" s="119">
        <v>0</v>
      </c>
      <c r="P33" s="119">
        <v>0</v>
      </c>
      <c r="Q33" s="119">
        <v>0</v>
      </c>
      <c r="R33" s="119">
        <v>0</v>
      </c>
      <c r="S33" s="119">
        <v>0</v>
      </c>
    </row>
    <row r="34" spans="1:19" x14ac:dyDescent="0.3">
      <c r="A34" s="97">
        <v>387</v>
      </c>
      <c r="B34" s="119" t="s">
        <v>94</v>
      </c>
      <c r="C34" s="119"/>
      <c r="D34" s="119">
        <v>0</v>
      </c>
      <c r="E34" s="119">
        <v>0</v>
      </c>
      <c r="F34" s="119">
        <v>0</v>
      </c>
      <c r="G34" s="119">
        <v>0</v>
      </c>
      <c r="H34" s="119">
        <v>0</v>
      </c>
      <c r="I34" s="119">
        <v>0</v>
      </c>
      <c r="J34" s="119">
        <v>0</v>
      </c>
      <c r="K34" s="119">
        <v>0</v>
      </c>
      <c r="L34" s="119">
        <v>0</v>
      </c>
      <c r="M34" s="119">
        <v>0</v>
      </c>
      <c r="N34" s="119"/>
      <c r="O34" s="119">
        <v>0</v>
      </c>
      <c r="P34" s="119">
        <v>0</v>
      </c>
      <c r="Q34" s="119">
        <v>0</v>
      </c>
      <c r="R34" s="119">
        <v>0</v>
      </c>
      <c r="S34" s="119">
        <v>0</v>
      </c>
    </row>
    <row r="35" spans="1:19" x14ac:dyDescent="0.3">
      <c r="A35" s="97">
        <v>388</v>
      </c>
      <c r="B35" s="119" t="s">
        <v>88</v>
      </c>
      <c r="C35" s="119"/>
      <c r="D35" s="119">
        <v>6265678</v>
      </c>
      <c r="E35" s="119">
        <v>10906117</v>
      </c>
      <c r="F35" s="119">
        <v>21127657</v>
      </c>
      <c r="G35" s="119">
        <v>12473821</v>
      </c>
      <c r="H35" s="119">
        <v>5917684</v>
      </c>
      <c r="I35" s="119">
        <v>6322288</v>
      </c>
      <c r="J35" s="119">
        <v>12425966</v>
      </c>
      <c r="K35" s="119">
        <v>8395917</v>
      </c>
      <c r="L35" s="119">
        <v>8689303</v>
      </c>
      <c r="M35" s="119">
        <v>7665728</v>
      </c>
      <c r="N35" s="119"/>
      <c r="O35" s="119">
        <v>33595810</v>
      </c>
      <c r="P35" s="119">
        <v>6903539</v>
      </c>
      <c r="Q35" s="119">
        <v>20351831</v>
      </c>
      <c r="R35" s="119">
        <v>10420289</v>
      </c>
      <c r="S35" s="119">
        <v>17340430</v>
      </c>
    </row>
    <row r="36" spans="1:19" x14ac:dyDescent="0.3">
      <c r="A36" s="97">
        <v>389</v>
      </c>
      <c r="B36" s="119" t="s">
        <v>95</v>
      </c>
      <c r="C36" s="119"/>
      <c r="D36" s="119">
        <v>25016</v>
      </c>
      <c r="E36" s="119">
        <v>0</v>
      </c>
      <c r="F36" s="119">
        <v>0</v>
      </c>
      <c r="G36" s="119">
        <v>0</v>
      </c>
      <c r="H36" s="119">
        <v>0</v>
      </c>
      <c r="I36" s="119">
        <v>0</v>
      </c>
      <c r="J36" s="119">
        <v>0</v>
      </c>
      <c r="K36" s="119">
        <v>0</v>
      </c>
      <c r="L36" s="119">
        <v>0</v>
      </c>
      <c r="M36" s="119">
        <v>0</v>
      </c>
      <c r="N36" s="119"/>
      <c r="O36" s="119">
        <v>0</v>
      </c>
      <c r="P36" s="119">
        <v>0</v>
      </c>
      <c r="Q36" s="119">
        <v>0</v>
      </c>
      <c r="R36" s="119">
        <v>0</v>
      </c>
      <c r="S36" s="119">
        <v>0</v>
      </c>
    </row>
    <row r="37" spans="1:19" x14ac:dyDescent="0.3">
      <c r="A37" s="97">
        <v>391</v>
      </c>
      <c r="B37" s="119" t="s">
        <v>100</v>
      </c>
      <c r="C37" s="119"/>
      <c r="D37" s="119">
        <v>52061</v>
      </c>
      <c r="E37" s="119">
        <v>32707</v>
      </c>
      <c r="F37" s="119">
        <v>688475</v>
      </c>
      <c r="G37" s="119">
        <v>1344091</v>
      </c>
      <c r="H37" s="119">
        <v>71514</v>
      </c>
      <c r="I37" s="119">
        <v>678278</v>
      </c>
      <c r="J37" s="119">
        <v>1828349</v>
      </c>
      <c r="K37" s="119">
        <v>1494292</v>
      </c>
      <c r="L37" s="119">
        <v>1173435</v>
      </c>
      <c r="M37" s="119">
        <v>393182</v>
      </c>
      <c r="N37" s="119"/>
      <c r="O37" s="119">
        <v>788246</v>
      </c>
      <c r="P37" s="119">
        <v>914414</v>
      </c>
      <c r="Q37" s="119">
        <v>3393934</v>
      </c>
      <c r="R37" s="119">
        <v>13164</v>
      </c>
      <c r="S37" s="119">
        <v>1275219</v>
      </c>
    </row>
    <row r="38" spans="1:19" x14ac:dyDescent="0.3">
      <c r="A38" s="97">
        <v>500</v>
      </c>
      <c r="B38" s="119" t="s">
        <v>83</v>
      </c>
      <c r="C38" s="119"/>
      <c r="D38" s="119">
        <v>152998</v>
      </c>
      <c r="E38" s="119">
        <v>0</v>
      </c>
      <c r="F38" s="119">
        <v>0</v>
      </c>
      <c r="G38" s="119">
        <v>663504</v>
      </c>
      <c r="H38" s="119">
        <v>0</v>
      </c>
      <c r="I38" s="119">
        <v>0</v>
      </c>
      <c r="J38" s="119">
        <v>0</v>
      </c>
      <c r="K38" s="119">
        <v>0</v>
      </c>
      <c r="L38" s="119">
        <v>0</v>
      </c>
      <c r="M38" s="119">
        <v>0</v>
      </c>
      <c r="N38" s="119"/>
      <c r="O38" s="119">
        <v>0</v>
      </c>
      <c r="P38" s="119">
        <v>1004604</v>
      </c>
      <c r="Q38" s="119">
        <v>0</v>
      </c>
      <c r="R38" s="119">
        <v>0</v>
      </c>
      <c r="S38" s="119">
        <v>878436</v>
      </c>
    </row>
    <row r="39" spans="1:19" x14ac:dyDescent="0.3">
      <c r="A39" s="97">
        <v>502</v>
      </c>
      <c r="B39" s="119" t="s">
        <v>85</v>
      </c>
      <c r="C39" s="119"/>
      <c r="D39" s="119">
        <v>0</v>
      </c>
      <c r="E39" s="119">
        <v>0</v>
      </c>
      <c r="F39" s="119">
        <v>0</v>
      </c>
      <c r="G39" s="119">
        <v>0</v>
      </c>
      <c r="H39" s="119">
        <v>0</v>
      </c>
      <c r="I39" s="119">
        <v>0</v>
      </c>
      <c r="J39" s="119">
        <v>0</v>
      </c>
      <c r="K39" s="119">
        <v>659017</v>
      </c>
      <c r="L39" s="119">
        <v>0</v>
      </c>
      <c r="M39" s="119">
        <v>444139</v>
      </c>
      <c r="N39" s="119"/>
      <c r="O39" s="119">
        <v>0</v>
      </c>
      <c r="P39" s="119">
        <v>0</v>
      </c>
      <c r="Q39" s="119">
        <v>0</v>
      </c>
      <c r="R39" s="119">
        <v>0</v>
      </c>
      <c r="S39" s="119">
        <v>0</v>
      </c>
    </row>
    <row r="40" spans="1:19" x14ac:dyDescent="0.3">
      <c r="A40" s="97">
        <v>503</v>
      </c>
      <c r="B40" s="119" t="s">
        <v>86</v>
      </c>
      <c r="C40" s="119"/>
      <c r="D40" s="119">
        <v>0</v>
      </c>
      <c r="E40" s="119">
        <v>0</v>
      </c>
      <c r="F40" s="119">
        <v>0</v>
      </c>
      <c r="G40" s="119">
        <v>0</v>
      </c>
      <c r="H40" s="119">
        <v>0</v>
      </c>
      <c r="I40" s="119">
        <v>0</v>
      </c>
      <c r="J40" s="119">
        <v>0</v>
      </c>
      <c r="K40" s="119">
        <v>8652</v>
      </c>
      <c r="L40" s="119">
        <v>0</v>
      </c>
      <c r="M40" s="119">
        <v>17646</v>
      </c>
      <c r="N40" s="119"/>
      <c r="O40" s="119">
        <v>0</v>
      </c>
      <c r="P40" s="119">
        <v>0</v>
      </c>
      <c r="Q40" s="119">
        <v>0</v>
      </c>
      <c r="R40" s="119">
        <v>0</v>
      </c>
      <c r="S40" s="119">
        <v>0</v>
      </c>
    </row>
    <row r="41" spans="1:19" x14ac:dyDescent="0.3">
      <c r="A41" s="97">
        <v>504</v>
      </c>
      <c r="B41" s="119" t="s">
        <v>90</v>
      </c>
      <c r="C41" s="119"/>
      <c r="D41" s="119">
        <v>5742746</v>
      </c>
      <c r="E41" s="119">
        <v>10283240</v>
      </c>
      <c r="F41" s="119">
        <v>18592069</v>
      </c>
      <c r="G41" s="119">
        <v>12658172</v>
      </c>
      <c r="H41" s="119">
        <v>5968261</v>
      </c>
      <c r="I41" s="119">
        <v>5951576</v>
      </c>
      <c r="J41" s="119">
        <v>12317128</v>
      </c>
      <c r="K41" s="119">
        <v>7877970</v>
      </c>
      <c r="L41" s="119">
        <v>7221796</v>
      </c>
      <c r="M41" s="119">
        <v>6927712</v>
      </c>
      <c r="N41" s="119"/>
      <c r="O41" s="119">
        <v>31555865</v>
      </c>
      <c r="P41" s="119">
        <v>7216897</v>
      </c>
      <c r="Q41" s="119">
        <v>17975884</v>
      </c>
      <c r="R41" s="119">
        <v>9938123</v>
      </c>
      <c r="S41" s="119">
        <v>15117845</v>
      </c>
    </row>
    <row r="42" spans="1:19" x14ac:dyDescent="0.3">
      <c r="A42" s="97">
        <v>505</v>
      </c>
      <c r="B42" s="119" t="s">
        <v>91</v>
      </c>
      <c r="C42" s="119"/>
      <c r="D42" s="119">
        <v>0</v>
      </c>
      <c r="E42" s="119">
        <v>0</v>
      </c>
      <c r="F42" s="119">
        <v>0</v>
      </c>
      <c r="G42" s="119">
        <v>0</v>
      </c>
      <c r="H42" s="119">
        <v>0</v>
      </c>
      <c r="I42" s="119">
        <v>0</v>
      </c>
      <c r="J42" s="119">
        <v>0</v>
      </c>
      <c r="K42" s="119">
        <v>0</v>
      </c>
      <c r="L42" s="119">
        <v>0</v>
      </c>
      <c r="M42" s="119">
        <v>0</v>
      </c>
      <c r="N42" s="119"/>
      <c r="O42" s="119">
        <v>0</v>
      </c>
      <c r="P42" s="119">
        <v>116250</v>
      </c>
      <c r="Q42" s="119">
        <v>0</v>
      </c>
      <c r="R42" s="119">
        <v>0</v>
      </c>
      <c r="S42" s="119">
        <v>0</v>
      </c>
    </row>
    <row r="43" spans="1:19" x14ac:dyDescent="0.3">
      <c r="A43" s="97">
        <v>506</v>
      </c>
      <c r="B43" s="119" t="s">
        <v>97</v>
      </c>
      <c r="C43" s="119"/>
      <c r="D43" s="119">
        <v>1120815</v>
      </c>
      <c r="E43" s="119">
        <v>1365078</v>
      </c>
      <c r="F43" s="119">
        <v>2462504</v>
      </c>
      <c r="G43" s="119">
        <v>665417</v>
      </c>
      <c r="H43" s="119">
        <v>1415827</v>
      </c>
      <c r="I43" s="119">
        <v>452576</v>
      </c>
      <c r="J43" s="119">
        <v>5724727</v>
      </c>
      <c r="K43" s="119">
        <v>270296</v>
      </c>
      <c r="L43" s="119">
        <v>307959</v>
      </c>
      <c r="M43" s="119">
        <v>0</v>
      </c>
      <c r="N43" s="119"/>
      <c r="O43" s="119">
        <v>2802318</v>
      </c>
      <c r="P43" s="119">
        <v>1829603</v>
      </c>
      <c r="Q43" s="119">
        <v>9990845</v>
      </c>
      <c r="R43" s="119">
        <v>839045</v>
      </c>
      <c r="S43" s="119">
        <v>1059732</v>
      </c>
    </row>
    <row r="44" spans="1:19" x14ac:dyDescent="0.3">
      <c r="A44" s="97">
        <v>507</v>
      </c>
      <c r="B44" s="119" t="s">
        <v>444</v>
      </c>
      <c r="C44" s="119"/>
      <c r="D44" s="119">
        <v>0</v>
      </c>
      <c r="E44" s="119">
        <v>0</v>
      </c>
      <c r="F44" s="119">
        <v>0</v>
      </c>
      <c r="G44" s="119">
        <v>0</v>
      </c>
      <c r="H44" s="119">
        <v>1</v>
      </c>
      <c r="I44" s="119">
        <v>0</v>
      </c>
      <c r="J44" s="119">
        <v>0</v>
      </c>
      <c r="K44" s="119">
        <v>0</v>
      </c>
      <c r="L44" s="119">
        <v>0</v>
      </c>
      <c r="M44" s="119">
        <v>0</v>
      </c>
      <c r="N44" s="119"/>
      <c r="O44" s="119">
        <v>0</v>
      </c>
      <c r="P44" s="119">
        <v>0</v>
      </c>
      <c r="Q44" s="119">
        <v>0</v>
      </c>
      <c r="R44" s="119">
        <v>0</v>
      </c>
      <c r="S44" s="119">
        <v>0</v>
      </c>
    </row>
    <row r="45" spans="1:19" x14ac:dyDescent="0.3">
      <c r="A45" s="97">
        <v>508</v>
      </c>
      <c r="B45" s="119" t="s">
        <v>110</v>
      </c>
      <c r="C45" s="119"/>
      <c r="D45" s="119">
        <v>0</v>
      </c>
      <c r="E45" s="119">
        <v>0</v>
      </c>
      <c r="F45" s="119">
        <v>0</v>
      </c>
      <c r="G45" s="119">
        <v>0</v>
      </c>
      <c r="H45" s="119">
        <v>0</v>
      </c>
      <c r="I45" s="119">
        <v>0</v>
      </c>
      <c r="J45" s="119">
        <v>0</v>
      </c>
      <c r="K45" s="119">
        <v>0</v>
      </c>
      <c r="L45" s="119">
        <v>0</v>
      </c>
      <c r="M45" s="119">
        <v>0</v>
      </c>
      <c r="N45" s="119"/>
      <c r="O45" s="119">
        <v>0</v>
      </c>
      <c r="P45" s="119">
        <v>0</v>
      </c>
      <c r="Q45" s="119">
        <v>0</v>
      </c>
      <c r="R45" s="119">
        <v>0</v>
      </c>
      <c r="S45" s="119">
        <v>0</v>
      </c>
    </row>
    <row r="46" spans="1:19" x14ac:dyDescent="0.3">
      <c r="A46" s="97">
        <v>509</v>
      </c>
      <c r="B46" s="119" t="s">
        <v>111</v>
      </c>
      <c r="C46" s="119"/>
      <c r="D46" s="119">
        <v>0</v>
      </c>
      <c r="E46" s="119">
        <v>0</v>
      </c>
      <c r="F46" s="119">
        <v>0</v>
      </c>
      <c r="G46" s="119">
        <v>0</v>
      </c>
      <c r="H46" s="119">
        <v>0</v>
      </c>
      <c r="I46" s="119">
        <v>0</v>
      </c>
      <c r="J46" s="119">
        <v>0</v>
      </c>
      <c r="K46" s="119">
        <v>0</v>
      </c>
      <c r="L46" s="119">
        <v>0</v>
      </c>
      <c r="M46" s="119">
        <v>0</v>
      </c>
      <c r="N46" s="119"/>
      <c r="O46" s="119">
        <v>0</v>
      </c>
      <c r="P46" s="119">
        <v>0</v>
      </c>
      <c r="Q46" s="119">
        <v>0</v>
      </c>
      <c r="R46" s="119">
        <v>0</v>
      </c>
      <c r="S46" s="119">
        <v>0</v>
      </c>
    </row>
    <row r="47" spans="1:19" x14ac:dyDescent="0.3">
      <c r="A47" s="97">
        <v>512</v>
      </c>
      <c r="B47" s="119" t="s">
        <v>147</v>
      </c>
      <c r="C47" s="119"/>
      <c r="D47" s="119">
        <v>0</v>
      </c>
      <c r="E47" s="119">
        <v>0</v>
      </c>
      <c r="F47" s="119">
        <v>0</v>
      </c>
      <c r="G47" s="119">
        <v>644290</v>
      </c>
      <c r="H47" s="119">
        <v>0</v>
      </c>
      <c r="I47" s="119">
        <v>10487</v>
      </c>
      <c r="J47" s="119">
        <v>48842</v>
      </c>
      <c r="K47" s="119">
        <v>0</v>
      </c>
      <c r="L47" s="119">
        <v>0</v>
      </c>
      <c r="M47" s="119">
        <v>0</v>
      </c>
      <c r="N47" s="119"/>
      <c r="O47" s="119">
        <v>0</v>
      </c>
      <c r="P47" s="119">
        <v>0</v>
      </c>
      <c r="Q47" s="119">
        <v>267233</v>
      </c>
      <c r="R47" s="119">
        <v>0</v>
      </c>
      <c r="S47" s="119">
        <v>253517</v>
      </c>
    </row>
    <row r="48" spans="1:19" x14ac:dyDescent="0.3">
      <c r="A48" s="97">
        <v>532</v>
      </c>
      <c r="B48" s="119" t="s">
        <v>445</v>
      </c>
      <c r="C48" s="119"/>
      <c r="D48" s="119">
        <v>566643</v>
      </c>
      <c r="E48" s="119">
        <v>340451</v>
      </c>
      <c r="F48" s="119">
        <v>9500141</v>
      </c>
      <c r="G48" s="119">
        <v>12488300</v>
      </c>
      <c r="H48" s="119">
        <v>203554</v>
      </c>
      <c r="I48" s="119">
        <v>3076894</v>
      </c>
      <c r="J48" s="119">
        <v>12528659</v>
      </c>
      <c r="K48" s="119">
        <v>8464699</v>
      </c>
      <c r="L48" s="119">
        <v>9487294</v>
      </c>
      <c r="M48" s="119">
        <v>62089</v>
      </c>
      <c r="N48" s="119"/>
      <c r="O48" s="119">
        <v>339337</v>
      </c>
      <c r="P48" s="119">
        <v>6904010</v>
      </c>
      <c r="Q48" s="119">
        <v>20206956</v>
      </c>
      <c r="R48" s="119">
        <v>185077</v>
      </c>
      <c r="S48" s="119">
        <v>7277104</v>
      </c>
    </row>
    <row r="49" spans="1:19" x14ac:dyDescent="0.3">
      <c r="A49" s="97">
        <v>533</v>
      </c>
      <c r="B49" s="119" t="s">
        <v>446</v>
      </c>
      <c r="C49" s="119"/>
      <c r="D49" s="119">
        <v>10965</v>
      </c>
      <c r="E49" s="119">
        <v>0</v>
      </c>
      <c r="F49" s="119">
        <v>0</v>
      </c>
      <c r="G49" s="119">
        <v>0</v>
      </c>
      <c r="H49" s="119">
        <v>0</v>
      </c>
      <c r="I49" s="119">
        <v>242228</v>
      </c>
      <c r="J49" s="119">
        <v>0</v>
      </c>
      <c r="K49" s="119">
        <v>0</v>
      </c>
      <c r="L49" s="119">
        <v>897723</v>
      </c>
      <c r="M49" s="119">
        <v>0</v>
      </c>
      <c r="N49" s="119"/>
      <c r="O49" s="119">
        <v>0</v>
      </c>
      <c r="P49" s="119">
        <v>0</v>
      </c>
      <c r="Q49" s="119">
        <v>274671</v>
      </c>
      <c r="R49" s="119">
        <v>178506</v>
      </c>
      <c r="S49" s="119">
        <v>491843</v>
      </c>
    </row>
    <row r="50" spans="1:19" x14ac:dyDescent="0.3">
      <c r="A50" s="97">
        <v>534</v>
      </c>
      <c r="B50" s="119" t="s">
        <v>447</v>
      </c>
      <c r="C50" s="119"/>
      <c r="D50" s="119">
        <v>0</v>
      </c>
      <c r="E50" s="119">
        <v>0</v>
      </c>
      <c r="F50" s="119">
        <v>0</v>
      </c>
      <c r="G50" s="119">
        <v>0</v>
      </c>
      <c r="H50" s="119">
        <v>0</v>
      </c>
      <c r="I50" s="119">
        <v>0</v>
      </c>
      <c r="J50" s="119">
        <v>0</v>
      </c>
      <c r="K50" s="119">
        <v>4775</v>
      </c>
      <c r="L50" s="119">
        <v>0</v>
      </c>
      <c r="M50" s="119">
        <v>2344</v>
      </c>
      <c r="N50" s="119"/>
      <c r="O50" s="119">
        <v>0</v>
      </c>
      <c r="P50" s="119">
        <v>0</v>
      </c>
      <c r="Q50" s="119">
        <v>0</v>
      </c>
      <c r="R50" s="119">
        <v>0</v>
      </c>
      <c r="S50" s="119">
        <v>0</v>
      </c>
    </row>
    <row r="51" spans="1:19" x14ac:dyDescent="0.3">
      <c r="A51" s="97">
        <v>536</v>
      </c>
      <c r="B51" s="119" t="s">
        <v>98</v>
      </c>
      <c r="C51" s="119"/>
      <c r="D51" s="119">
        <v>0</v>
      </c>
      <c r="E51" s="119">
        <v>0</v>
      </c>
      <c r="F51" s="119">
        <v>0</v>
      </c>
      <c r="G51" s="119">
        <v>663504</v>
      </c>
      <c r="H51" s="119">
        <v>0</v>
      </c>
      <c r="I51" s="119">
        <v>2000</v>
      </c>
      <c r="J51" s="119">
        <v>0</v>
      </c>
      <c r="K51" s="119">
        <v>0</v>
      </c>
      <c r="L51" s="119">
        <v>0</v>
      </c>
      <c r="M51" s="119">
        <v>0</v>
      </c>
      <c r="N51" s="119"/>
      <c r="O51" s="119">
        <v>0</v>
      </c>
      <c r="P51" s="119">
        <v>0</v>
      </c>
      <c r="Q51" s="119">
        <v>0</v>
      </c>
      <c r="R51" s="119">
        <v>0</v>
      </c>
      <c r="S51" s="119">
        <v>125828</v>
      </c>
    </row>
    <row r="52" spans="1:19" x14ac:dyDescent="0.3">
      <c r="A52" s="97">
        <v>547</v>
      </c>
      <c r="B52" s="119" t="s">
        <v>450</v>
      </c>
      <c r="C52" s="119"/>
      <c r="D52" s="119">
        <v>2</v>
      </c>
      <c r="E52" s="119">
        <v>2</v>
      </c>
      <c r="F52" s="119">
        <v>3</v>
      </c>
      <c r="G52" s="119">
        <v>3</v>
      </c>
      <c r="H52" s="119">
        <v>3</v>
      </c>
      <c r="I52" s="119">
        <v>1</v>
      </c>
      <c r="J52" s="119">
        <v>4</v>
      </c>
      <c r="K52" s="119">
        <v>2</v>
      </c>
      <c r="L52" s="119">
        <v>1</v>
      </c>
      <c r="M52" s="119">
        <v>3</v>
      </c>
      <c r="N52" s="119"/>
      <c r="O52" s="119">
        <v>2</v>
      </c>
      <c r="P52" s="119">
        <v>2</v>
      </c>
      <c r="Q52" s="119">
        <v>3</v>
      </c>
      <c r="R52" s="119">
        <v>2</v>
      </c>
      <c r="S52" s="119">
        <v>3</v>
      </c>
    </row>
    <row r="53" spans="1:19" x14ac:dyDescent="0.3">
      <c r="A53" s="97">
        <v>554</v>
      </c>
      <c r="B53" s="119" t="s">
        <v>208</v>
      </c>
      <c r="C53" s="119"/>
      <c r="D53" s="119">
        <v>3745779</v>
      </c>
      <c r="E53" s="119">
        <v>7730640</v>
      </c>
      <c r="F53" s="119">
        <v>15188981</v>
      </c>
      <c r="G53" s="119">
        <v>10119866</v>
      </c>
      <c r="H53" s="119">
        <v>3959085</v>
      </c>
      <c r="I53" s="119">
        <v>4295168</v>
      </c>
      <c r="J53" s="119">
        <v>8030301</v>
      </c>
      <c r="K53" s="119">
        <v>5595524</v>
      </c>
      <c r="L53" s="119">
        <v>5529393</v>
      </c>
      <c r="M53" s="119">
        <v>5888631</v>
      </c>
      <c r="N53" s="119"/>
      <c r="O53" s="119">
        <v>23730794</v>
      </c>
      <c r="P53" s="119">
        <v>7976349</v>
      </c>
      <c r="Q53" s="119">
        <v>9809972</v>
      </c>
      <c r="R53" s="119">
        <v>7863195</v>
      </c>
      <c r="S53" s="119">
        <v>12913086</v>
      </c>
    </row>
    <row r="54" spans="1:19" x14ac:dyDescent="0.3">
      <c r="A54" s="97">
        <v>555</v>
      </c>
      <c r="B54" s="119" t="s">
        <v>209</v>
      </c>
      <c r="C54" s="119"/>
      <c r="D54" s="119">
        <v>2751234</v>
      </c>
      <c r="E54" s="119">
        <v>6569788</v>
      </c>
      <c r="F54" s="119">
        <v>9613013</v>
      </c>
      <c r="G54" s="119">
        <v>7517511</v>
      </c>
      <c r="H54" s="119">
        <v>2867075</v>
      </c>
      <c r="I54" s="119">
        <v>2911973</v>
      </c>
      <c r="J54" s="119">
        <v>3646446</v>
      </c>
      <c r="K54" s="119">
        <v>4855465</v>
      </c>
      <c r="L54" s="119">
        <v>3974491</v>
      </c>
      <c r="M54" s="119">
        <v>5134174</v>
      </c>
      <c r="N54" s="119"/>
      <c r="O54" s="119">
        <v>10501907</v>
      </c>
      <c r="P54" s="119">
        <v>4968396</v>
      </c>
      <c r="Q54" s="119">
        <v>6978131</v>
      </c>
      <c r="R54" s="119">
        <v>6625693</v>
      </c>
      <c r="S54" s="119">
        <v>10879725</v>
      </c>
    </row>
    <row r="55" spans="1:19" x14ac:dyDescent="0.3">
      <c r="A55" s="97">
        <v>556</v>
      </c>
      <c r="B55" s="119" t="s">
        <v>210</v>
      </c>
      <c r="C55" s="119"/>
      <c r="D55" s="119">
        <v>1361178</v>
      </c>
      <c r="E55" s="119">
        <v>2562381</v>
      </c>
      <c r="F55" s="119">
        <v>6415118</v>
      </c>
      <c r="G55" s="119">
        <v>1347572</v>
      </c>
      <c r="H55" s="119">
        <v>1345609</v>
      </c>
      <c r="I55" s="119">
        <v>1517006</v>
      </c>
      <c r="J55" s="119">
        <v>2001946</v>
      </c>
      <c r="K55" s="119">
        <v>2148797</v>
      </c>
      <c r="L55" s="119">
        <v>1697677</v>
      </c>
      <c r="M55" s="119">
        <v>1660769</v>
      </c>
      <c r="N55" s="119"/>
      <c r="O55" s="119">
        <v>6697891</v>
      </c>
      <c r="P55" s="119">
        <v>1966385</v>
      </c>
      <c r="Q55" s="119">
        <v>5713651</v>
      </c>
      <c r="R55" s="119">
        <v>1987934</v>
      </c>
      <c r="S55" s="119">
        <v>1838389</v>
      </c>
    </row>
    <row r="56" spans="1:19" x14ac:dyDescent="0.3">
      <c r="A56" s="97">
        <v>557</v>
      </c>
      <c r="B56" s="119" t="s">
        <v>211</v>
      </c>
      <c r="C56" s="119"/>
      <c r="D56" s="119">
        <v>1086234</v>
      </c>
      <c r="E56" s="119">
        <v>2138602</v>
      </c>
      <c r="F56" s="119">
        <v>3946212</v>
      </c>
      <c r="G56" s="119">
        <v>1224542</v>
      </c>
      <c r="H56" s="119">
        <v>1125213</v>
      </c>
      <c r="I56" s="119">
        <v>1153922</v>
      </c>
      <c r="J56" s="119">
        <v>1667694</v>
      </c>
      <c r="K56" s="119">
        <v>1944300</v>
      </c>
      <c r="L56" s="119">
        <v>1500325</v>
      </c>
      <c r="M56" s="119">
        <v>1253598</v>
      </c>
      <c r="N56" s="119"/>
      <c r="O56" s="119">
        <v>6018402</v>
      </c>
      <c r="P56" s="119">
        <v>1330178</v>
      </c>
      <c r="Q56" s="119">
        <v>5196019</v>
      </c>
      <c r="R56" s="119">
        <v>1841669</v>
      </c>
      <c r="S56" s="119">
        <v>1353761</v>
      </c>
    </row>
    <row r="57" spans="1:19" x14ac:dyDescent="0.3">
      <c r="A57" s="97">
        <v>575</v>
      </c>
      <c r="B57" s="119" t="s">
        <v>196</v>
      </c>
      <c r="C57" s="119"/>
      <c r="D57" s="119">
        <v>0</v>
      </c>
      <c r="E57" s="119">
        <v>0</v>
      </c>
      <c r="F57" s="119">
        <v>0</v>
      </c>
      <c r="G57" s="119">
        <v>0</v>
      </c>
      <c r="H57" s="119">
        <v>0</v>
      </c>
      <c r="I57" s="119">
        <v>0</v>
      </c>
      <c r="J57" s="119">
        <v>0</v>
      </c>
      <c r="K57" s="119">
        <v>0</v>
      </c>
      <c r="L57" s="119">
        <v>0</v>
      </c>
      <c r="M57" s="119">
        <v>0</v>
      </c>
      <c r="N57" s="119"/>
      <c r="O57" s="119">
        <v>0</v>
      </c>
      <c r="P57" s="119">
        <v>0</v>
      </c>
      <c r="Q57" s="119">
        <v>0</v>
      </c>
      <c r="R57" s="119">
        <v>0</v>
      </c>
      <c r="S57" s="119">
        <v>0</v>
      </c>
    </row>
    <row r="58" spans="1:19" x14ac:dyDescent="0.3">
      <c r="A58" s="97">
        <v>576</v>
      </c>
      <c r="B58" s="119" t="s">
        <v>197</v>
      </c>
      <c r="C58" s="119"/>
      <c r="D58" s="119">
        <v>0</v>
      </c>
      <c r="E58" s="119">
        <v>0</v>
      </c>
      <c r="F58" s="119">
        <v>0</v>
      </c>
      <c r="G58" s="119">
        <v>0</v>
      </c>
      <c r="H58" s="119">
        <v>0</v>
      </c>
      <c r="I58" s="119">
        <v>0</v>
      </c>
      <c r="J58" s="119">
        <v>0</v>
      </c>
      <c r="K58" s="119">
        <v>0</v>
      </c>
      <c r="L58" s="119">
        <v>0</v>
      </c>
      <c r="M58" s="119">
        <v>0</v>
      </c>
      <c r="N58" s="119"/>
      <c r="O58" s="119">
        <v>0</v>
      </c>
      <c r="P58" s="119">
        <v>0</v>
      </c>
      <c r="Q58" s="119">
        <v>0</v>
      </c>
      <c r="R58" s="119">
        <v>0</v>
      </c>
      <c r="S58" s="119">
        <v>0</v>
      </c>
    </row>
    <row r="59" spans="1:19" x14ac:dyDescent="0.3">
      <c r="A59" s="97">
        <v>577</v>
      </c>
      <c r="B59" s="119" t="s">
        <v>463</v>
      </c>
      <c r="C59" s="119"/>
      <c r="D59" s="119">
        <v>2</v>
      </c>
      <c r="E59" s="119">
        <v>2</v>
      </c>
      <c r="F59" s="119">
        <v>2</v>
      </c>
      <c r="G59" s="119">
        <v>2</v>
      </c>
      <c r="H59" s="119">
        <v>2</v>
      </c>
      <c r="I59" s="119">
        <v>1</v>
      </c>
      <c r="J59" s="119">
        <v>2</v>
      </c>
      <c r="K59" s="119">
        <v>2</v>
      </c>
      <c r="L59" s="119">
        <v>2</v>
      </c>
      <c r="M59" s="119">
        <v>2</v>
      </c>
      <c r="N59" s="119"/>
      <c r="O59" s="119">
        <v>2</v>
      </c>
      <c r="P59" s="119">
        <v>2</v>
      </c>
      <c r="Q59" s="119">
        <v>2</v>
      </c>
      <c r="R59" s="119">
        <v>2</v>
      </c>
      <c r="S59" s="119">
        <v>2</v>
      </c>
    </row>
    <row r="60" spans="1:19" x14ac:dyDescent="0.3">
      <c r="A60" s="97">
        <v>586</v>
      </c>
      <c r="B60" s="119" t="s">
        <v>469</v>
      </c>
      <c r="C60" s="119"/>
      <c r="D60" s="119">
        <v>0</v>
      </c>
      <c r="E60" s="119">
        <v>0</v>
      </c>
      <c r="F60" s="119">
        <v>0</v>
      </c>
      <c r="G60" s="119">
        <v>0</v>
      </c>
      <c r="H60" s="119">
        <v>0</v>
      </c>
      <c r="I60" s="119">
        <v>0</v>
      </c>
      <c r="J60" s="119">
        <v>0</v>
      </c>
      <c r="K60" s="119">
        <v>0</v>
      </c>
      <c r="L60" s="119">
        <v>0</v>
      </c>
      <c r="M60" s="119">
        <v>0</v>
      </c>
      <c r="N60" s="119"/>
      <c r="O60" s="119">
        <v>0</v>
      </c>
      <c r="P60" s="119">
        <v>0</v>
      </c>
      <c r="Q60" s="119">
        <v>0</v>
      </c>
      <c r="R60" s="119">
        <v>0</v>
      </c>
      <c r="S60" s="119">
        <v>0</v>
      </c>
    </row>
    <row r="61" spans="1:19" x14ac:dyDescent="0.3">
      <c r="A61" s="97">
        <v>591</v>
      </c>
      <c r="B61" s="119" t="s">
        <v>218</v>
      </c>
      <c r="C61" s="119"/>
      <c r="D61" s="119">
        <v>0</v>
      </c>
      <c r="E61" s="119">
        <v>0</v>
      </c>
      <c r="F61" s="119">
        <v>0</v>
      </c>
      <c r="G61" s="119">
        <v>0</v>
      </c>
      <c r="H61" s="119">
        <v>0</v>
      </c>
      <c r="I61" s="119">
        <v>0</v>
      </c>
      <c r="J61" s="119">
        <v>0</v>
      </c>
      <c r="K61" s="119">
        <v>285289</v>
      </c>
      <c r="L61" s="119">
        <v>0</v>
      </c>
      <c r="M61" s="119">
        <v>338494</v>
      </c>
      <c r="N61" s="119"/>
      <c r="O61" s="119">
        <v>0</v>
      </c>
      <c r="P61" s="119">
        <v>0</v>
      </c>
      <c r="Q61" s="119">
        <v>0</v>
      </c>
      <c r="R61" s="119">
        <v>0</v>
      </c>
      <c r="S61" s="119">
        <v>0</v>
      </c>
    </row>
    <row r="62" spans="1:19" x14ac:dyDescent="0.3">
      <c r="A62" s="97">
        <v>592</v>
      </c>
      <c r="B62" s="119" t="s">
        <v>219</v>
      </c>
      <c r="C62" s="119"/>
      <c r="D62" s="119">
        <v>0</v>
      </c>
      <c r="E62" s="119">
        <v>0</v>
      </c>
      <c r="F62" s="119">
        <v>0</v>
      </c>
      <c r="G62" s="119">
        <v>0</v>
      </c>
      <c r="H62" s="119">
        <v>0</v>
      </c>
      <c r="I62" s="119">
        <v>0</v>
      </c>
      <c r="J62" s="119">
        <v>0</v>
      </c>
      <c r="K62" s="119">
        <v>-44697</v>
      </c>
      <c r="L62" s="119">
        <v>0</v>
      </c>
      <c r="M62" s="119">
        <v>-22983</v>
      </c>
      <c r="N62" s="119"/>
      <c r="O62" s="119">
        <v>0</v>
      </c>
      <c r="P62" s="119">
        <v>0</v>
      </c>
      <c r="Q62" s="119">
        <v>0</v>
      </c>
      <c r="R62" s="119">
        <v>0</v>
      </c>
      <c r="S62" s="119">
        <v>0</v>
      </c>
    </row>
    <row r="63" spans="1:19" x14ac:dyDescent="0.3">
      <c r="A63" s="97">
        <v>606</v>
      </c>
      <c r="B63" s="119" t="s">
        <v>475</v>
      </c>
      <c r="C63" s="119"/>
      <c r="D63" s="119">
        <v>1</v>
      </c>
      <c r="E63" s="119">
        <v>1</v>
      </c>
      <c r="F63" s="119">
        <v>1</v>
      </c>
      <c r="G63" s="119">
        <v>1</v>
      </c>
      <c r="H63" s="119">
        <v>1</v>
      </c>
      <c r="I63" s="119">
        <v>1</v>
      </c>
      <c r="J63" s="119">
        <v>1</v>
      </c>
      <c r="K63" s="119">
        <v>1</v>
      </c>
      <c r="L63" s="119">
        <v>1</v>
      </c>
      <c r="M63" s="119">
        <v>1</v>
      </c>
      <c r="N63" s="119"/>
      <c r="O63" s="119">
        <v>1</v>
      </c>
      <c r="P63" s="119">
        <v>1</v>
      </c>
      <c r="Q63" s="119">
        <v>1</v>
      </c>
      <c r="R63" s="119">
        <v>1</v>
      </c>
      <c r="S63" s="119">
        <v>1</v>
      </c>
    </row>
    <row r="64" spans="1:19" x14ac:dyDescent="0.3">
      <c r="A64" s="97">
        <v>622</v>
      </c>
      <c r="B64" s="119" t="s">
        <v>479</v>
      </c>
      <c r="C64" s="119"/>
      <c r="D64" s="119">
        <v>299051</v>
      </c>
      <c r="E64" s="119">
        <v>240468</v>
      </c>
      <c r="F64" s="119">
        <v>590128</v>
      </c>
      <c r="G64" s="119">
        <v>256877</v>
      </c>
      <c r="H64" s="119">
        <v>234640</v>
      </c>
      <c r="I64" s="119">
        <v>180964</v>
      </c>
      <c r="J64" s="119">
        <v>443056</v>
      </c>
      <c r="K64" s="119">
        <v>244148</v>
      </c>
      <c r="L64" s="119">
        <v>111186</v>
      </c>
      <c r="M64" s="119">
        <v>217157</v>
      </c>
      <c r="N64" s="119"/>
      <c r="O64" s="119">
        <v>889026</v>
      </c>
      <c r="P64" s="119">
        <v>188326</v>
      </c>
      <c r="Q64" s="119">
        <v>399195</v>
      </c>
      <c r="R64" s="119">
        <v>256877</v>
      </c>
      <c r="S64" s="119">
        <v>718183</v>
      </c>
    </row>
    <row r="65" spans="1:19" x14ac:dyDescent="0.3">
      <c r="A65" s="97">
        <v>626</v>
      </c>
      <c r="B65" s="119" t="s">
        <v>480</v>
      </c>
      <c r="C65" s="119"/>
      <c r="D65" s="119">
        <v>497798</v>
      </c>
      <c r="E65" s="119">
        <v>2095581</v>
      </c>
      <c r="F65" s="119">
        <v>4205840</v>
      </c>
      <c r="G65" s="119">
        <v>970136</v>
      </c>
      <c r="H65" s="119">
        <v>652033</v>
      </c>
      <c r="I65" s="119">
        <v>1061714</v>
      </c>
      <c r="J65" s="119">
        <v>3811284</v>
      </c>
      <c r="K65" s="119">
        <v>1155589</v>
      </c>
      <c r="L65" s="119">
        <v>893404</v>
      </c>
      <c r="M65" s="119">
        <v>2599758</v>
      </c>
      <c r="N65" s="119"/>
      <c r="O65" s="119">
        <v>3881649</v>
      </c>
      <c r="P65" s="119">
        <v>2457526</v>
      </c>
      <c r="Q65" s="119">
        <v>11255152</v>
      </c>
      <c r="R65" s="119">
        <v>1047107</v>
      </c>
      <c r="S65" s="119">
        <v>1915539</v>
      </c>
    </row>
    <row r="66" spans="1:19" x14ac:dyDescent="0.3">
      <c r="A66" s="97">
        <v>627</v>
      </c>
      <c r="B66" s="119" t="s">
        <v>481</v>
      </c>
      <c r="C66" s="119"/>
      <c r="D66" s="119">
        <v>0</v>
      </c>
      <c r="E66" s="119">
        <v>0</v>
      </c>
      <c r="F66" s="119">
        <v>0</v>
      </c>
      <c r="G66" s="119">
        <v>0</v>
      </c>
      <c r="H66" s="119">
        <v>0</v>
      </c>
      <c r="I66" s="119">
        <v>0</v>
      </c>
      <c r="J66" s="119">
        <v>0</v>
      </c>
      <c r="K66" s="119">
        <v>0</v>
      </c>
      <c r="L66" s="119">
        <v>0</v>
      </c>
      <c r="M66" s="119">
        <v>0</v>
      </c>
      <c r="N66" s="119"/>
      <c r="O66" s="119">
        <v>0</v>
      </c>
      <c r="P66" s="119">
        <v>0</v>
      </c>
      <c r="Q66" s="119">
        <v>0</v>
      </c>
      <c r="R66" s="119">
        <v>0</v>
      </c>
      <c r="S66" s="119">
        <v>0</v>
      </c>
    </row>
    <row r="67" spans="1:19" x14ac:dyDescent="0.3">
      <c r="A67" s="97">
        <v>628</v>
      </c>
      <c r="B67" s="119" t="s">
        <v>482</v>
      </c>
      <c r="C67" s="119"/>
      <c r="D67" s="119">
        <v>0</v>
      </c>
      <c r="E67" s="119">
        <v>0</v>
      </c>
      <c r="F67" s="119">
        <v>286913</v>
      </c>
      <c r="G67" s="119">
        <v>15300</v>
      </c>
      <c r="H67" s="119">
        <v>39191</v>
      </c>
      <c r="I67" s="119">
        <v>49209</v>
      </c>
      <c r="J67" s="119">
        <v>125322</v>
      </c>
      <c r="K67" s="119">
        <v>0</v>
      </c>
      <c r="L67" s="119">
        <v>0</v>
      </c>
      <c r="M67" s="119">
        <v>0</v>
      </c>
      <c r="N67" s="119"/>
      <c r="O67" s="119">
        <v>39704</v>
      </c>
      <c r="P67" s="119">
        <v>0</v>
      </c>
      <c r="Q67" s="119">
        <v>0</v>
      </c>
      <c r="R67" s="119">
        <v>0</v>
      </c>
      <c r="S67" s="119">
        <v>309323</v>
      </c>
    </row>
    <row r="68" spans="1:19" x14ac:dyDescent="0.3">
      <c r="A68" s="97">
        <v>629</v>
      </c>
      <c r="B68" s="119" t="s">
        <v>483</v>
      </c>
      <c r="C68" s="119"/>
      <c r="D68" s="119">
        <v>0</v>
      </c>
      <c r="E68" s="119">
        <v>0</v>
      </c>
      <c r="F68" s="119">
        <v>0</v>
      </c>
      <c r="G68" s="119">
        <v>0</v>
      </c>
      <c r="H68" s="119">
        <v>0</v>
      </c>
      <c r="I68" s="119">
        <v>0</v>
      </c>
      <c r="J68" s="119">
        <v>0</v>
      </c>
      <c r="K68" s="119">
        <v>0</v>
      </c>
      <c r="L68" s="119">
        <v>0</v>
      </c>
      <c r="M68" s="119">
        <v>0</v>
      </c>
      <c r="N68" s="119"/>
      <c r="O68" s="119">
        <v>0</v>
      </c>
      <c r="P68" s="119">
        <v>0</v>
      </c>
      <c r="Q68" s="119">
        <v>0</v>
      </c>
      <c r="R68" s="119">
        <v>0</v>
      </c>
      <c r="S68" s="119">
        <v>0</v>
      </c>
    </row>
    <row r="69" spans="1:19" x14ac:dyDescent="0.3">
      <c r="A69" s="97">
        <v>630</v>
      </c>
      <c r="B69" s="119" t="s">
        <v>484</v>
      </c>
      <c r="C69" s="119"/>
      <c r="D69" s="119">
        <v>0</v>
      </c>
      <c r="E69" s="119">
        <v>0</v>
      </c>
      <c r="F69" s="119">
        <v>0</v>
      </c>
      <c r="G69" s="119">
        <v>0</v>
      </c>
      <c r="H69" s="119">
        <v>0</v>
      </c>
      <c r="I69" s="119">
        <v>0</v>
      </c>
      <c r="J69" s="119">
        <v>0</v>
      </c>
      <c r="K69" s="119">
        <v>0</v>
      </c>
      <c r="L69" s="119">
        <v>0</v>
      </c>
      <c r="M69" s="119">
        <v>0</v>
      </c>
      <c r="N69" s="119"/>
      <c r="O69" s="119">
        <v>0</v>
      </c>
      <c r="P69" s="119">
        <v>0</v>
      </c>
      <c r="Q69" s="119">
        <v>0</v>
      </c>
      <c r="R69" s="119">
        <v>0</v>
      </c>
      <c r="S69" s="119">
        <v>0</v>
      </c>
    </row>
    <row r="70" spans="1:19" x14ac:dyDescent="0.3">
      <c r="A70" s="97">
        <v>631</v>
      </c>
      <c r="B70" s="119" t="s">
        <v>485</v>
      </c>
      <c r="C70" s="119"/>
      <c r="D70" s="119">
        <v>0</v>
      </c>
      <c r="E70" s="119">
        <v>0</v>
      </c>
      <c r="F70" s="119">
        <v>0</v>
      </c>
      <c r="G70" s="119">
        <v>0</v>
      </c>
      <c r="H70" s="119">
        <v>0</v>
      </c>
      <c r="I70" s="119">
        <v>0</v>
      </c>
      <c r="J70" s="119">
        <v>0</v>
      </c>
      <c r="K70" s="119">
        <v>0</v>
      </c>
      <c r="L70" s="119">
        <v>0</v>
      </c>
      <c r="M70" s="119">
        <v>0</v>
      </c>
      <c r="N70" s="119"/>
      <c r="O70" s="119">
        <v>0</v>
      </c>
      <c r="P70" s="119">
        <v>0</v>
      </c>
      <c r="Q70" s="119">
        <v>0</v>
      </c>
      <c r="R70" s="119">
        <v>0</v>
      </c>
      <c r="S70" s="119">
        <v>0</v>
      </c>
    </row>
    <row r="71" spans="1:19" x14ac:dyDescent="0.3">
      <c r="A71" s="97">
        <v>632</v>
      </c>
      <c r="B71" s="119" t="s">
        <v>486</v>
      </c>
      <c r="C71" s="119"/>
      <c r="D71" s="119">
        <v>0</v>
      </c>
      <c r="E71" s="119">
        <v>0</v>
      </c>
      <c r="F71" s="119">
        <v>0</v>
      </c>
      <c r="G71" s="119">
        <v>0</v>
      </c>
      <c r="H71" s="119">
        <v>0</v>
      </c>
      <c r="I71" s="119">
        <v>0</v>
      </c>
      <c r="J71" s="119">
        <v>0</v>
      </c>
      <c r="K71" s="119">
        <v>0</v>
      </c>
      <c r="L71" s="119">
        <v>0</v>
      </c>
      <c r="M71" s="119">
        <v>0</v>
      </c>
      <c r="N71" s="119"/>
      <c r="O71" s="119">
        <v>0</v>
      </c>
      <c r="P71" s="119">
        <v>0</v>
      </c>
      <c r="Q71" s="119">
        <v>0</v>
      </c>
      <c r="R71" s="119">
        <v>0</v>
      </c>
      <c r="S71" s="119">
        <v>0</v>
      </c>
    </row>
    <row r="72" spans="1:19" x14ac:dyDescent="0.3">
      <c r="A72" s="97">
        <v>645</v>
      </c>
      <c r="B72" s="119" t="s">
        <v>254</v>
      </c>
      <c r="C72" s="119"/>
      <c r="D72" s="119">
        <v>59457</v>
      </c>
      <c r="E72" s="119">
        <v>0</v>
      </c>
      <c r="F72" s="119">
        <v>0</v>
      </c>
      <c r="G72" s="119">
        <v>127000</v>
      </c>
      <c r="H72" s="119">
        <v>75000</v>
      </c>
      <c r="I72" s="119">
        <v>0</v>
      </c>
      <c r="J72" s="119">
        <v>21182</v>
      </c>
      <c r="K72" s="119">
        <v>0</v>
      </c>
      <c r="L72" s="119">
        <v>0</v>
      </c>
      <c r="M72" s="119">
        <v>0</v>
      </c>
      <c r="N72" s="119"/>
      <c r="O72" s="119">
        <v>0</v>
      </c>
      <c r="P72" s="119">
        <v>0</v>
      </c>
      <c r="Q72" s="119">
        <v>813656</v>
      </c>
      <c r="R72" s="119">
        <v>0</v>
      </c>
      <c r="S72" s="119">
        <v>37613</v>
      </c>
    </row>
    <row r="73" spans="1:19" x14ac:dyDescent="0.3">
      <c r="A73" s="97">
        <v>646</v>
      </c>
      <c r="B73" s="119" t="s">
        <v>239</v>
      </c>
      <c r="C73" s="119"/>
      <c r="D73" s="119">
        <v>937214</v>
      </c>
      <c r="E73" s="119">
        <v>689186</v>
      </c>
      <c r="F73" s="119">
        <v>523138</v>
      </c>
      <c r="G73" s="119">
        <v>-431721</v>
      </c>
      <c r="H73" s="119">
        <v>1300138</v>
      </c>
      <c r="I73" s="119">
        <v>54080</v>
      </c>
      <c r="J73" s="119">
        <v>2093105</v>
      </c>
      <c r="K73" s="119">
        <v>-847059</v>
      </c>
      <c r="L73" s="119">
        <v>-506259</v>
      </c>
      <c r="M73" s="119">
        <v>-1053</v>
      </c>
      <c r="N73" s="119"/>
      <c r="O73" s="119">
        <v>2799654</v>
      </c>
      <c r="P73" s="119">
        <v>-634267</v>
      </c>
      <c r="Q73" s="119">
        <v>-1877965</v>
      </c>
      <c r="R73" s="119">
        <v>329415</v>
      </c>
      <c r="S73" s="119">
        <v>704634</v>
      </c>
    </row>
    <row r="74" spans="1:19" x14ac:dyDescent="0.3">
      <c r="A74" s="97">
        <v>647</v>
      </c>
      <c r="B74" s="119" t="s">
        <v>487</v>
      </c>
      <c r="C74" s="119"/>
      <c r="D74" s="119">
        <v>0</v>
      </c>
      <c r="E74" s="119">
        <v>0</v>
      </c>
      <c r="F74" s="119">
        <v>0</v>
      </c>
      <c r="G74" s="119">
        <v>0</v>
      </c>
      <c r="H74" s="119">
        <v>0</v>
      </c>
      <c r="I74" s="119">
        <v>0</v>
      </c>
      <c r="J74" s="119">
        <v>0</v>
      </c>
      <c r="K74" s="119">
        <v>0</v>
      </c>
      <c r="L74" s="119">
        <v>0</v>
      </c>
      <c r="M74" s="119">
        <v>0</v>
      </c>
      <c r="N74" s="119"/>
      <c r="O74" s="119">
        <v>0</v>
      </c>
      <c r="P74" s="119">
        <v>0</v>
      </c>
      <c r="Q74" s="119">
        <v>0</v>
      </c>
      <c r="R74" s="119">
        <v>0</v>
      </c>
      <c r="S74" s="119">
        <v>0</v>
      </c>
    </row>
    <row r="75" spans="1:19" x14ac:dyDescent="0.3">
      <c r="A75" s="97">
        <v>659</v>
      </c>
      <c r="B75" s="119" t="s">
        <v>491</v>
      </c>
      <c r="C75" s="119"/>
      <c r="D75" s="119">
        <v>0</v>
      </c>
      <c r="E75" s="119">
        <v>0</v>
      </c>
      <c r="F75" s="119">
        <v>282938</v>
      </c>
      <c r="G75" s="119">
        <v>476368</v>
      </c>
      <c r="H75" s="119">
        <v>286008</v>
      </c>
      <c r="I75" s="119">
        <v>1419894</v>
      </c>
      <c r="J75" s="119">
        <v>0</v>
      </c>
      <c r="K75" s="119">
        <v>0</v>
      </c>
      <c r="L75" s="119">
        <v>0</v>
      </c>
      <c r="M75" s="119">
        <v>367937</v>
      </c>
      <c r="N75" s="119"/>
      <c r="O75" s="119">
        <v>0</v>
      </c>
      <c r="P75" s="119">
        <v>0</v>
      </c>
      <c r="Q75" s="119">
        <v>2417942</v>
      </c>
      <c r="R75" s="119">
        <v>0</v>
      </c>
      <c r="S75" s="119">
        <v>187644</v>
      </c>
    </row>
    <row r="76" spans="1:19" x14ac:dyDescent="0.3">
      <c r="A76" s="97">
        <v>660</v>
      </c>
      <c r="B76" s="119" t="s">
        <v>492</v>
      </c>
      <c r="C76" s="119"/>
      <c r="D76" s="119">
        <v>0</v>
      </c>
      <c r="E76" s="119">
        <v>0</v>
      </c>
      <c r="F76" s="119">
        <v>0</v>
      </c>
      <c r="G76" s="119">
        <v>622817</v>
      </c>
      <c r="H76" s="119">
        <v>0</v>
      </c>
      <c r="I76" s="119">
        <v>10487</v>
      </c>
      <c r="J76" s="119">
        <v>0</v>
      </c>
      <c r="K76" s="119">
        <v>0</v>
      </c>
      <c r="L76" s="119">
        <v>0</v>
      </c>
      <c r="M76" s="119">
        <v>0</v>
      </c>
      <c r="N76" s="119"/>
      <c r="O76" s="119">
        <v>0</v>
      </c>
      <c r="P76" s="119">
        <v>0</v>
      </c>
      <c r="Q76" s="119">
        <v>267233</v>
      </c>
      <c r="R76" s="119">
        <v>0</v>
      </c>
      <c r="S76" s="119">
        <v>173181</v>
      </c>
    </row>
    <row r="77" spans="1:19" x14ac:dyDescent="0.3">
      <c r="A77" s="97">
        <v>661</v>
      </c>
      <c r="B77" s="119" t="s">
        <v>274</v>
      </c>
      <c r="C77" s="119"/>
      <c r="D77" s="119">
        <v>0</v>
      </c>
      <c r="E77" s="119">
        <v>0</v>
      </c>
      <c r="F77" s="119">
        <v>0</v>
      </c>
      <c r="G77" s="119">
        <v>130.69999999999999</v>
      </c>
      <c r="H77" s="119">
        <v>0</v>
      </c>
      <c r="I77" s="119">
        <v>0.7</v>
      </c>
      <c r="J77" s="119">
        <v>0</v>
      </c>
      <c r="K77" s="119">
        <v>0</v>
      </c>
      <c r="L77" s="119">
        <v>0</v>
      </c>
      <c r="M77" s="119">
        <v>0</v>
      </c>
      <c r="N77" s="119"/>
      <c r="O77" s="119">
        <v>0</v>
      </c>
      <c r="P77" s="119">
        <v>0</v>
      </c>
      <c r="Q77" s="119">
        <v>11.1</v>
      </c>
      <c r="R77" s="119">
        <v>0</v>
      </c>
      <c r="S77" s="119">
        <v>92.3</v>
      </c>
    </row>
    <row r="78" spans="1:19" x14ac:dyDescent="0.3">
      <c r="A78" s="97">
        <v>662</v>
      </c>
      <c r="B78" s="119" t="s">
        <v>290</v>
      </c>
      <c r="C78" s="119"/>
      <c r="D78" s="119">
        <v>0</v>
      </c>
      <c r="E78" s="119">
        <v>0</v>
      </c>
      <c r="F78" s="119">
        <v>0</v>
      </c>
      <c r="G78" s="119">
        <v>0</v>
      </c>
      <c r="H78" s="119">
        <v>0</v>
      </c>
      <c r="I78" s="119">
        <v>0</v>
      </c>
      <c r="J78" s="119">
        <v>0</v>
      </c>
      <c r="K78" s="119">
        <v>0</v>
      </c>
      <c r="L78" s="119">
        <v>0</v>
      </c>
      <c r="M78" s="119">
        <v>0</v>
      </c>
      <c r="N78" s="119"/>
      <c r="O78" s="119">
        <v>0</v>
      </c>
      <c r="P78" s="119">
        <v>0</v>
      </c>
      <c r="Q78" s="119">
        <v>0</v>
      </c>
      <c r="R78" s="119">
        <v>0</v>
      </c>
      <c r="S78" s="119">
        <v>0</v>
      </c>
    </row>
    <row r="79" spans="1:19" x14ac:dyDescent="0.3">
      <c r="A79" s="97">
        <v>663</v>
      </c>
      <c r="B79" s="119" t="s">
        <v>493</v>
      </c>
      <c r="C79" s="119"/>
      <c r="D79" s="119">
        <v>286926</v>
      </c>
      <c r="E79" s="119">
        <v>703661</v>
      </c>
      <c r="F79" s="119">
        <v>1664736</v>
      </c>
      <c r="G79" s="119">
        <v>124042</v>
      </c>
      <c r="H79" s="119">
        <v>418036</v>
      </c>
      <c r="I79" s="119">
        <v>802982</v>
      </c>
      <c r="J79" s="119">
        <v>450189</v>
      </c>
      <c r="K79" s="119">
        <v>51298</v>
      </c>
      <c r="L79" s="119">
        <v>18060</v>
      </c>
      <c r="M79" s="119">
        <v>1187536</v>
      </c>
      <c r="N79" s="119"/>
      <c r="O79" s="119">
        <v>1927195</v>
      </c>
      <c r="P79" s="119">
        <v>1577265</v>
      </c>
      <c r="Q79" s="119">
        <v>1626709</v>
      </c>
      <c r="R79" s="119">
        <v>676802</v>
      </c>
      <c r="S79" s="119">
        <v>701367</v>
      </c>
    </row>
    <row r="80" spans="1:19" x14ac:dyDescent="0.3">
      <c r="A80" s="97">
        <v>906</v>
      </c>
      <c r="B80" s="119" t="s">
        <v>494</v>
      </c>
      <c r="C80" s="119"/>
      <c r="D80" s="119">
        <v>1</v>
      </c>
      <c r="E80" s="119">
        <v>1</v>
      </c>
      <c r="F80" s="119">
        <v>1</v>
      </c>
      <c r="G80" s="119">
        <v>1</v>
      </c>
      <c r="H80" s="119">
        <v>1</v>
      </c>
      <c r="I80" s="119">
        <v>2</v>
      </c>
      <c r="J80" s="119">
        <v>1</v>
      </c>
      <c r="K80" s="119">
        <v>1</v>
      </c>
      <c r="L80" s="119">
        <v>1</v>
      </c>
      <c r="M80" s="119">
        <v>1</v>
      </c>
      <c r="N80" s="119"/>
      <c r="O80" s="119">
        <v>1</v>
      </c>
      <c r="P80" s="119">
        <v>1</v>
      </c>
      <c r="Q80" s="119">
        <v>1</v>
      </c>
      <c r="R80" s="119">
        <v>1</v>
      </c>
      <c r="S80" s="119">
        <v>1</v>
      </c>
    </row>
    <row r="81" spans="1:19" x14ac:dyDescent="0.3">
      <c r="A81" s="375">
        <v>907</v>
      </c>
      <c r="B81" s="376" t="s">
        <v>495</v>
      </c>
      <c r="C81" s="376"/>
      <c r="D81" s="376">
        <v>2</v>
      </c>
      <c r="E81" s="376">
        <v>2</v>
      </c>
      <c r="F81" s="376">
        <v>2</v>
      </c>
      <c r="G81" s="376">
        <v>2</v>
      </c>
      <c r="H81" s="376">
        <v>2</v>
      </c>
      <c r="I81" s="376">
        <v>2</v>
      </c>
      <c r="J81" s="376">
        <v>2</v>
      </c>
      <c r="K81" s="376">
        <v>2</v>
      </c>
      <c r="L81" s="376">
        <v>2</v>
      </c>
      <c r="M81" s="376">
        <v>2</v>
      </c>
      <c r="N81" s="376"/>
      <c r="O81" s="376">
        <v>2</v>
      </c>
      <c r="P81" s="376">
        <v>2</v>
      </c>
      <c r="Q81" s="376">
        <v>2</v>
      </c>
      <c r="R81" s="376">
        <v>2</v>
      </c>
      <c r="S81" s="376">
        <v>2</v>
      </c>
    </row>
    <row r="82" spans="1:19" x14ac:dyDescent="0.3">
      <c r="A82" s="97">
        <v>947</v>
      </c>
      <c r="B82" s="119" t="s">
        <v>496</v>
      </c>
      <c r="C82" s="119"/>
      <c r="D82" s="119" t="s">
        <v>825</v>
      </c>
      <c r="E82" s="119" t="s">
        <v>617</v>
      </c>
      <c r="F82" s="119" t="s">
        <v>618</v>
      </c>
      <c r="G82" s="119">
        <v>0</v>
      </c>
      <c r="H82" s="119" t="s">
        <v>619</v>
      </c>
      <c r="I82" s="119">
        <v>0</v>
      </c>
      <c r="J82" s="119" t="s">
        <v>826</v>
      </c>
      <c r="K82" s="119" t="s">
        <v>621</v>
      </c>
      <c r="L82" s="119" t="s">
        <v>622</v>
      </c>
      <c r="M82" s="119" t="s">
        <v>827</v>
      </c>
      <c r="N82" s="119"/>
      <c r="O82" s="119" t="s">
        <v>623</v>
      </c>
      <c r="P82" s="119" t="s">
        <v>624</v>
      </c>
      <c r="Q82" s="119" t="s">
        <v>828</v>
      </c>
      <c r="R82" s="119" t="s">
        <v>626</v>
      </c>
      <c r="S82" s="119">
        <v>0</v>
      </c>
    </row>
    <row r="83" spans="1:19" x14ac:dyDescent="0.3">
      <c r="A83" s="379">
        <v>948</v>
      </c>
      <c r="B83" s="380" t="s">
        <v>497</v>
      </c>
      <c r="C83" s="380"/>
      <c r="D83" s="380" t="s">
        <v>829</v>
      </c>
      <c r="E83" s="380" t="s">
        <v>629</v>
      </c>
      <c r="F83" s="380" t="s">
        <v>630</v>
      </c>
      <c r="G83" s="380" t="s">
        <v>633</v>
      </c>
      <c r="H83" s="380" t="s">
        <v>631</v>
      </c>
      <c r="I83" s="380" t="s">
        <v>632</v>
      </c>
      <c r="J83" s="380" t="s">
        <v>830</v>
      </c>
      <c r="K83" s="380" t="s">
        <v>634</v>
      </c>
      <c r="L83" s="380" t="s">
        <v>635</v>
      </c>
      <c r="M83" s="380" t="s">
        <v>831</v>
      </c>
      <c r="N83" s="380"/>
      <c r="O83" s="380" t="s">
        <v>637</v>
      </c>
      <c r="P83" s="380" t="s">
        <v>638</v>
      </c>
      <c r="Q83" s="380" t="s">
        <v>832</v>
      </c>
      <c r="R83" s="380" t="s">
        <v>640</v>
      </c>
      <c r="S83" s="380" t="s">
        <v>576</v>
      </c>
    </row>
    <row r="84" spans="1:19" x14ac:dyDescent="0.3">
      <c r="A84" s="97">
        <v>949</v>
      </c>
      <c r="B84" s="119" t="s">
        <v>498</v>
      </c>
      <c r="C84" s="119"/>
      <c r="D84" s="119" t="s">
        <v>268</v>
      </c>
      <c r="E84" s="119" t="s">
        <v>268</v>
      </c>
      <c r="F84" s="119" t="s">
        <v>268</v>
      </c>
      <c r="G84" s="119" t="s">
        <v>268</v>
      </c>
      <c r="H84" s="119" t="s">
        <v>268</v>
      </c>
      <c r="I84" s="119" t="s">
        <v>268</v>
      </c>
      <c r="J84" s="119" t="s">
        <v>268</v>
      </c>
      <c r="K84" s="119" t="s">
        <v>268</v>
      </c>
      <c r="L84" s="119" t="s">
        <v>268</v>
      </c>
      <c r="M84" s="119" t="s">
        <v>268</v>
      </c>
      <c r="N84" s="119"/>
      <c r="O84" s="119" t="s">
        <v>268</v>
      </c>
      <c r="P84" s="119" t="s">
        <v>268</v>
      </c>
      <c r="Q84" s="119" t="s">
        <v>268</v>
      </c>
      <c r="R84" s="119" t="s">
        <v>268</v>
      </c>
      <c r="S84" s="119" t="s">
        <v>268</v>
      </c>
    </row>
    <row r="85" spans="1:19" x14ac:dyDescent="0.3">
      <c r="A85" s="97">
        <v>950</v>
      </c>
      <c r="B85" s="119" t="s">
        <v>499</v>
      </c>
      <c r="C85" s="119"/>
      <c r="D85" s="119" t="s">
        <v>17</v>
      </c>
      <c r="E85" s="119" t="s">
        <v>17</v>
      </c>
      <c r="F85" s="119" t="s">
        <v>17</v>
      </c>
      <c r="G85" s="119" t="s">
        <v>17</v>
      </c>
      <c r="H85" s="119" t="s">
        <v>17</v>
      </c>
      <c r="I85" s="119" t="s">
        <v>17</v>
      </c>
      <c r="J85" s="119" t="s">
        <v>17</v>
      </c>
      <c r="K85" s="119" t="s">
        <v>17</v>
      </c>
      <c r="L85" s="119" t="s">
        <v>833</v>
      </c>
      <c r="M85" s="119" t="s">
        <v>17</v>
      </c>
      <c r="N85" s="119"/>
      <c r="O85" s="119" t="s">
        <v>17</v>
      </c>
      <c r="P85" s="119" t="s">
        <v>17</v>
      </c>
      <c r="Q85" s="119" t="s">
        <v>17</v>
      </c>
      <c r="R85" s="119" t="s">
        <v>17</v>
      </c>
      <c r="S85" s="119" t="s">
        <v>17</v>
      </c>
    </row>
    <row r="86" spans="1:19" x14ac:dyDescent="0.3">
      <c r="A86" s="97">
        <v>951</v>
      </c>
      <c r="B86" s="119" t="s">
        <v>500</v>
      </c>
      <c r="C86" s="119"/>
      <c r="D86" s="119">
        <v>2</v>
      </c>
      <c r="E86" s="119">
        <v>2</v>
      </c>
      <c r="F86" s="119">
        <v>2</v>
      </c>
      <c r="G86" s="119">
        <v>2</v>
      </c>
      <c r="H86" s="119">
        <v>2</v>
      </c>
      <c r="I86" s="119">
        <v>2</v>
      </c>
      <c r="J86" s="119">
        <v>2</v>
      </c>
      <c r="K86" s="119">
        <v>2</v>
      </c>
      <c r="L86" s="119">
        <v>2</v>
      </c>
      <c r="M86" s="119">
        <v>2</v>
      </c>
      <c r="N86" s="119"/>
      <c r="O86" s="119">
        <v>2</v>
      </c>
      <c r="P86" s="119">
        <v>2</v>
      </c>
      <c r="Q86" s="119">
        <v>2</v>
      </c>
      <c r="R86" s="119">
        <v>2</v>
      </c>
      <c r="S86" s="119">
        <v>2</v>
      </c>
    </row>
    <row r="87" spans="1:19" x14ac:dyDescent="0.3">
      <c r="A87" s="97">
        <v>952</v>
      </c>
      <c r="B87" s="119" t="s">
        <v>501</v>
      </c>
      <c r="C87" s="119"/>
      <c r="D87" s="119" t="s">
        <v>834</v>
      </c>
      <c r="E87" s="119" t="s">
        <v>642</v>
      </c>
      <c r="F87" s="119" t="s">
        <v>643</v>
      </c>
      <c r="G87" s="119"/>
      <c r="H87" s="119" t="s">
        <v>644</v>
      </c>
      <c r="I87" s="119"/>
      <c r="J87" s="119"/>
      <c r="K87" s="119" t="s">
        <v>646</v>
      </c>
      <c r="L87" s="119" t="s">
        <v>647</v>
      </c>
      <c r="M87" s="119" t="s">
        <v>835</v>
      </c>
      <c r="N87" s="119"/>
      <c r="O87" s="119" t="s">
        <v>502</v>
      </c>
      <c r="P87" s="119" t="s">
        <v>502</v>
      </c>
      <c r="Q87" s="119" t="s">
        <v>836</v>
      </c>
      <c r="R87" s="119" t="s">
        <v>649</v>
      </c>
      <c r="S87" s="119" t="s">
        <v>837</v>
      </c>
    </row>
    <row r="88" spans="1:19" x14ac:dyDescent="0.3">
      <c r="A88" s="97">
        <v>953</v>
      </c>
      <c r="B88" s="119" t="s">
        <v>503</v>
      </c>
      <c r="C88" s="119"/>
      <c r="D88" s="119">
        <v>2</v>
      </c>
      <c r="E88" s="119">
        <v>2</v>
      </c>
      <c r="F88" s="119">
        <v>2</v>
      </c>
      <c r="G88" s="119">
        <v>2</v>
      </c>
      <c r="H88" s="119">
        <v>2</v>
      </c>
      <c r="I88" s="119">
        <v>2</v>
      </c>
      <c r="J88" s="119">
        <v>2</v>
      </c>
      <c r="K88" s="119">
        <v>2</v>
      </c>
      <c r="L88" s="119">
        <v>2</v>
      </c>
      <c r="M88" s="119">
        <v>2</v>
      </c>
      <c r="N88" s="119"/>
      <c r="O88" s="119">
        <v>2</v>
      </c>
      <c r="P88" s="119">
        <v>2</v>
      </c>
      <c r="Q88" s="119">
        <v>2</v>
      </c>
      <c r="R88" s="119">
        <v>2</v>
      </c>
      <c r="S88" s="119">
        <v>2</v>
      </c>
    </row>
    <row r="89" spans="1:19" x14ac:dyDescent="0.3">
      <c r="A89" s="97">
        <v>954</v>
      </c>
      <c r="B89" s="119" t="s">
        <v>266</v>
      </c>
      <c r="C89" s="119"/>
      <c r="D89" s="119" t="s">
        <v>17</v>
      </c>
      <c r="E89" s="119" t="s">
        <v>17</v>
      </c>
      <c r="F89" s="119" t="s">
        <v>17</v>
      </c>
      <c r="G89" s="119" t="s">
        <v>17</v>
      </c>
      <c r="H89" s="119" t="s">
        <v>17</v>
      </c>
      <c r="I89" s="119" t="s">
        <v>17</v>
      </c>
      <c r="J89" s="119" t="s">
        <v>17</v>
      </c>
      <c r="K89" s="119" t="s">
        <v>17</v>
      </c>
      <c r="L89" s="119" t="s">
        <v>17</v>
      </c>
      <c r="M89" s="119" t="s">
        <v>17</v>
      </c>
      <c r="N89" s="119"/>
      <c r="O89" s="119" t="s">
        <v>17</v>
      </c>
      <c r="P89" s="119" t="s">
        <v>17</v>
      </c>
      <c r="Q89" s="119" t="s">
        <v>17</v>
      </c>
      <c r="R89" s="119" t="s">
        <v>17</v>
      </c>
      <c r="S89" s="119" t="s">
        <v>17</v>
      </c>
    </row>
    <row r="90" spans="1:19" x14ac:dyDescent="0.3">
      <c r="A90" s="97">
        <v>955</v>
      </c>
      <c r="B90" s="119" t="s">
        <v>504</v>
      </c>
      <c r="C90" s="119"/>
      <c r="D90" s="119">
        <v>0</v>
      </c>
      <c r="E90" s="119">
        <v>0</v>
      </c>
      <c r="F90" s="119">
        <v>0</v>
      </c>
      <c r="G90" s="119">
        <v>2</v>
      </c>
      <c r="H90" s="119">
        <v>0</v>
      </c>
      <c r="I90" s="119">
        <v>0</v>
      </c>
      <c r="J90" s="119">
        <v>0</v>
      </c>
      <c r="K90" s="119">
        <v>0</v>
      </c>
      <c r="L90" s="119">
        <v>0</v>
      </c>
      <c r="M90" s="119">
        <v>0</v>
      </c>
      <c r="N90" s="119"/>
      <c r="O90" s="119">
        <v>0</v>
      </c>
      <c r="P90" s="119">
        <v>0</v>
      </c>
      <c r="Q90" s="119">
        <v>0</v>
      </c>
      <c r="R90" s="119">
        <v>1</v>
      </c>
      <c r="S90" s="119">
        <v>1</v>
      </c>
    </row>
    <row r="91" spans="1:19" x14ac:dyDescent="0.3">
      <c r="A91" s="97">
        <v>956</v>
      </c>
      <c r="B91" s="119" t="s">
        <v>267</v>
      </c>
      <c r="C91" s="119"/>
      <c r="D91" s="119" t="s">
        <v>17</v>
      </c>
      <c r="E91" s="119" t="s">
        <v>17</v>
      </c>
      <c r="F91" s="119" t="s">
        <v>17</v>
      </c>
      <c r="G91" s="119" t="s">
        <v>17</v>
      </c>
      <c r="H91" s="119" t="s">
        <v>17</v>
      </c>
      <c r="I91" s="119" t="s">
        <v>17</v>
      </c>
      <c r="J91" s="119" t="s">
        <v>17</v>
      </c>
      <c r="K91" s="119" t="s">
        <v>17</v>
      </c>
      <c r="L91" s="119" t="s">
        <v>17</v>
      </c>
      <c r="M91" s="119" t="s">
        <v>17</v>
      </c>
      <c r="N91" s="119"/>
      <c r="O91" s="119" t="s">
        <v>17</v>
      </c>
      <c r="P91" s="119" t="s">
        <v>17</v>
      </c>
      <c r="Q91" s="119" t="s">
        <v>17</v>
      </c>
      <c r="R91" s="119" t="s">
        <v>17</v>
      </c>
      <c r="S91" s="119" t="s">
        <v>17</v>
      </c>
    </row>
    <row r="92" spans="1:19" x14ac:dyDescent="0.3">
      <c r="A92" s="97">
        <v>957</v>
      </c>
      <c r="B92" s="119" t="s">
        <v>505</v>
      </c>
      <c r="C92" s="119"/>
      <c r="D92" s="119">
        <v>0</v>
      </c>
      <c r="E92" s="119">
        <v>0</v>
      </c>
      <c r="F92" s="119">
        <v>0</v>
      </c>
      <c r="G92" s="119">
        <v>1</v>
      </c>
      <c r="H92" s="119">
        <v>0</v>
      </c>
      <c r="I92" s="119">
        <v>0</v>
      </c>
      <c r="J92" s="119">
        <v>0</v>
      </c>
      <c r="K92" s="119">
        <v>0</v>
      </c>
      <c r="L92" s="119">
        <v>1</v>
      </c>
      <c r="M92" s="119">
        <v>0</v>
      </c>
      <c r="N92" s="119"/>
      <c r="O92" s="119">
        <v>0</v>
      </c>
      <c r="P92" s="119">
        <v>0</v>
      </c>
      <c r="Q92" s="119">
        <v>0</v>
      </c>
      <c r="R92" s="119">
        <v>0</v>
      </c>
      <c r="S92" s="119">
        <v>0</v>
      </c>
    </row>
    <row r="93" spans="1:19" x14ac:dyDescent="0.3">
      <c r="A93" s="97">
        <v>958</v>
      </c>
      <c r="B93" s="119" t="s">
        <v>506</v>
      </c>
      <c r="C93" s="119"/>
      <c r="D93" s="119" t="s">
        <v>17</v>
      </c>
      <c r="E93" s="119" t="s">
        <v>17</v>
      </c>
      <c r="F93" s="119" t="s">
        <v>17</v>
      </c>
      <c r="G93" s="119" t="s">
        <v>17</v>
      </c>
      <c r="H93" s="119" t="s">
        <v>17</v>
      </c>
      <c r="I93" s="119" t="s">
        <v>17</v>
      </c>
      <c r="J93" s="119" t="s">
        <v>17</v>
      </c>
      <c r="K93" s="119" t="s">
        <v>17</v>
      </c>
      <c r="L93" s="119" t="s">
        <v>17</v>
      </c>
      <c r="M93" s="119" t="s">
        <v>17</v>
      </c>
      <c r="N93" s="119"/>
      <c r="O93" s="119" t="s">
        <v>17</v>
      </c>
      <c r="P93" s="119" t="s">
        <v>17</v>
      </c>
      <c r="Q93" s="119" t="s">
        <v>17</v>
      </c>
      <c r="R93" s="119" t="s">
        <v>17</v>
      </c>
      <c r="S93" s="119" t="s">
        <v>17</v>
      </c>
    </row>
    <row r="94" spans="1:19" x14ac:dyDescent="0.3">
      <c r="A94" s="97">
        <v>959</v>
      </c>
      <c r="B94" s="119" t="s">
        <v>507</v>
      </c>
      <c r="C94" s="119"/>
      <c r="D94" s="119">
        <v>3</v>
      </c>
      <c r="E94" s="119">
        <v>3</v>
      </c>
      <c r="F94" s="119">
        <v>3</v>
      </c>
      <c r="G94" s="119">
        <v>3</v>
      </c>
      <c r="H94" s="119">
        <v>2</v>
      </c>
      <c r="I94" s="119">
        <v>2</v>
      </c>
      <c r="J94" s="119">
        <v>3</v>
      </c>
      <c r="K94" s="119">
        <v>2</v>
      </c>
      <c r="L94" s="119">
        <v>2</v>
      </c>
      <c r="M94" s="119">
        <v>2</v>
      </c>
      <c r="N94" s="119"/>
      <c r="O94" s="119">
        <v>2</v>
      </c>
      <c r="P94" s="119">
        <v>3</v>
      </c>
      <c r="Q94" s="119">
        <v>3</v>
      </c>
      <c r="R94" s="119">
        <v>3</v>
      </c>
      <c r="S94" s="119">
        <v>2</v>
      </c>
    </row>
    <row r="95" spans="1:19" x14ac:dyDescent="0.3">
      <c r="A95" s="97">
        <v>960</v>
      </c>
      <c r="B95" s="119" t="s">
        <v>508</v>
      </c>
      <c r="C95" s="119"/>
      <c r="D95" s="119" t="s">
        <v>838</v>
      </c>
      <c r="E95" s="119" t="s">
        <v>651</v>
      </c>
      <c r="F95" s="119" t="s">
        <v>652</v>
      </c>
      <c r="G95" s="119" t="s">
        <v>839</v>
      </c>
      <c r="H95" s="119" t="s">
        <v>653</v>
      </c>
      <c r="I95" s="119" t="s">
        <v>654</v>
      </c>
      <c r="J95" s="119" t="s">
        <v>840</v>
      </c>
      <c r="K95" s="119" t="s">
        <v>656</v>
      </c>
      <c r="L95" s="119" t="s">
        <v>657</v>
      </c>
      <c r="M95" s="119" t="s">
        <v>841</v>
      </c>
      <c r="N95" s="119"/>
      <c r="O95" s="119" t="s">
        <v>717</v>
      </c>
      <c r="P95" s="119" t="s">
        <v>624</v>
      </c>
      <c r="Q95" s="119" t="s">
        <v>842</v>
      </c>
      <c r="R95" s="119" t="s">
        <v>662</v>
      </c>
      <c r="S95" s="119" t="s">
        <v>663</v>
      </c>
    </row>
    <row r="96" spans="1:19" x14ac:dyDescent="0.3">
      <c r="A96" s="97">
        <v>962</v>
      </c>
      <c r="B96" s="119" t="s">
        <v>509</v>
      </c>
      <c r="C96" s="119"/>
      <c r="D96" s="119" t="s">
        <v>511</v>
      </c>
      <c r="E96" s="119" t="s">
        <v>510</v>
      </c>
      <c r="F96" s="119" t="s">
        <v>510</v>
      </c>
      <c r="G96" s="119" t="s">
        <v>511</v>
      </c>
      <c r="H96" s="119" t="s">
        <v>511</v>
      </c>
      <c r="I96" s="119" t="s">
        <v>665</v>
      </c>
      <c r="J96" s="119" t="s">
        <v>510</v>
      </c>
      <c r="K96" s="119" t="s">
        <v>511</v>
      </c>
      <c r="L96" s="119" t="s">
        <v>511</v>
      </c>
      <c r="M96" s="119" t="s">
        <v>510</v>
      </c>
      <c r="N96" s="119"/>
      <c r="O96" s="119" t="s">
        <v>510</v>
      </c>
      <c r="P96" s="119" t="s">
        <v>638</v>
      </c>
      <c r="Q96" s="119" t="s">
        <v>843</v>
      </c>
      <c r="R96" s="119" t="s">
        <v>510</v>
      </c>
      <c r="S96" s="119" t="s">
        <v>510</v>
      </c>
    </row>
    <row r="97" spans="1:19" x14ac:dyDescent="0.3">
      <c r="A97" s="97">
        <v>964</v>
      </c>
      <c r="B97" s="119" t="s">
        <v>512</v>
      </c>
      <c r="C97" s="119"/>
      <c r="D97" s="119" t="s">
        <v>844</v>
      </c>
      <c r="E97" s="119" t="s">
        <v>845</v>
      </c>
      <c r="F97" s="119" t="s">
        <v>846</v>
      </c>
      <c r="G97" s="119" t="s">
        <v>847</v>
      </c>
      <c r="H97" s="119" t="s">
        <v>835</v>
      </c>
      <c r="I97" s="119" t="s">
        <v>848</v>
      </c>
      <c r="J97" s="119" t="s">
        <v>845</v>
      </c>
      <c r="K97" s="119" t="s">
        <v>845</v>
      </c>
      <c r="L97" s="119" t="s">
        <v>849</v>
      </c>
      <c r="M97" s="119" t="s">
        <v>850</v>
      </c>
      <c r="N97" s="119"/>
      <c r="O97" s="119" t="s">
        <v>845</v>
      </c>
      <c r="P97" s="119" t="s">
        <v>851</v>
      </c>
      <c r="Q97" s="119" t="s">
        <v>852</v>
      </c>
      <c r="R97" s="119" t="s">
        <v>845</v>
      </c>
      <c r="S97" s="119" t="s">
        <v>853</v>
      </c>
    </row>
    <row r="98" spans="1:19" x14ac:dyDescent="0.3">
      <c r="A98" s="97">
        <v>966</v>
      </c>
      <c r="B98" s="119" t="s">
        <v>516</v>
      </c>
      <c r="C98" s="119"/>
      <c r="D98" s="119" t="s">
        <v>675</v>
      </c>
      <c r="E98" s="119" t="s">
        <v>676</v>
      </c>
      <c r="F98" s="119" t="s">
        <v>677</v>
      </c>
      <c r="G98" s="119" t="s">
        <v>854</v>
      </c>
      <c r="H98" s="119" t="s">
        <v>855</v>
      </c>
      <c r="I98" s="119" t="s">
        <v>679</v>
      </c>
      <c r="J98" s="119" t="s">
        <v>856</v>
      </c>
      <c r="K98" s="119" t="s">
        <v>681</v>
      </c>
      <c r="L98" s="119" t="s">
        <v>682</v>
      </c>
      <c r="M98" s="119" t="s">
        <v>683</v>
      </c>
      <c r="N98" s="119"/>
      <c r="O98" s="119" t="s">
        <v>684</v>
      </c>
      <c r="P98" s="119" t="s">
        <v>857</v>
      </c>
      <c r="Q98" s="119" t="s">
        <v>858</v>
      </c>
      <c r="R98" s="119" t="s">
        <v>687</v>
      </c>
      <c r="S98" s="119" t="s">
        <v>859</v>
      </c>
    </row>
    <row r="99" spans="1:19" x14ac:dyDescent="0.3">
      <c r="A99" s="97">
        <v>968</v>
      </c>
      <c r="B99" s="119" t="s">
        <v>517</v>
      </c>
      <c r="C99" s="119"/>
      <c r="D99" s="119" t="s">
        <v>860</v>
      </c>
      <c r="E99" s="119" t="s">
        <v>690</v>
      </c>
      <c r="F99" s="119" t="s">
        <v>691</v>
      </c>
      <c r="G99" s="119" t="s">
        <v>861</v>
      </c>
      <c r="H99" s="119" t="s">
        <v>692</v>
      </c>
      <c r="I99" s="119" t="s">
        <v>693</v>
      </c>
      <c r="J99" s="119" t="s">
        <v>862</v>
      </c>
      <c r="K99" s="119" t="s">
        <v>695</v>
      </c>
      <c r="L99" s="119" t="s">
        <v>696</v>
      </c>
      <c r="M99" s="119" t="s">
        <v>863</v>
      </c>
      <c r="N99" s="119"/>
      <c r="O99" s="119" t="s">
        <v>698</v>
      </c>
      <c r="P99" s="119" t="s">
        <v>699</v>
      </c>
      <c r="Q99" s="119" t="s">
        <v>864</v>
      </c>
      <c r="R99" s="119" t="s">
        <v>701</v>
      </c>
      <c r="S99" s="119" t="s">
        <v>702</v>
      </c>
    </row>
    <row r="100" spans="1:19" x14ac:dyDescent="0.3">
      <c r="A100" s="97">
        <v>973</v>
      </c>
      <c r="B100" s="119" t="s">
        <v>865</v>
      </c>
      <c r="C100" s="119"/>
      <c r="D100" s="119">
        <v>0</v>
      </c>
      <c r="E100" s="119">
        <v>0</v>
      </c>
      <c r="F100" s="119">
        <v>0</v>
      </c>
      <c r="G100" s="119">
        <v>0</v>
      </c>
      <c r="H100" s="119">
        <v>0</v>
      </c>
      <c r="I100" s="119">
        <v>0</v>
      </c>
      <c r="J100" s="119">
        <v>0</v>
      </c>
      <c r="K100" s="119">
        <v>0</v>
      </c>
      <c r="L100" s="119">
        <v>0</v>
      </c>
      <c r="M100" s="119">
        <v>0</v>
      </c>
      <c r="N100" s="119"/>
      <c r="O100" s="119">
        <v>0</v>
      </c>
      <c r="P100" s="119">
        <v>0</v>
      </c>
      <c r="Q100" s="119">
        <v>0</v>
      </c>
      <c r="R100" s="119">
        <v>0</v>
      </c>
      <c r="S100" s="119">
        <v>0</v>
      </c>
    </row>
    <row r="101" spans="1:19" x14ac:dyDescent="0.3">
      <c r="A101" s="97">
        <v>974</v>
      </c>
      <c r="B101" s="119" t="s">
        <v>518</v>
      </c>
      <c r="C101" s="119"/>
      <c r="D101" s="119">
        <v>3</v>
      </c>
      <c r="E101" s="119">
        <v>3</v>
      </c>
      <c r="F101" s="119">
        <v>3</v>
      </c>
      <c r="G101" s="119">
        <v>3</v>
      </c>
      <c r="H101" s="119">
        <v>2</v>
      </c>
      <c r="I101" s="119">
        <v>2</v>
      </c>
      <c r="J101" s="119">
        <v>3</v>
      </c>
      <c r="K101" s="119">
        <v>2</v>
      </c>
      <c r="L101" s="119">
        <v>2</v>
      </c>
      <c r="M101" s="119">
        <v>2</v>
      </c>
      <c r="N101" s="119"/>
      <c r="O101" s="119">
        <v>2</v>
      </c>
      <c r="P101" s="119">
        <v>3</v>
      </c>
      <c r="Q101" s="119">
        <v>3</v>
      </c>
      <c r="R101" s="119">
        <v>2</v>
      </c>
      <c r="S101" s="119">
        <v>2</v>
      </c>
    </row>
    <row r="102" spans="1:19" x14ac:dyDescent="0.3">
      <c r="A102" s="97">
        <v>975</v>
      </c>
      <c r="B102" s="119" t="s">
        <v>319</v>
      </c>
      <c r="C102" s="119"/>
      <c r="D102" s="119">
        <v>1</v>
      </c>
      <c r="E102" s="119">
        <v>2</v>
      </c>
      <c r="F102" s="119">
        <v>2</v>
      </c>
      <c r="G102" s="119">
        <v>1</v>
      </c>
      <c r="H102" s="119">
        <v>2</v>
      </c>
      <c r="I102" s="119">
        <v>2</v>
      </c>
      <c r="J102" s="119">
        <v>2</v>
      </c>
      <c r="K102" s="119">
        <v>2</v>
      </c>
      <c r="L102" s="119">
        <v>1</v>
      </c>
      <c r="M102" s="119">
        <v>2</v>
      </c>
      <c r="N102" s="119"/>
      <c r="O102" s="119">
        <v>2</v>
      </c>
      <c r="P102" s="119">
        <v>2</v>
      </c>
      <c r="Q102" s="119">
        <v>1</v>
      </c>
      <c r="R102" s="119">
        <v>1</v>
      </c>
      <c r="S102" s="119">
        <v>1</v>
      </c>
    </row>
    <row r="103" spans="1:19" x14ac:dyDescent="0.3">
      <c r="A103" s="97">
        <v>979</v>
      </c>
      <c r="B103" s="119" t="s">
        <v>520</v>
      </c>
      <c r="C103" s="119"/>
      <c r="D103" s="119">
        <v>2</v>
      </c>
      <c r="E103" s="119">
        <v>1</v>
      </c>
      <c r="F103" s="119">
        <v>1</v>
      </c>
      <c r="G103" s="119">
        <v>2</v>
      </c>
      <c r="H103" s="119">
        <v>1</v>
      </c>
      <c r="I103" s="119">
        <v>2</v>
      </c>
      <c r="J103" s="119">
        <v>1</v>
      </c>
      <c r="K103" s="119">
        <v>1</v>
      </c>
      <c r="L103" s="119">
        <v>1</v>
      </c>
      <c r="M103" s="119">
        <v>2</v>
      </c>
      <c r="N103" s="119"/>
      <c r="O103" s="119">
        <v>1</v>
      </c>
      <c r="P103" s="119">
        <v>1</v>
      </c>
      <c r="Q103" s="119">
        <v>2</v>
      </c>
      <c r="R103" s="119">
        <v>1</v>
      </c>
      <c r="S103" s="119">
        <v>2</v>
      </c>
    </row>
    <row r="104" spans="1:19" x14ac:dyDescent="0.3">
      <c r="A104" s="97">
        <v>980</v>
      </c>
      <c r="B104" s="119" t="s">
        <v>313</v>
      </c>
      <c r="C104" s="119"/>
      <c r="D104" s="119" t="s">
        <v>866</v>
      </c>
      <c r="E104" s="119" t="s">
        <v>867</v>
      </c>
      <c r="F104" s="119" t="s">
        <v>868</v>
      </c>
      <c r="G104" s="119" t="s">
        <v>869</v>
      </c>
      <c r="H104" s="119" t="s">
        <v>870</v>
      </c>
      <c r="I104" s="119" t="s">
        <v>871</v>
      </c>
      <c r="J104" s="119" t="s">
        <v>867</v>
      </c>
      <c r="K104" s="119" t="s">
        <v>872</v>
      </c>
      <c r="L104" s="119" t="s">
        <v>873</v>
      </c>
      <c r="M104" s="119" t="s">
        <v>874</v>
      </c>
      <c r="N104" s="119"/>
      <c r="O104" s="119" t="s">
        <v>875</v>
      </c>
      <c r="P104" s="119" t="s">
        <v>867</v>
      </c>
      <c r="Q104" s="119" t="s">
        <v>852</v>
      </c>
      <c r="R104" s="119" t="s">
        <v>876</v>
      </c>
      <c r="S104" s="119" t="s">
        <v>877</v>
      </c>
    </row>
    <row r="105" spans="1:19" x14ac:dyDescent="0.3">
      <c r="A105" s="97">
        <v>995</v>
      </c>
      <c r="B105" s="119" t="s">
        <v>178</v>
      </c>
      <c r="C105" s="119"/>
      <c r="D105" s="119">
        <v>0</v>
      </c>
      <c r="E105" s="119">
        <v>0</v>
      </c>
      <c r="F105" s="119">
        <v>0</v>
      </c>
      <c r="G105" s="119"/>
      <c r="H105" s="119">
        <v>0</v>
      </c>
      <c r="I105" s="119">
        <v>0</v>
      </c>
      <c r="J105" s="119">
        <v>0</v>
      </c>
      <c r="K105" s="119">
        <v>0</v>
      </c>
      <c r="L105" s="119">
        <v>0</v>
      </c>
      <c r="M105" s="119">
        <v>0</v>
      </c>
      <c r="N105" s="119"/>
      <c r="O105" s="119">
        <v>0</v>
      </c>
      <c r="P105" s="119">
        <v>0</v>
      </c>
      <c r="Q105" s="119">
        <v>0</v>
      </c>
      <c r="R105" s="119">
        <v>0</v>
      </c>
      <c r="S105" s="119">
        <v>0</v>
      </c>
    </row>
    <row r="106" spans="1:19" x14ac:dyDescent="0.3">
      <c r="A106" s="97">
        <v>996</v>
      </c>
      <c r="B106" s="119" t="s">
        <v>179</v>
      </c>
      <c r="C106" s="119"/>
      <c r="D106" s="119">
        <v>0</v>
      </c>
      <c r="E106" s="119">
        <v>0</v>
      </c>
      <c r="F106" s="119">
        <v>0</v>
      </c>
      <c r="G106" s="119"/>
      <c r="H106" s="119">
        <v>0</v>
      </c>
      <c r="I106" s="119">
        <v>0</v>
      </c>
      <c r="J106" s="119">
        <v>0</v>
      </c>
      <c r="K106" s="119">
        <v>0</v>
      </c>
      <c r="L106" s="119">
        <v>0</v>
      </c>
      <c r="M106" s="119">
        <v>0</v>
      </c>
      <c r="N106" s="119"/>
      <c r="O106" s="119">
        <v>0</v>
      </c>
      <c r="P106" s="119">
        <v>0</v>
      </c>
      <c r="Q106" s="119">
        <v>0</v>
      </c>
      <c r="R106" s="119">
        <v>0</v>
      </c>
      <c r="S106" s="119">
        <v>0</v>
      </c>
    </row>
    <row r="107" spans="1:19" x14ac:dyDescent="0.3">
      <c r="A107" s="97">
        <v>998</v>
      </c>
      <c r="B107" s="119" t="s">
        <v>180</v>
      </c>
      <c r="C107" s="119"/>
      <c r="D107" s="119">
        <v>55</v>
      </c>
      <c r="E107" s="119">
        <v>55</v>
      </c>
      <c r="F107" s="119">
        <v>55</v>
      </c>
      <c r="G107" s="119">
        <v>55</v>
      </c>
      <c r="H107" s="119">
        <v>55</v>
      </c>
      <c r="I107" s="119">
        <v>55</v>
      </c>
      <c r="J107" s="119">
        <v>55</v>
      </c>
      <c r="K107" s="119">
        <v>55</v>
      </c>
      <c r="L107" s="119">
        <v>55</v>
      </c>
      <c r="M107" s="119">
        <v>55</v>
      </c>
      <c r="N107" s="119">
        <v>55</v>
      </c>
      <c r="O107" s="119">
        <v>55</v>
      </c>
      <c r="P107" s="119">
        <v>55</v>
      </c>
      <c r="Q107" s="119">
        <v>55</v>
      </c>
      <c r="R107" s="119">
        <v>55</v>
      </c>
      <c r="S107" s="119">
        <v>55</v>
      </c>
    </row>
    <row r="108" spans="1:19" x14ac:dyDescent="0.3">
      <c r="A108" s="97">
        <v>999</v>
      </c>
      <c r="B108" s="119" t="s">
        <v>181</v>
      </c>
      <c r="C108" s="119"/>
      <c r="D108" s="119">
        <v>551100</v>
      </c>
      <c r="E108" s="119">
        <v>551101</v>
      </c>
      <c r="F108" s="119">
        <v>551102</v>
      </c>
      <c r="G108" s="119">
        <v>551103</v>
      </c>
      <c r="H108" s="119">
        <v>551113</v>
      </c>
      <c r="I108" s="119">
        <v>551104</v>
      </c>
      <c r="J108" s="119">
        <v>551105</v>
      </c>
      <c r="K108" s="119">
        <v>551106</v>
      </c>
      <c r="L108" s="119">
        <v>551107</v>
      </c>
      <c r="M108" s="119">
        <v>551108</v>
      </c>
      <c r="N108" s="119">
        <v>551109</v>
      </c>
      <c r="O108" s="119">
        <v>551112</v>
      </c>
      <c r="P108" s="119">
        <v>551115</v>
      </c>
      <c r="Q108" s="119">
        <v>551116</v>
      </c>
      <c r="R108" s="119">
        <v>551114</v>
      </c>
      <c r="S108" s="119">
        <v>551117</v>
      </c>
    </row>
    <row r="109" spans="1:19" x14ac:dyDescent="0.3">
      <c r="A109" s="97">
        <v>1052</v>
      </c>
      <c r="B109" s="119" t="s">
        <v>878</v>
      </c>
      <c r="C109" s="119"/>
      <c r="D109" s="119">
        <v>0</v>
      </c>
      <c r="E109" s="119">
        <v>0</v>
      </c>
      <c r="F109" s="119">
        <v>0</v>
      </c>
      <c r="G109" s="119">
        <v>0</v>
      </c>
      <c r="H109" s="119">
        <v>0</v>
      </c>
      <c r="I109" s="119">
        <v>0</v>
      </c>
      <c r="J109" s="119">
        <v>0</v>
      </c>
      <c r="K109" s="119">
        <v>0</v>
      </c>
      <c r="L109" s="119">
        <v>0</v>
      </c>
      <c r="M109" s="119">
        <v>0</v>
      </c>
      <c r="N109" s="119"/>
      <c r="O109" s="119">
        <v>0</v>
      </c>
      <c r="P109" s="119">
        <v>0</v>
      </c>
      <c r="Q109" s="119">
        <v>0</v>
      </c>
      <c r="R109" s="119">
        <v>0</v>
      </c>
      <c r="S109" s="119">
        <v>0</v>
      </c>
    </row>
    <row r="110" spans="1:19" x14ac:dyDescent="0.3">
      <c r="A110" s="97">
        <v>1058</v>
      </c>
      <c r="B110" s="119" t="s">
        <v>579</v>
      </c>
      <c r="C110" s="119"/>
      <c r="D110" s="119">
        <v>2</v>
      </c>
      <c r="E110" s="119">
        <v>2</v>
      </c>
      <c r="F110" s="119">
        <v>2</v>
      </c>
      <c r="G110" s="119">
        <v>1</v>
      </c>
      <c r="H110" s="119">
        <v>2</v>
      </c>
      <c r="I110" s="119">
        <v>2</v>
      </c>
      <c r="J110" s="119">
        <v>2</v>
      </c>
      <c r="K110" s="119">
        <v>2</v>
      </c>
      <c r="L110" s="119">
        <v>2</v>
      </c>
      <c r="M110" s="119">
        <v>2</v>
      </c>
      <c r="N110" s="119"/>
      <c r="O110" s="119">
        <v>2</v>
      </c>
      <c r="P110" s="119">
        <v>2</v>
      </c>
      <c r="Q110" s="119">
        <v>2</v>
      </c>
      <c r="R110" s="119">
        <v>2</v>
      </c>
      <c r="S110" s="119">
        <v>2</v>
      </c>
    </row>
    <row r="111" spans="1:19" x14ac:dyDescent="0.3">
      <c r="A111" s="97">
        <v>1059</v>
      </c>
      <c r="B111" s="119" t="s">
        <v>879</v>
      </c>
      <c r="C111" s="119"/>
      <c r="D111" s="119">
        <v>1</v>
      </c>
      <c r="E111" s="119">
        <v>1</v>
      </c>
      <c r="F111" s="119">
        <v>1</v>
      </c>
      <c r="G111" s="119">
        <v>1</v>
      </c>
      <c r="H111" s="119">
        <v>1</v>
      </c>
      <c r="I111" s="119">
        <v>1</v>
      </c>
      <c r="J111" s="119">
        <v>1</v>
      </c>
      <c r="K111" s="119">
        <v>2</v>
      </c>
      <c r="L111" s="119">
        <v>1</v>
      </c>
      <c r="M111" s="119">
        <v>1</v>
      </c>
      <c r="N111" s="119"/>
      <c r="O111" s="119">
        <v>1</v>
      </c>
      <c r="P111" s="119">
        <v>1</v>
      </c>
      <c r="Q111" s="119">
        <v>1</v>
      </c>
      <c r="R111" s="119">
        <v>1</v>
      </c>
      <c r="S111" s="119">
        <v>1</v>
      </c>
    </row>
    <row r="112" spans="1:19" x14ac:dyDescent="0.3">
      <c r="A112" s="97">
        <v>1063</v>
      </c>
      <c r="B112" s="119" t="s">
        <v>880</v>
      </c>
      <c r="C112" s="119"/>
      <c r="D112" s="119"/>
      <c r="E112" s="119"/>
      <c r="F112" s="119"/>
      <c r="G112" s="119">
        <v>0</v>
      </c>
      <c r="H112" s="119"/>
      <c r="I112" s="119"/>
      <c r="J112" s="119"/>
      <c r="K112" s="119"/>
      <c r="L112" s="119"/>
      <c r="M112" s="119"/>
      <c r="N112" s="119"/>
      <c r="O112" s="119"/>
      <c r="P112" s="119"/>
      <c r="Q112" s="119"/>
      <c r="R112" s="119"/>
      <c r="S112" s="119"/>
    </row>
    <row r="113" spans="1:19" x14ac:dyDescent="0.3">
      <c r="A113" s="97">
        <v>1064</v>
      </c>
      <c r="B113" s="119" t="s">
        <v>881</v>
      </c>
      <c r="C113" s="119"/>
      <c r="D113" s="119"/>
      <c r="E113" s="119">
        <v>9781</v>
      </c>
      <c r="F113" s="119"/>
      <c r="G113" s="119">
        <v>0</v>
      </c>
      <c r="H113" s="119"/>
      <c r="I113" s="119"/>
      <c r="J113" s="119"/>
      <c r="K113" s="119">
        <v>78622</v>
      </c>
      <c r="L113" s="119"/>
      <c r="M113" s="119"/>
      <c r="N113" s="119"/>
      <c r="O113" s="119"/>
      <c r="P113" s="119"/>
      <c r="Q113" s="119"/>
      <c r="R113" s="119"/>
      <c r="S113" s="119">
        <v>11117</v>
      </c>
    </row>
    <row r="114" spans="1:19" x14ac:dyDescent="0.3">
      <c r="A114" s="97">
        <v>1066</v>
      </c>
      <c r="B114" s="119" t="s">
        <v>882</v>
      </c>
      <c r="C114" s="119"/>
      <c r="D114" s="119" t="s">
        <v>883</v>
      </c>
      <c r="E114" s="119" t="s">
        <v>884</v>
      </c>
      <c r="F114" s="119" t="s">
        <v>885</v>
      </c>
      <c r="G114" s="119" t="s">
        <v>886</v>
      </c>
      <c r="H114" s="119" t="s">
        <v>887</v>
      </c>
      <c r="I114" s="119" t="s">
        <v>888</v>
      </c>
      <c r="J114" s="119" t="s">
        <v>884</v>
      </c>
      <c r="K114" s="119" t="s">
        <v>884</v>
      </c>
      <c r="L114" s="119" t="s">
        <v>889</v>
      </c>
      <c r="M114" s="119" t="s">
        <v>890</v>
      </c>
      <c r="N114" s="119"/>
      <c r="O114" s="119" t="s">
        <v>889</v>
      </c>
      <c r="P114" s="119" t="s">
        <v>891</v>
      </c>
      <c r="Q114" s="119" t="s">
        <v>892</v>
      </c>
      <c r="R114" s="119" t="s">
        <v>889</v>
      </c>
      <c r="S114" s="119" t="s">
        <v>893</v>
      </c>
    </row>
    <row r="115" spans="1:19" x14ac:dyDescent="0.3">
      <c r="A115" s="97">
        <v>9000</v>
      </c>
      <c r="B115" s="119" t="s">
        <v>528</v>
      </c>
      <c r="C115" s="119" t="s">
        <v>233</v>
      </c>
      <c r="D115" s="119">
        <v>38735405</v>
      </c>
      <c r="E115" s="119">
        <v>61508872</v>
      </c>
      <c r="F115" s="119">
        <v>137885006</v>
      </c>
      <c r="G115" s="119">
        <v>92720291.700000003</v>
      </c>
      <c r="H115" s="119">
        <v>40530532</v>
      </c>
      <c r="I115" s="119">
        <v>50206779.700000003</v>
      </c>
      <c r="J115" s="119">
        <v>131356283</v>
      </c>
      <c r="K115" s="119">
        <v>64580100</v>
      </c>
      <c r="L115" s="119">
        <v>61635320</v>
      </c>
      <c r="M115" s="119">
        <v>49217741</v>
      </c>
      <c r="N115" s="119">
        <v>551164</v>
      </c>
      <c r="O115" s="119">
        <v>177206643</v>
      </c>
      <c r="P115" s="119">
        <v>79465057</v>
      </c>
      <c r="Q115" s="119">
        <v>224768869.09999999</v>
      </c>
      <c r="R115" s="119">
        <v>54079534</v>
      </c>
      <c r="S115" s="119">
        <v>113316663.3</v>
      </c>
    </row>
    <row r="116" spans="1:19" x14ac:dyDescent="0.3">
      <c r="A116" s="97">
        <v>9001</v>
      </c>
      <c r="B116" s="119" t="s">
        <v>529</v>
      </c>
      <c r="C116" s="119" t="s">
        <v>530</v>
      </c>
      <c r="D116" s="119">
        <v>3631541</v>
      </c>
      <c r="E116" s="119">
        <v>3812496</v>
      </c>
      <c r="F116" s="119">
        <v>8532772</v>
      </c>
      <c r="G116" s="119">
        <v>3566790</v>
      </c>
      <c r="H116" s="119">
        <v>3985729</v>
      </c>
      <c r="I116" s="119">
        <v>4919207</v>
      </c>
      <c r="J116" s="119">
        <v>10306204</v>
      </c>
      <c r="K116" s="119">
        <v>3179352</v>
      </c>
      <c r="L116" s="119">
        <v>2696616</v>
      </c>
      <c r="M116" s="119">
        <v>3889790</v>
      </c>
      <c r="N116" s="119">
        <v>0</v>
      </c>
      <c r="O116" s="119">
        <v>14540244</v>
      </c>
      <c r="P116" s="119">
        <v>7107115</v>
      </c>
      <c r="Q116" s="119">
        <v>14725426</v>
      </c>
      <c r="R116" s="119">
        <v>3166280</v>
      </c>
      <c r="S116" s="119">
        <v>9074422</v>
      </c>
    </row>
    <row r="117" spans="1:19" x14ac:dyDescent="0.3">
      <c r="A117" s="97">
        <v>9002</v>
      </c>
      <c r="B117" s="119" t="s">
        <v>531</v>
      </c>
      <c r="C117" s="119" t="s">
        <v>532</v>
      </c>
      <c r="D117" s="119">
        <v>497798</v>
      </c>
      <c r="E117" s="119">
        <v>2095581</v>
      </c>
      <c r="F117" s="119">
        <v>4205840</v>
      </c>
      <c r="G117" s="119">
        <v>970136</v>
      </c>
      <c r="H117" s="119">
        <v>652033</v>
      </c>
      <c r="I117" s="119">
        <v>1061714</v>
      </c>
      <c r="J117" s="119">
        <v>3811284</v>
      </c>
      <c r="K117" s="119">
        <v>1155589</v>
      </c>
      <c r="L117" s="119">
        <v>893404</v>
      </c>
      <c r="M117" s="119">
        <v>2599758</v>
      </c>
      <c r="N117" s="119">
        <v>0</v>
      </c>
      <c r="O117" s="119">
        <v>3881649</v>
      </c>
      <c r="P117" s="119">
        <v>2457526</v>
      </c>
      <c r="Q117" s="119">
        <v>11255152</v>
      </c>
      <c r="R117" s="119">
        <v>1047107</v>
      </c>
      <c r="S117" s="119">
        <v>1915539</v>
      </c>
    </row>
    <row r="118" spans="1:19" x14ac:dyDescent="0.3">
      <c r="A118" s="379">
        <v>9003</v>
      </c>
      <c r="B118" s="380" t="s">
        <v>533</v>
      </c>
      <c r="C118" s="380" t="s">
        <v>534</v>
      </c>
      <c r="D118" s="380">
        <v>1347163</v>
      </c>
      <c r="E118" s="380">
        <v>3171960</v>
      </c>
      <c r="F118" s="380">
        <v>8326320</v>
      </c>
      <c r="G118" s="380">
        <v>1746524</v>
      </c>
      <c r="H118" s="380">
        <v>2230916</v>
      </c>
      <c r="I118" s="380">
        <v>3449821</v>
      </c>
      <c r="J118" s="380">
        <v>6179298</v>
      </c>
      <c r="K118" s="380">
        <v>2382605</v>
      </c>
      <c r="L118" s="380">
        <v>2000531</v>
      </c>
      <c r="M118" s="380">
        <v>3511346</v>
      </c>
      <c r="N118" s="380">
        <v>0</v>
      </c>
      <c r="O118" s="380">
        <v>7590648</v>
      </c>
      <c r="P118" s="380">
        <v>3007336</v>
      </c>
      <c r="Q118" s="380">
        <v>15004790</v>
      </c>
      <c r="R118" s="380">
        <v>2006519</v>
      </c>
      <c r="S118" s="380">
        <v>6796724</v>
      </c>
    </row>
    <row r="119" spans="1:19" x14ac:dyDescent="0.3">
      <c r="A119" s="97">
        <v>9004</v>
      </c>
      <c r="B119" s="119" t="s">
        <v>535</v>
      </c>
      <c r="C119" s="119" t="s">
        <v>536</v>
      </c>
      <c r="D119" s="119" t="s">
        <v>233</v>
      </c>
      <c r="E119" s="119" t="s">
        <v>233</v>
      </c>
      <c r="F119" s="119" t="s">
        <v>233</v>
      </c>
      <c r="G119" s="119" t="s">
        <v>233</v>
      </c>
      <c r="H119" s="119" t="s">
        <v>233</v>
      </c>
      <c r="I119" s="119" t="s">
        <v>233</v>
      </c>
      <c r="J119" s="119" t="s">
        <v>233</v>
      </c>
      <c r="K119" s="119" t="s">
        <v>233</v>
      </c>
      <c r="L119" s="119" t="s">
        <v>233</v>
      </c>
      <c r="M119" s="119" t="s">
        <v>233</v>
      </c>
      <c r="N119" s="119" t="s">
        <v>233</v>
      </c>
      <c r="O119" s="119" t="s">
        <v>233</v>
      </c>
      <c r="P119" s="119" t="s">
        <v>233</v>
      </c>
      <c r="Q119" s="119" t="s">
        <v>233</v>
      </c>
      <c r="R119" s="119" t="s">
        <v>233</v>
      </c>
      <c r="S119" s="119" t="s">
        <v>233</v>
      </c>
    </row>
    <row r="120" spans="1:19" x14ac:dyDescent="0.3">
      <c r="A120" s="97">
        <v>9005</v>
      </c>
      <c r="B120" s="119" t="s">
        <v>537</v>
      </c>
      <c r="C120" s="119" t="s">
        <v>538</v>
      </c>
      <c r="D120" s="119">
        <v>1066671</v>
      </c>
      <c r="E120" s="119">
        <v>689186</v>
      </c>
      <c r="F120" s="119">
        <v>523138</v>
      </c>
      <c r="G120" s="119">
        <v>358783</v>
      </c>
      <c r="H120" s="119">
        <v>1375138</v>
      </c>
      <c r="I120" s="119">
        <v>54080</v>
      </c>
      <c r="J120" s="119">
        <v>1130674</v>
      </c>
      <c r="K120" s="119">
        <v>-847059</v>
      </c>
      <c r="L120" s="119">
        <v>-506259</v>
      </c>
      <c r="M120" s="119">
        <v>-1053</v>
      </c>
      <c r="N120" s="119">
        <v>0</v>
      </c>
      <c r="O120" s="119">
        <v>2799654</v>
      </c>
      <c r="P120" s="119">
        <v>-622469</v>
      </c>
      <c r="Q120" s="119">
        <v>-1054083</v>
      </c>
      <c r="R120" s="119">
        <v>329415</v>
      </c>
      <c r="S120" s="119">
        <v>868075</v>
      </c>
    </row>
    <row r="121" spans="1:19" x14ac:dyDescent="0.3">
      <c r="A121" s="97">
        <v>9006</v>
      </c>
      <c r="B121" s="119" t="s">
        <v>539</v>
      </c>
      <c r="C121" s="119" t="s">
        <v>540</v>
      </c>
      <c r="D121" s="119">
        <v>656125</v>
      </c>
      <c r="E121" s="119">
        <v>340451</v>
      </c>
      <c r="F121" s="119">
        <v>9500141</v>
      </c>
      <c r="G121" s="119">
        <v>12488300</v>
      </c>
      <c r="H121" s="119">
        <v>203554</v>
      </c>
      <c r="I121" s="119">
        <v>2834666</v>
      </c>
      <c r="J121" s="119">
        <v>12528659</v>
      </c>
      <c r="K121" s="119">
        <v>8464699</v>
      </c>
      <c r="L121" s="119">
        <v>8589571</v>
      </c>
      <c r="M121" s="119">
        <v>139108</v>
      </c>
      <c r="N121" s="119">
        <v>0</v>
      </c>
      <c r="O121" s="119">
        <v>339337</v>
      </c>
      <c r="P121" s="119">
        <v>6904010</v>
      </c>
      <c r="Q121" s="119">
        <v>19932285</v>
      </c>
      <c r="R121" s="119">
        <v>145145</v>
      </c>
      <c r="S121" s="119">
        <v>6801412</v>
      </c>
    </row>
    <row r="122" spans="1:19" x14ac:dyDescent="0.3">
      <c r="A122" s="97">
        <v>9007</v>
      </c>
      <c r="B122" s="119" t="s">
        <v>588</v>
      </c>
      <c r="C122" s="119" t="s">
        <v>541</v>
      </c>
      <c r="D122" s="119">
        <v>1.6256999999999999</v>
      </c>
      <c r="E122" s="119">
        <v>2.0243000000000002</v>
      </c>
      <c r="F122" s="119">
        <v>5.5100000000000003E-2</v>
      </c>
      <c r="G122" s="119">
        <v>2.87E-2</v>
      </c>
      <c r="H122" s="119">
        <v>6.7556000000000003</v>
      </c>
      <c r="I122" s="119">
        <v>1.9099999999999999E-2</v>
      </c>
      <c r="J122" s="119">
        <v>9.0200000000000002E-2</v>
      </c>
      <c r="K122" s="119">
        <v>-0.10009999999999999</v>
      </c>
      <c r="L122" s="119">
        <v>-5.8900000000000001E-2</v>
      </c>
      <c r="M122" s="119">
        <v>-7.6E-3</v>
      </c>
      <c r="N122" s="119">
        <v>0</v>
      </c>
      <c r="O122" s="119">
        <v>8.2504000000000008</v>
      </c>
      <c r="P122" s="119">
        <v>-9.0200000000000002E-2</v>
      </c>
      <c r="Q122" s="119">
        <v>-5.2900000000000003E-2</v>
      </c>
      <c r="R122" s="119">
        <v>2.2696000000000001</v>
      </c>
      <c r="S122" s="119">
        <v>0.12759999999999999</v>
      </c>
    </row>
    <row r="123" spans="1:19" x14ac:dyDescent="0.3">
      <c r="A123" s="97">
        <v>9008</v>
      </c>
      <c r="B123" s="119" t="s">
        <v>542</v>
      </c>
      <c r="C123" s="119" t="s">
        <v>233</v>
      </c>
      <c r="D123" s="119">
        <v>0</v>
      </c>
      <c r="E123" s="119">
        <v>0</v>
      </c>
      <c r="F123" s="119">
        <v>0</v>
      </c>
      <c r="G123" s="119">
        <v>0</v>
      </c>
      <c r="H123" s="119">
        <v>0</v>
      </c>
      <c r="I123" s="119">
        <v>0</v>
      </c>
      <c r="J123" s="119">
        <v>0</v>
      </c>
      <c r="K123" s="119">
        <v>25.5</v>
      </c>
      <c r="L123" s="119">
        <v>0</v>
      </c>
      <c r="M123" s="119">
        <v>5.03</v>
      </c>
      <c r="N123" s="119">
        <v>0</v>
      </c>
      <c r="O123" s="119">
        <v>0</v>
      </c>
      <c r="P123" s="119">
        <v>0</v>
      </c>
      <c r="Q123" s="119">
        <v>0</v>
      </c>
      <c r="R123" s="119">
        <v>0</v>
      </c>
      <c r="S123" s="119">
        <v>0</v>
      </c>
    </row>
    <row r="124" spans="1:19" x14ac:dyDescent="0.3">
      <c r="A124" s="97">
        <v>9010</v>
      </c>
      <c r="B124" s="119" t="s">
        <v>543</v>
      </c>
      <c r="C124" s="119" t="s">
        <v>544</v>
      </c>
      <c r="D124" s="119">
        <v>0</v>
      </c>
      <c r="E124" s="119">
        <v>0</v>
      </c>
      <c r="F124" s="119">
        <v>0</v>
      </c>
      <c r="G124" s="119">
        <v>0</v>
      </c>
      <c r="H124" s="119">
        <v>0</v>
      </c>
      <c r="I124" s="119">
        <v>0</v>
      </c>
      <c r="J124" s="119">
        <v>0</v>
      </c>
      <c r="K124" s="119">
        <v>0</v>
      </c>
      <c r="L124" s="119">
        <v>0</v>
      </c>
      <c r="M124" s="119">
        <v>0</v>
      </c>
      <c r="N124" s="119">
        <v>0</v>
      </c>
      <c r="O124" s="119">
        <v>0</v>
      </c>
      <c r="P124" s="119">
        <v>0</v>
      </c>
      <c r="Q124" s="119">
        <v>0</v>
      </c>
      <c r="R124" s="119">
        <v>0</v>
      </c>
      <c r="S124" s="119">
        <v>0</v>
      </c>
    </row>
    <row r="125" spans="1:19" x14ac:dyDescent="0.3">
      <c r="A125" s="97">
        <v>9011</v>
      </c>
      <c r="B125" s="119" t="s">
        <v>894</v>
      </c>
      <c r="C125" s="119" t="s">
        <v>545</v>
      </c>
      <c r="D125" s="119">
        <v>0</v>
      </c>
      <c r="E125" s="119">
        <v>0</v>
      </c>
      <c r="F125" s="119">
        <v>0</v>
      </c>
      <c r="G125" s="119">
        <v>0</v>
      </c>
      <c r="H125" s="119">
        <v>0</v>
      </c>
      <c r="I125" s="119">
        <v>0</v>
      </c>
      <c r="J125" s="119">
        <v>0</v>
      </c>
      <c r="K125" s="119">
        <v>0</v>
      </c>
      <c r="L125" s="119">
        <v>0</v>
      </c>
      <c r="M125" s="119">
        <v>0</v>
      </c>
      <c r="N125" s="119">
        <v>0</v>
      </c>
      <c r="O125" s="119">
        <v>0</v>
      </c>
      <c r="P125" s="119">
        <v>0</v>
      </c>
      <c r="Q125" s="119">
        <v>0</v>
      </c>
      <c r="R125" s="119">
        <v>0</v>
      </c>
      <c r="S125" s="119">
        <v>0</v>
      </c>
    </row>
    <row r="126" spans="1:19" x14ac:dyDescent="0.3">
      <c r="A126" s="97">
        <v>9012</v>
      </c>
      <c r="B126" s="119" t="s">
        <v>895</v>
      </c>
      <c r="C126" s="119" t="s">
        <v>545</v>
      </c>
      <c r="D126" s="119">
        <v>0</v>
      </c>
      <c r="E126" s="119">
        <v>0</v>
      </c>
      <c r="F126" s="119">
        <v>0</v>
      </c>
      <c r="G126" s="119">
        <v>0</v>
      </c>
      <c r="H126" s="119">
        <v>0</v>
      </c>
      <c r="I126" s="119">
        <v>0</v>
      </c>
      <c r="J126" s="119">
        <v>0</v>
      </c>
      <c r="K126" s="119">
        <v>0</v>
      </c>
      <c r="L126" s="119">
        <v>0</v>
      </c>
      <c r="M126" s="119">
        <v>0</v>
      </c>
      <c r="N126" s="119">
        <v>0</v>
      </c>
      <c r="O126" s="119">
        <v>0</v>
      </c>
      <c r="P126" s="119">
        <v>0</v>
      </c>
      <c r="Q126" s="119">
        <v>0</v>
      </c>
      <c r="R126" s="119">
        <v>0</v>
      </c>
      <c r="S126" s="119">
        <v>0</v>
      </c>
    </row>
    <row r="127" spans="1:19" x14ac:dyDescent="0.3">
      <c r="A127" s="97">
        <v>9013</v>
      </c>
      <c r="B127" s="119" t="s">
        <v>546</v>
      </c>
      <c r="C127" s="119" t="s">
        <v>547</v>
      </c>
      <c r="D127" s="119">
        <v>0</v>
      </c>
      <c r="E127" s="119">
        <v>0</v>
      </c>
      <c r="F127" s="119">
        <v>0</v>
      </c>
      <c r="G127" s="119">
        <v>0</v>
      </c>
      <c r="H127" s="119">
        <v>0</v>
      </c>
      <c r="I127" s="119">
        <v>0</v>
      </c>
      <c r="J127" s="119">
        <v>0</v>
      </c>
      <c r="K127" s="119">
        <v>0</v>
      </c>
      <c r="L127" s="119">
        <v>0</v>
      </c>
      <c r="M127" s="119">
        <v>0</v>
      </c>
      <c r="N127" s="119">
        <v>0</v>
      </c>
      <c r="O127" s="119">
        <v>0</v>
      </c>
      <c r="P127" s="119">
        <v>0</v>
      </c>
      <c r="Q127" s="119">
        <v>0</v>
      </c>
      <c r="R127" s="119">
        <v>0</v>
      </c>
      <c r="S127" s="119">
        <v>0</v>
      </c>
    </row>
    <row r="128" spans="1:19" x14ac:dyDescent="0.3">
      <c r="A128" s="97">
        <v>9014</v>
      </c>
      <c r="B128" s="119" t="s">
        <v>548</v>
      </c>
      <c r="C128" s="119" t="s">
        <v>549</v>
      </c>
      <c r="D128" s="119">
        <v>0</v>
      </c>
      <c r="E128" s="119">
        <v>0</v>
      </c>
      <c r="F128" s="119">
        <v>0</v>
      </c>
      <c r="G128" s="119">
        <v>0</v>
      </c>
      <c r="H128" s="119">
        <v>0</v>
      </c>
      <c r="I128" s="119">
        <v>0</v>
      </c>
      <c r="J128" s="119">
        <v>0</v>
      </c>
      <c r="K128" s="119">
        <v>0</v>
      </c>
      <c r="L128" s="119">
        <v>0</v>
      </c>
      <c r="M128" s="119">
        <v>0</v>
      </c>
      <c r="N128" s="119">
        <v>0</v>
      </c>
      <c r="O128" s="119">
        <v>0</v>
      </c>
      <c r="P128" s="119">
        <v>0</v>
      </c>
      <c r="Q128" s="119">
        <v>0</v>
      </c>
      <c r="R128" s="119">
        <v>0</v>
      </c>
      <c r="S128" s="119">
        <v>0</v>
      </c>
    </row>
    <row r="129" spans="1:19" x14ac:dyDescent="0.3">
      <c r="A129" s="97">
        <v>9015</v>
      </c>
      <c r="B129" s="119" t="s">
        <v>896</v>
      </c>
      <c r="C129" s="119" t="s">
        <v>233</v>
      </c>
      <c r="D129" s="119">
        <v>0</v>
      </c>
      <c r="E129" s="119">
        <v>0</v>
      </c>
      <c r="F129" s="119">
        <v>0</v>
      </c>
      <c r="G129" s="119">
        <v>0</v>
      </c>
      <c r="H129" s="119">
        <v>0</v>
      </c>
      <c r="I129" s="119">
        <v>0</v>
      </c>
      <c r="J129" s="119">
        <v>0</v>
      </c>
      <c r="K129" s="119">
        <v>0</v>
      </c>
      <c r="L129" s="119">
        <v>0</v>
      </c>
      <c r="M129" s="119">
        <v>0</v>
      </c>
      <c r="N129" s="119">
        <v>0</v>
      </c>
      <c r="O129" s="119">
        <v>0</v>
      </c>
      <c r="P129" s="119">
        <v>0</v>
      </c>
      <c r="Q129" s="119">
        <v>0</v>
      </c>
      <c r="R129" s="119">
        <v>0</v>
      </c>
      <c r="S129" s="119">
        <v>0</v>
      </c>
    </row>
    <row r="130" spans="1:19" x14ac:dyDescent="0.3">
      <c r="A130" s="97">
        <v>9016</v>
      </c>
      <c r="B130" s="119" t="s">
        <v>897</v>
      </c>
      <c r="C130" s="119" t="s">
        <v>233</v>
      </c>
      <c r="D130" s="119">
        <v>0</v>
      </c>
      <c r="E130" s="119">
        <v>0</v>
      </c>
      <c r="F130" s="119">
        <v>0</v>
      </c>
      <c r="G130" s="119">
        <v>0</v>
      </c>
      <c r="H130" s="119">
        <v>0</v>
      </c>
      <c r="I130" s="119">
        <v>0</v>
      </c>
      <c r="J130" s="119">
        <v>0</v>
      </c>
      <c r="K130" s="119">
        <v>0</v>
      </c>
      <c r="L130" s="119">
        <v>0</v>
      </c>
      <c r="M130" s="119">
        <v>0</v>
      </c>
      <c r="N130" s="119">
        <v>0</v>
      </c>
      <c r="O130" s="119">
        <v>0</v>
      </c>
      <c r="P130" s="119">
        <v>0</v>
      </c>
      <c r="Q130" s="119">
        <v>0</v>
      </c>
      <c r="R130" s="119">
        <v>0</v>
      </c>
      <c r="S130" s="119">
        <v>0</v>
      </c>
    </row>
    <row r="131" spans="1:19" x14ac:dyDescent="0.3">
      <c r="A131" s="97">
        <v>9017</v>
      </c>
      <c r="B131" s="119" t="s">
        <v>550</v>
      </c>
      <c r="C131" s="119" t="s">
        <v>551</v>
      </c>
      <c r="D131" s="119">
        <v>0</v>
      </c>
      <c r="E131" s="119">
        <v>0</v>
      </c>
      <c r="F131" s="119">
        <v>0</v>
      </c>
      <c r="G131" s="119">
        <v>0</v>
      </c>
      <c r="H131" s="119">
        <v>0</v>
      </c>
      <c r="I131" s="119">
        <v>0</v>
      </c>
      <c r="J131" s="119">
        <v>0</v>
      </c>
      <c r="K131" s="119">
        <v>0</v>
      </c>
      <c r="L131" s="119">
        <v>0</v>
      </c>
      <c r="M131" s="119">
        <v>0</v>
      </c>
      <c r="N131" s="119">
        <v>0</v>
      </c>
      <c r="O131" s="119">
        <v>0</v>
      </c>
      <c r="P131" s="119">
        <v>0</v>
      </c>
      <c r="Q131" s="119">
        <v>0</v>
      </c>
      <c r="R131" s="119">
        <v>0</v>
      </c>
      <c r="S131" s="119">
        <v>0</v>
      </c>
    </row>
    <row r="132" spans="1:19" x14ac:dyDescent="0.3">
      <c r="A132" s="97">
        <v>9018</v>
      </c>
      <c r="B132" s="119" t="s">
        <v>552</v>
      </c>
      <c r="C132" s="119" t="s">
        <v>553</v>
      </c>
      <c r="D132" s="119">
        <v>497798</v>
      </c>
      <c r="E132" s="119">
        <v>2095581</v>
      </c>
      <c r="F132" s="119">
        <v>3918927</v>
      </c>
      <c r="G132" s="119">
        <v>954836</v>
      </c>
      <c r="H132" s="119">
        <v>612842</v>
      </c>
      <c r="I132" s="119">
        <v>1012505</v>
      </c>
      <c r="J132" s="119">
        <v>3685962</v>
      </c>
      <c r="K132" s="119">
        <v>1155589</v>
      </c>
      <c r="L132" s="119">
        <v>893404</v>
      </c>
      <c r="M132" s="119">
        <v>2599758</v>
      </c>
      <c r="N132" s="119">
        <v>0</v>
      </c>
      <c r="O132" s="119">
        <v>3841945</v>
      </c>
      <c r="P132" s="119">
        <v>2457526</v>
      </c>
      <c r="Q132" s="119">
        <v>11255152</v>
      </c>
      <c r="R132" s="119">
        <v>1047107</v>
      </c>
      <c r="S132" s="119">
        <v>1606216</v>
      </c>
    </row>
    <row r="133" spans="1:19" x14ac:dyDescent="0.3">
      <c r="A133" s="97">
        <v>9019</v>
      </c>
      <c r="B133" s="119" t="s">
        <v>554</v>
      </c>
      <c r="C133" s="119" t="s">
        <v>555</v>
      </c>
      <c r="D133" s="119">
        <v>497798</v>
      </c>
      <c r="E133" s="119">
        <v>2095581</v>
      </c>
      <c r="F133" s="119">
        <v>3918927</v>
      </c>
      <c r="G133" s="119">
        <v>954836</v>
      </c>
      <c r="H133" s="119">
        <v>612842</v>
      </c>
      <c r="I133" s="119">
        <v>1012505</v>
      </c>
      <c r="J133" s="119">
        <v>3685962</v>
      </c>
      <c r="K133" s="119">
        <v>1155589</v>
      </c>
      <c r="L133" s="119">
        <v>893404</v>
      </c>
      <c r="M133" s="119">
        <v>2599758</v>
      </c>
      <c r="N133" s="119">
        <v>0</v>
      </c>
      <c r="O133" s="119">
        <v>3841945</v>
      </c>
      <c r="P133" s="119">
        <v>2457526</v>
      </c>
      <c r="Q133" s="119">
        <v>11255152</v>
      </c>
      <c r="R133" s="119">
        <v>1047107</v>
      </c>
      <c r="S133" s="119">
        <v>1606216</v>
      </c>
    </row>
    <row r="134" spans="1:19" x14ac:dyDescent="0.3">
      <c r="B134" s="119"/>
      <c r="C134" s="119"/>
      <c r="D134" s="119"/>
      <c r="E134" s="119"/>
      <c r="F134" s="119"/>
      <c r="G134" s="119"/>
      <c r="H134" s="119"/>
      <c r="I134" s="119"/>
      <c r="J134" s="119"/>
      <c r="K134" s="119"/>
      <c r="L134" s="119"/>
      <c r="M134" s="119"/>
      <c r="N134" s="119"/>
      <c r="O134" s="119"/>
      <c r="P134" s="119"/>
      <c r="Q134" s="119"/>
      <c r="R134" s="119"/>
      <c r="S134" s="119"/>
    </row>
    <row r="135" spans="1:19" x14ac:dyDescent="0.3">
      <c r="B135" s="119"/>
      <c r="C135" s="119"/>
      <c r="D135" s="119"/>
      <c r="E135" s="119"/>
      <c r="F135" s="119"/>
      <c r="G135" s="119"/>
      <c r="H135" s="119"/>
      <c r="I135" s="119"/>
      <c r="J135" s="119"/>
      <c r="K135" s="119"/>
      <c r="L135" s="119"/>
      <c r="M135" s="119"/>
      <c r="N135" s="119"/>
      <c r="O135" s="119"/>
      <c r="P135" s="119"/>
      <c r="Q135" s="119"/>
      <c r="R135" s="119"/>
      <c r="S135" s="119"/>
    </row>
    <row r="136" spans="1:19" x14ac:dyDescent="0.3">
      <c r="A136" s="97">
        <v>0</v>
      </c>
      <c r="B136" s="119" t="s">
        <v>559</v>
      </c>
      <c r="C136" s="119"/>
      <c r="D136" s="119">
        <f>D115</f>
        <v>38735405</v>
      </c>
      <c r="E136" s="119">
        <f t="shared" ref="E136:S136" si="0">E115</f>
        <v>61508872</v>
      </c>
      <c r="F136" s="119">
        <f t="shared" si="0"/>
        <v>137885006</v>
      </c>
      <c r="G136" s="119">
        <f t="shared" si="0"/>
        <v>92720291.700000003</v>
      </c>
      <c r="H136" s="119">
        <f t="shared" si="0"/>
        <v>40530532</v>
      </c>
      <c r="I136" s="119">
        <f t="shared" si="0"/>
        <v>50206779.700000003</v>
      </c>
      <c r="J136" s="119">
        <f t="shared" si="0"/>
        <v>131356283</v>
      </c>
      <c r="K136" s="119">
        <f t="shared" si="0"/>
        <v>64580100</v>
      </c>
      <c r="L136" s="119">
        <f t="shared" si="0"/>
        <v>61635320</v>
      </c>
      <c r="M136" s="119">
        <f t="shared" si="0"/>
        <v>49217741</v>
      </c>
      <c r="N136" s="119">
        <f t="shared" si="0"/>
        <v>551164</v>
      </c>
      <c r="O136" s="119">
        <f t="shared" si="0"/>
        <v>177206643</v>
      </c>
      <c r="P136" s="119">
        <f t="shared" si="0"/>
        <v>79465057</v>
      </c>
      <c r="Q136" s="119">
        <f t="shared" si="0"/>
        <v>224768869.09999999</v>
      </c>
      <c r="R136" s="119">
        <f t="shared" si="0"/>
        <v>54079534</v>
      </c>
      <c r="S136" s="119">
        <f t="shared" si="0"/>
        <v>113316663.3</v>
      </c>
    </row>
    <row r="137" spans="1:19" x14ac:dyDescent="0.3">
      <c r="C137" s="119"/>
      <c r="D137" s="119"/>
      <c r="E137" s="119"/>
      <c r="F137" s="119"/>
      <c r="G137" s="119"/>
      <c r="H137" s="119"/>
      <c r="I137" s="119"/>
      <c r="J137" s="119"/>
      <c r="K137" s="119"/>
      <c r="L137" s="119"/>
      <c r="M137" s="119"/>
      <c r="N137" s="119"/>
      <c r="O137" s="119"/>
      <c r="P137" s="119"/>
      <c r="Q137" s="119"/>
      <c r="R137" s="119"/>
      <c r="S137" s="119"/>
    </row>
    <row r="138" spans="1:19" x14ac:dyDescent="0.3">
      <c r="B138" s="119" t="s">
        <v>558</v>
      </c>
      <c r="C138" s="119"/>
      <c r="D138" s="119"/>
      <c r="E138" s="119"/>
      <c r="F138" s="119"/>
      <c r="G138" s="119"/>
      <c r="H138" s="119"/>
      <c r="I138" s="119"/>
      <c r="J138" s="119"/>
      <c r="K138" s="119"/>
      <c r="L138" s="119"/>
      <c r="M138" s="119"/>
      <c r="N138" s="119"/>
      <c r="O138" s="119"/>
      <c r="P138" s="119"/>
      <c r="Q138" s="119"/>
      <c r="R138" s="119"/>
      <c r="S138" s="119"/>
    </row>
    <row r="139" spans="1:19" x14ac:dyDescent="0.3">
      <c r="A139" s="373">
        <v>906</v>
      </c>
      <c r="B139" s="119"/>
      <c r="C139" s="119"/>
      <c r="D139" s="119">
        <f>D80</f>
        <v>1</v>
      </c>
      <c r="E139" s="119">
        <f t="shared" ref="E139:S139" si="1">E80</f>
        <v>1</v>
      </c>
      <c r="F139" s="119">
        <f t="shared" si="1"/>
        <v>1</v>
      </c>
      <c r="G139" s="119">
        <f t="shared" si="1"/>
        <v>1</v>
      </c>
      <c r="H139" s="119">
        <f t="shared" si="1"/>
        <v>1</v>
      </c>
      <c r="I139" s="119">
        <f t="shared" si="1"/>
        <v>2</v>
      </c>
      <c r="J139" s="119">
        <f t="shared" si="1"/>
        <v>1</v>
      </c>
      <c r="K139" s="119">
        <f t="shared" si="1"/>
        <v>1</v>
      </c>
      <c r="L139" s="119">
        <f t="shared" si="1"/>
        <v>1</v>
      </c>
      <c r="M139" s="119">
        <f t="shared" si="1"/>
        <v>1</v>
      </c>
      <c r="N139" s="119">
        <f t="shared" si="1"/>
        <v>0</v>
      </c>
      <c r="O139" s="119">
        <f t="shared" si="1"/>
        <v>1</v>
      </c>
      <c r="P139" s="119">
        <f t="shared" si="1"/>
        <v>1</v>
      </c>
      <c r="Q139" s="119">
        <f t="shared" si="1"/>
        <v>1</v>
      </c>
      <c r="R139" s="119">
        <f t="shared" si="1"/>
        <v>1</v>
      </c>
      <c r="S139" s="119">
        <f t="shared" si="1"/>
        <v>1</v>
      </c>
    </row>
    <row r="140" spans="1:19" x14ac:dyDescent="0.3">
      <c r="A140" s="373">
        <v>907</v>
      </c>
      <c r="B140" s="119"/>
      <c r="C140" s="119"/>
      <c r="D140" s="119">
        <f>D81</f>
        <v>2</v>
      </c>
      <c r="E140" s="119">
        <f t="shared" ref="E140:S140" si="2">E81</f>
        <v>2</v>
      </c>
      <c r="F140" s="119">
        <f t="shared" si="2"/>
        <v>2</v>
      </c>
      <c r="G140" s="119">
        <f t="shared" si="2"/>
        <v>2</v>
      </c>
      <c r="H140" s="119">
        <f t="shared" si="2"/>
        <v>2</v>
      </c>
      <c r="I140" s="119">
        <f t="shared" si="2"/>
        <v>2</v>
      </c>
      <c r="J140" s="119">
        <f t="shared" si="2"/>
        <v>2</v>
      </c>
      <c r="K140" s="119">
        <f t="shared" si="2"/>
        <v>2</v>
      </c>
      <c r="L140" s="119">
        <f t="shared" si="2"/>
        <v>2</v>
      </c>
      <c r="M140" s="119">
        <f t="shared" si="2"/>
        <v>2</v>
      </c>
      <c r="N140" s="119">
        <f t="shared" si="2"/>
        <v>0</v>
      </c>
      <c r="O140" s="119">
        <f t="shared" si="2"/>
        <v>2</v>
      </c>
      <c r="P140" s="119">
        <f t="shared" si="2"/>
        <v>2</v>
      </c>
      <c r="Q140" s="119">
        <f t="shared" si="2"/>
        <v>2</v>
      </c>
      <c r="R140" s="119">
        <f t="shared" si="2"/>
        <v>2</v>
      </c>
      <c r="S140" s="119">
        <f t="shared" si="2"/>
        <v>2</v>
      </c>
    </row>
    <row r="141" spans="1:19" x14ac:dyDescent="0.3">
      <c r="A141" s="373">
        <v>951</v>
      </c>
      <c r="B141" s="119"/>
      <c r="C141" s="119"/>
      <c r="D141" s="119">
        <f>D86</f>
        <v>2</v>
      </c>
      <c r="E141" s="119">
        <f t="shared" ref="E141:S141" si="3">E86</f>
        <v>2</v>
      </c>
      <c r="F141" s="119">
        <f t="shared" si="3"/>
        <v>2</v>
      </c>
      <c r="G141" s="119">
        <f t="shared" si="3"/>
        <v>2</v>
      </c>
      <c r="H141" s="119">
        <f t="shared" si="3"/>
        <v>2</v>
      </c>
      <c r="I141" s="119">
        <f t="shared" si="3"/>
        <v>2</v>
      </c>
      <c r="J141" s="119">
        <f t="shared" si="3"/>
        <v>2</v>
      </c>
      <c r="K141" s="119">
        <f t="shared" si="3"/>
        <v>2</v>
      </c>
      <c r="L141" s="119">
        <f t="shared" si="3"/>
        <v>2</v>
      </c>
      <c r="M141" s="119">
        <f t="shared" si="3"/>
        <v>2</v>
      </c>
      <c r="N141" s="119">
        <f t="shared" si="3"/>
        <v>0</v>
      </c>
      <c r="O141" s="119">
        <f t="shared" si="3"/>
        <v>2</v>
      </c>
      <c r="P141" s="119">
        <f t="shared" si="3"/>
        <v>2</v>
      </c>
      <c r="Q141" s="119">
        <f t="shared" si="3"/>
        <v>2</v>
      </c>
      <c r="R141" s="119">
        <f t="shared" si="3"/>
        <v>2</v>
      </c>
      <c r="S141" s="119">
        <f t="shared" si="3"/>
        <v>2</v>
      </c>
    </row>
    <row r="142" spans="1:19" x14ac:dyDescent="0.3">
      <c r="A142" s="373">
        <v>953</v>
      </c>
      <c r="B142" s="119"/>
      <c r="C142" s="119"/>
      <c r="D142" s="119">
        <f>D88</f>
        <v>2</v>
      </c>
      <c r="E142" s="119">
        <f t="shared" ref="E142:S142" si="4">E88</f>
        <v>2</v>
      </c>
      <c r="F142" s="119">
        <f t="shared" si="4"/>
        <v>2</v>
      </c>
      <c r="G142" s="119">
        <f t="shared" si="4"/>
        <v>2</v>
      </c>
      <c r="H142" s="119">
        <f t="shared" si="4"/>
        <v>2</v>
      </c>
      <c r="I142" s="119">
        <f t="shared" si="4"/>
        <v>2</v>
      </c>
      <c r="J142" s="119">
        <f t="shared" si="4"/>
        <v>2</v>
      </c>
      <c r="K142" s="119">
        <f t="shared" si="4"/>
        <v>2</v>
      </c>
      <c r="L142" s="119">
        <f t="shared" si="4"/>
        <v>2</v>
      </c>
      <c r="M142" s="119">
        <f t="shared" si="4"/>
        <v>2</v>
      </c>
      <c r="N142" s="119">
        <f t="shared" si="4"/>
        <v>0</v>
      </c>
      <c r="O142" s="119">
        <f t="shared" si="4"/>
        <v>2</v>
      </c>
      <c r="P142" s="119">
        <f t="shared" si="4"/>
        <v>2</v>
      </c>
      <c r="Q142" s="119">
        <f t="shared" si="4"/>
        <v>2</v>
      </c>
      <c r="R142" s="119">
        <f t="shared" si="4"/>
        <v>2</v>
      </c>
      <c r="S142" s="119">
        <f t="shared" si="4"/>
        <v>2</v>
      </c>
    </row>
    <row r="143" spans="1:19" x14ac:dyDescent="0.3">
      <c r="A143" s="373">
        <v>955</v>
      </c>
      <c r="B143" s="119"/>
      <c r="C143" s="119"/>
      <c r="D143" s="119">
        <f>D90</f>
        <v>0</v>
      </c>
      <c r="E143" s="119">
        <f t="shared" ref="E143:S143" si="5">E90</f>
        <v>0</v>
      </c>
      <c r="F143" s="119">
        <f t="shared" si="5"/>
        <v>0</v>
      </c>
      <c r="G143" s="119">
        <f t="shared" si="5"/>
        <v>2</v>
      </c>
      <c r="H143" s="119">
        <f t="shared" si="5"/>
        <v>0</v>
      </c>
      <c r="I143" s="119">
        <f t="shared" si="5"/>
        <v>0</v>
      </c>
      <c r="J143" s="119">
        <f t="shared" si="5"/>
        <v>0</v>
      </c>
      <c r="K143" s="119">
        <f t="shared" si="5"/>
        <v>0</v>
      </c>
      <c r="L143" s="119">
        <f t="shared" si="5"/>
        <v>0</v>
      </c>
      <c r="M143" s="119">
        <f t="shared" si="5"/>
        <v>0</v>
      </c>
      <c r="N143" s="119">
        <f t="shared" si="5"/>
        <v>0</v>
      </c>
      <c r="O143" s="119">
        <f t="shared" si="5"/>
        <v>0</v>
      </c>
      <c r="P143" s="119">
        <f t="shared" si="5"/>
        <v>0</v>
      </c>
      <c r="Q143" s="119">
        <f t="shared" si="5"/>
        <v>0</v>
      </c>
      <c r="R143" s="119">
        <f t="shared" si="5"/>
        <v>1</v>
      </c>
      <c r="S143" s="119">
        <f t="shared" si="5"/>
        <v>1</v>
      </c>
    </row>
    <row r="144" spans="1:19" x14ac:dyDescent="0.3">
      <c r="A144" s="373">
        <v>957</v>
      </c>
      <c r="B144" s="119"/>
      <c r="C144" s="119"/>
      <c r="D144" s="119">
        <f>D92</f>
        <v>0</v>
      </c>
      <c r="E144" s="119">
        <f t="shared" ref="E144:S144" si="6">E92</f>
        <v>0</v>
      </c>
      <c r="F144" s="119">
        <f t="shared" si="6"/>
        <v>0</v>
      </c>
      <c r="G144" s="119">
        <f t="shared" si="6"/>
        <v>1</v>
      </c>
      <c r="H144" s="119">
        <f t="shared" si="6"/>
        <v>0</v>
      </c>
      <c r="I144" s="119">
        <f t="shared" si="6"/>
        <v>0</v>
      </c>
      <c r="J144" s="119">
        <f t="shared" si="6"/>
        <v>0</v>
      </c>
      <c r="K144" s="119">
        <f t="shared" si="6"/>
        <v>0</v>
      </c>
      <c r="L144" s="119">
        <f t="shared" si="6"/>
        <v>1</v>
      </c>
      <c r="M144" s="119">
        <f t="shared" si="6"/>
        <v>0</v>
      </c>
      <c r="N144" s="119">
        <f t="shared" si="6"/>
        <v>0</v>
      </c>
      <c r="O144" s="119">
        <f t="shared" si="6"/>
        <v>0</v>
      </c>
      <c r="P144" s="119">
        <f t="shared" si="6"/>
        <v>0</v>
      </c>
      <c r="Q144" s="119">
        <f t="shared" si="6"/>
        <v>0</v>
      </c>
      <c r="R144" s="119">
        <f t="shared" si="6"/>
        <v>0</v>
      </c>
      <c r="S144" s="119">
        <f t="shared" si="6"/>
        <v>0</v>
      </c>
    </row>
    <row r="145" spans="1:19" x14ac:dyDescent="0.3">
      <c r="A145" s="373">
        <v>959</v>
      </c>
      <c r="B145" s="119"/>
      <c r="C145" s="119"/>
      <c r="D145" s="119">
        <f>D94</f>
        <v>3</v>
      </c>
      <c r="E145" s="119">
        <f t="shared" ref="E145:S145" si="7">E94</f>
        <v>3</v>
      </c>
      <c r="F145" s="119">
        <f t="shared" si="7"/>
        <v>3</v>
      </c>
      <c r="G145" s="119">
        <f t="shared" si="7"/>
        <v>3</v>
      </c>
      <c r="H145" s="119">
        <f t="shared" si="7"/>
        <v>2</v>
      </c>
      <c r="I145" s="119">
        <f t="shared" si="7"/>
        <v>2</v>
      </c>
      <c r="J145" s="119">
        <f t="shared" si="7"/>
        <v>3</v>
      </c>
      <c r="K145" s="119">
        <f t="shared" si="7"/>
        <v>2</v>
      </c>
      <c r="L145" s="119">
        <f t="shared" si="7"/>
        <v>2</v>
      </c>
      <c r="M145" s="119">
        <f t="shared" si="7"/>
        <v>2</v>
      </c>
      <c r="N145" s="119">
        <f t="shared" si="7"/>
        <v>0</v>
      </c>
      <c r="O145" s="119">
        <f t="shared" si="7"/>
        <v>2</v>
      </c>
      <c r="P145" s="119">
        <f t="shared" si="7"/>
        <v>3</v>
      </c>
      <c r="Q145" s="119">
        <f t="shared" si="7"/>
        <v>3</v>
      </c>
      <c r="R145" s="119">
        <f t="shared" si="7"/>
        <v>3</v>
      </c>
      <c r="S145" s="119">
        <f t="shared" si="7"/>
        <v>2</v>
      </c>
    </row>
    <row r="146" spans="1:19" x14ac:dyDescent="0.3">
      <c r="A146" s="97">
        <v>965</v>
      </c>
      <c r="B146" s="119"/>
      <c r="C146" s="119"/>
      <c r="D146" s="119"/>
      <c r="E146" s="119"/>
      <c r="F146" s="119"/>
      <c r="G146" s="119"/>
      <c r="H146" s="119"/>
      <c r="I146" s="119"/>
      <c r="J146" s="119"/>
      <c r="K146" s="119"/>
      <c r="L146" s="119"/>
      <c r="M146" s="119"/>
      <c r="N146" s="119"/>
      <c r="O146" s="119"/>
      <c r="P146" s="119"/>
      <c r="Q146" s="119"/>
      <c r="R146" s="119"/>
      <c r="S146" s="119"/>
    </row>
    <row r="147" spans="1:19" x14ac:dyDescent="0.3">
      <c r="A147" s="373">
        <v>973</v>
      </c>
      <c r="B147" s="119"/>
      <c r="C147" s="119"/>
      <c r="D147" s="119">
        <f>D100</f>
        <v>0</v>
      </c>
      <c r="E147" s="119">
        <f t="shared" ref="E147:S147" si="8">E100</f>
        <v>0</v>
      </c>
      <c r="F147" s="119">
        <f t="shared" si="8"/>
        <v>0</v>
      </c>
      <c r="G147" s="119">
        <f t="shared" si="8"/>
        <v>0</v>
      </c>
      <c r="H147" s="119">
        <f t="shared" si="8"/>
        <v>0</v>
      </c>
      <c r="I147" s="119">
        <f t="shared" si="8"/>
        <v>0</v>
      </c>
      <c r="J147" s="119">
        <f t="shared" si="8"/>
        <v>0</v>
      </c>
      <c r="K147" s="119">
        <f t="shared" si="8"/>
        <v>0</v>
      </c>
      <c r="L147" s="119">
        <f t="shared" si="8"/>
        <v>0</v>
      </c>
      <c r="M147" s="119">
        <f t="shared" si="8"/>
        <v>0</v>
      </c>
      <c r="N147" s="119">
        <f t="shared" si="8"/>
        <v>0</v>
      </c>
      <c r="O147" s="119">
        <f t="shared" si="8"/>
        <v>0</v>
      </c>
      <c r="P147" s="119">
        <f t="shared" si="8"/>
        <v>0</v>
      </c>
      <c r="Q147" s="119">
        <f t="shared" si="8"/>
        <v>0</v>
      </c>
      <c r="R147" s="119">
        <f t="shared" si="8"/>
        <v>0</v>
      </c>
      <c r="S147" s="119">
        <f t="shared" si="8"/>
        <v>0</v>
      </c>
    </row>
    <row r="148" spans="1:19" x14ac:dyDescent="0.3">
      <c r="A148" s="373">
        <v>974</v>
      </c>
      <c r="B148" s="119"/>
      <c r="C148" s="119"/>
      <c r="D148" s="119">
        <f t="shared" ref="D148:S149" si="9">D101</f>
        <v>3</v>
      </c>
      <c r="E148" s="119">
        <f t="shared" si="9"/>
        <v>3</v>
      </c>
      <c r="F148" s="119">
        <f t="shared" si="9"/>
        <v>3</v>
      </c>
      <c r="G148" s="119">
        <f t="shared" si="9"/>
        <v>3</v>
      </c>
      <c r="H148" s="119">
        <f t="shared" si="9"/>
        <v>2</v>
      </c>
      <c r="I148" s="119">
        <f t="shared" si="9"/>
        <v>2</v>
      </c>
      <c r="J148" s="119">
        <f t="shared" si="9"/>
        <v>3</v>
      </c>
      <c r="K148" s="119">
        <f t="shared" si="9"/>
        <v>2</v>
      </c>
      <c r="L148" s="119">
        <f t="shared" si="9"/>
        <v>2</v>
      </c>
      <c r="M148" s="119">
        <f t="shared" si="9"/>
        <v>2</v>
      </c>
      <c r="N148" s="119">
        <f t="shared" si="9"/>
        <v>0</v>
      </c>
      <c r="O148" s="119">
        <f t="shared" si="9"/>
        <v>2</v>
      </c>
      <c r="P148" s="119">
        <f t="shared" si="9"/>
        <v>3</v>
      </c>
      <c r="Q148" s="119">
        <f t="shared" si="9"/>
        <v>3</v>
      </c>
      <c r="R148" s="119">
        <f t="shared" si="9"/>
        <v>2</v>
      </c>
      <c r="S148" s="119">
        <f t="shared" si="9"/>
        <v>2</v>
      </c>
    </row>
    <row r="149" spans="1:19" x14ac:dyDescent="0.3">
      <c r="A149" s="373">
        <v>975</v>
      </c>
      <c r="B149" s="119"/>
      <c r="C149" s="119"/>
      <c r="D149" s="119">
        <f t="shared" si="9"/>
        <v>1</v>
      </c>
      <c r="E149" s="119">
        <f t="shared" si="9"/>
        <v>2</v>
      </c>
      <c r="F149" s="119">
        <f t="shared" si="9"/>
        <v>2</v>
      </c>
      <c r="G149" s="119">
        <f t="shared" si="9"/>
        <v>1</v>
      </c>
      <c r="H149" s="119">
        <f t="shared" si="9"/>
        <v>2</v>
      </c>
      <c r="I149" s="119">
        <f t="shared" si="9"/>
        <v>2</v>
      </c>
      <c r="J149" s="119">
        <f t="shared" si="9"/>
        <v>2</v>
      </c>
      <c r="K149" s="119">
        <f t="shared" si="9"/>
        <v>2</v>
      </c>
      <c r="L149" s="119">
        <f t="shared" si="9"/>
        <v>1</v>
      </c>
      <c r="M149" s="119">
        <f t="shared" si="9"/>
        <v>2</v>
      </c>
      <c r="N149" s="119">
        <f t="shared" si="9"/>
        <v>0</v>
      </c>
      <c r="O149" s="119">
        <f t="shared" si="9"/>
        <v>2</v>
      </c>
      <c r="P149" s="119">
        <f t="shared" si="9"/>
        <v>2</v>
      </c>
      <c r="Q149" s="119">
        <f t="shared" si="9"/>
        <v>1</v>
      </c>
      <c r="R149" s="119">
        <f t="shared" si="9"/>
        <v>1</v>
      </c>
      <c r="S149" s="119">
        <f t="shared" si="9"/>
        <v>1</v>
      </c>
    </row>
    <row r="150" spans="1:19" x14ac:dyDescent="0.3">
      <c r="A150" s="373">
        <v>976</v>
      </c>
      <c r="B150" s="119"/>
      <c r="C150" s="119"/>
      <c r="D150" s="119"/>
      <c r="E150" s="119"/>
      <c r="F150" s="119"/>
      <c r="G150" s="119"/>
      <c r="H150" s="119"/>
      <c r="I150" s="119"/>
      <c r="J150" s="119"/>
      <c r="K150" s="119"/>
      <c r="L150" s="119"/>
      <c r="M150" s="119"/>
      <c r="N150" s="119"/>
      <c r="O150" s="119"/>
      <c r="P150" s="119"/>
      <c r="Q150" s="119"/>
      <c r="R150" s="119"/>
      <c r="S150" s="119"/>
    </row>
    <row r="151" spans="1:19" x14ac:dyDescent="0.3">
      <c r="A151" s="373">
        <v>977</v>
      </c>
      <c r="B151" s="119"/>
      <c r="C151" s="119"/>
      <c r="D151" s="119"/>
      <c r="E151" s="119"/>
      <c r="F151" s="119"/>
      <c r="G151" s="119"/>
      <c r="H151" s="119"/>
      <c r="I151" s="119"/>
      <c r="J151" s="119"/>
      <c r="K151" s="119"/>
      <c r="L151" s="119"/>
      <c r="M151" s="119"/>
      <c r="N151" s="119"/>
      <c r="O151" s="119"/>
      <c r="P151" s="119"/>
      <c r="Q151" s="119"/>
      <c r="R151" s="119"/>
      <c r="S151" s="119"/>
    </row>
    <row r="152" spans="1:19" x14ac:dyDescent="0.3">
      <c r="A152" s="373">
        <v>978</v>
      </c>
      <c r="B152" s="119"/>
      <c r="C152" s="119"/>
      <c r="D152" s="119"/>
      <c r="E152" s="119"/>
      <c r="F152" s="119"/>
      <c r="G152" s="119"/>
      <c r="H152" s="119"/>
      <c r="I152" s="119"/>
      <c r="J152" s="119"/>
      <c r="K152" s="119"/>
      <c r="L152" s="119"/>
      <c r="M152" s="119"/>
      <c r="N152" s="119"/>
      <c r="O152" s="119"/>
      <c r="P152" s="119"/>
      <c r="Q152" s="119"/>
      <c r="R152" s="119"/>
      <c r="S152" s="119"/>
    </row>
    <row r="153" spans="1:19" x14ac:dyDescent="0.3">
      <c r="A153" s="373">
        <v>979</v>
      </c>
      <c r="B153" s="119"/>
      <c r="C153" s="119"/>
      <c r="D153" s="119">
        <f>D103</f>
        <v>2</v>
      </c>
      <c r="E153" s="119">
        <f t="shared" ref="E153:S153" si="10">E103</f>
        <v>1</v>
      </c>
      <c r="F153" s="119">
        <f t="shared" si="10"/>
        <v>1</v>
      </c>
      <c r="G153" s="119">
        <f t="shared" si="10"/>
        <v>2</v>
      </c>
      <c r="H153" s="119">
        <f t="shared" si="10"/>
        <v>1</v>
      </c>
      <c r="I153" s="119">
        <f t="shared" si="10"/>
        <v>2</v>
      </c>
      <c r="J153" s="119">
        <f t="shared" si="10"/>
        <v>1</v>
      </c>
      <c r="K153" s="119">
        <f t="shared" si="10"/>
        <v>1</v>
      </c>
      <c r="L153" s="119">
        <f t="shared" si="10"/>
        <v>1</v>
      </c>
      <c r="M153" s="119">
        <f t="shared" si="10"/>
        <v>2</v>
      </c>
      <c r="N153" s="119">
        <f t="shared" si="10"/>
        <v>0</v>
      </c>
      <c r="O153" s="119">
        <f t="shared" si="10"/>
        <v>1</v>
      </c>
      <c r="P153" s="119">
        <f t="shared" si="10"/>
        <v>1</v>
      </c>
      <c r="Q153" s="119">
        <f t="shared" si="10"/>
        <v>2</v>
      </c>
      <c r="R153" s="119">
        <f t="shared" si="10"/>
        <v>1</v>
      </c>
      <c r="S153" s="119">
        <f t="shared" si="10"/>
        <v>2</v>
      </c>
    </row>
    <row r="154" spans="1:19" x14ac:dyDescent="0.3">
      <c r="A154" s="97">
        <v>995</v>
      </c>
      <c r="B154" s="119"/>
      <c r="C154" s="119"/>
      <c r="D154" s="119">
        <f>D105</f>
        <v>0</v>
      </c>
      <c r="E154" s="119">
        <f t="shared" ref="E154:S154" si="11">E105</f>
        <v>0</v>
      </c>
      <c r="F154" s="119">
        <f t="shared" si="11"/>
        <v>0</v>
      </c>
      <c r="G154" s="119">
        <f t="shared" si="11"/>
        <v>0</v>
      </c>
      <c r="H154" s="119">
        <f t="shared" si="11"/>
        <v>0</v>
      </c>
      <c r="I154" s="119">
        <f t="shared" si="11"/>
        <v>0</v>
      </c>
      <c r="J154" s="119">
        <f t="shared" si="11"/>
        <v>0</v>
      </c>
      <c r="K154" s="119">
        <f t="shared" si="11"/>
        <v>0</v>
      </c>
      <c r="L154" s="119">
        <f t="shared" si="11"/>
        <v>0</v>
      </c>
      <c r="M154" s="119">
        <f t="shared" si="11"/>
        <v>0</v>
      </c>
      <c r="N154" s="119">
        <f t="shared" si="11"/>
        <v>0</v>
      </c>
      <c r="O154" s="119">
        <f t="shared" si="11"/>
        <v>0</v>
      </c>
      <c r="P154" s="119">
        <f t="shared" si="11"/>
        <v>0</v>
      </c>
      <c r="Q154" s="119">
        <f t="shared" si="11"/>
        <v>0</v>
      </c>
      <c r="R154" s="119">
        <f t="shared" si="11"/>
        <v>0</v>
      </c>
      <c r="S154" s="119">
        <f t="shared" si="11"/>
        <v>0</v>
      </c>
    </row>
    <row r="155" spans="1:19" x14ac:dyDescent="0.3">
      <c r="A155" s="97">
        <v>996</v>
      </c>
      <c r="B155" s="119"/>
      <c r="C155" s="119"/>
      <c r="D155" s="119">
        <f t="shared" ref="D155:S157" si="12">D106</f>
        <v>0</v>
      </c>
      <c r="E155" s="119">
        <f t="shared" si="12"/>
        <v>0</v>
      </c>
      <c r="F155" s="119">
        <f t="shared" si="12"/>
        <v>0</v>
      </c>
      <c r="G155" s="119">
        <f t="shared" si="12"/>
        <v>0</v>
      </c>
      <c r="H155" s="119">
        <f t="shared" si="12"/>
        <v>0</v>
      </c>
      <c r="I155" s="119">
        <f t="shared" si="12"/>
        <v>0</v>
      </c>
      <c r="J155" s="119">
        <f t="shared" si="12"/>
        <v>0</v>
      </c>
      <c r="K155" s="119">
        <f t="shared" si="12"/>
        <v>0</v>
      </c>
      <c r="L155" s="119">
        <f t="shared" si="12"/>
        <v>0</v>
      </c>
      <c r="M155" s="119">
        <f t="shared" si="12"/>
        <v>0</v>
      </c>
      <c r="N155" s="119">
        <f t="shared" si="12"/>
        <v>0</v>
      </c>
      <c r="O155" s="119">
        <f t="shared" si="12"/>
        <v>0</v>
      </c>
      <c r="P155" s="119">
        <f t="shared" si="12"/>
        <v>0</v>
      </c>
      <c r="Q155" s="119">
        <f t="shared" si="12"/>
        <v>0</v>
      </c>
      <c r="R155" s="119">
        <f t="shared" si="12"/>
        <v>0</v>
      </c>
      <c r="S155" s="119">
        <f t="shared" si="12"/>
        <v>0</v>
      </c>
    </row>
    <row r="156" spans="1:19" x14ac:dyDescent="0.3">
      <c r="A156" s="97">
        <v>998</v>
      </c>
      <c r="B156" s="119"/>
      <c r="C156" s="119"/>
      <c r="D156" s="119">
        <f t="shared" si="12"/>
        <v>55</v>
      </c>
      <c r="E156" s="119">
        <f t="shared" si="12"/>
        <v>55</v>
      </c>
      <c r="F156" s="119">
        <f t="shared" si="12"/>
        <v>55</v>
      </c>
      <c r="G156" s="119">
        <f t="shared" si="12"/>
        <v>55</v>
      </c>
      <c r="H156" s="119">
        <f t="shared" si="12"/>
        <v>55</v>
      </c>
      <c r="I156" s="119">
        <f t="shared" si="12"/>
        <v>55</v>
      </c>
      <c r="J156" s="119">
        <f t="shared" si="12"/>
        <v>55</v>
      </c>
      <c r="K156" s="119">
        <f t="shared" si="12"/>
        <v>55</v>
      </c>
      <c r="L156" s="119">
        <f t="shared" si="12"/>
        <v>55</v>
      </c>
      <c r="M156" s="119">
        <f t="shared" si="12"/>
        <v>55</v>
      </c>
      <c r="N156" s="119">
        <f t="shared" si="12"/>
        <v>55</v>
      </c>
      <c r="O156" s="119">
        <f t="shared" si="12"/>
        <v>55</v>
      </c>
      <c r="P156" s="119">
        <f t="shared" si="12"/>
        <v>55</v>
      </c>
      <c r="Q156" s="119">
        <f t="shared" si="12"/>
        <v>55</v>
      </c>
      <c r="R156" s="119">
        <f t="shared" si="12"/>
        <v>55</v>
      </c>
      <c r="S156" s="119">
        <f t="shared" si="12"/>
        <v>55</v>
      </c>
    </row>
    <row r="157" spans="1:19" x14ac:dyDescent="0.3">
      <c r="A157" s="97">
        <v>999</v>
      </c>
      <c r="B157" s="119"/>
      <c r="C157" s="119"/>
      <c r="D157" s="119">
        <f t="shared" si="12"/>
        <v>551100</v>
      </c>
      <c r="E157" s="119">
        <f t="shared" si="12"/>
        <v>551101</v>
      </c>
      <c r="F157" s="119">
        <f t="shared" si="12"/>
        <v>551102</v>
      </c>
      <c r="G157" s="119">
        <f t="shared" si="12"/>
        <v>551103</v>
      </c>
      <c r="H157" s="119">
        <f t="shared" si="12"/>
        <v>551113</v>
      </c>
      <c r="I157" s="119">
        <f t="shared" si="12"/>
        <v>551104</v>
      </c>
      <c r="J157" s="119">
        <f t="shared" si="12"/>
        <v>551105</v>
      </c>
      <c r="K157" s="119">
        <f t="shared" si="12"/>
        <v>551106</v>
      </c>
      <c r="L157" s="119">
        <f t="shared" si="12"/>
        <v>551107</v>
      </c>
      <c r="M157" s="119">
        <f t="shared" si="12"/>
        <v>551108</v>
      </c>
      <c r="N157" s="119">
        <f t="shared" si="12"/>
        <v>551109</v>
      </c>
      <c r="O157" s="119">
        <f t="shared" si="12"/>
        <v>551112</v>
      </c>
      <c r="P157" s="119">
        <f t="shared" si="12"/>
        <v>551115</v>
      </c>
      <c r="Q157" s="119">
        <f t="shared" si="12"/>
        <v>551116</v>
      </c>
      <c r="R157" s="119">
        <f t="shared" si="12"/>
        <v>551114</v>
      </c>
      <c r="S157" s="119">
        <f t="shared" si="12"/>
        <v>551117</v>
      </c>
    </row>
    <row r="158" spans="1:19" x14ac:dyDescent="0.3">
      <c r="A158" s="374">
        <v>554</v>
      </c>
      <c r="B158" s="119"/>
      <c r="C158" s="119"/>
      <c r="D158" s="372">
        <f>D53</f>
        <v>3745779</v>
      </c>
      <c r="E158" s="372">
        <f t="shared" ref="E158:S158" si="13">E53</f>
        <v>7730640</v>
      </c>
      <c r="F158" s="372">
        <f t="shared" si="13"/>
        <v>15188981</v>
      </c>
      <c r="G158" s="372">
        <f t="shared" si="13"/>
        <v>10119866</v>
      </c>
      <c r="H158" s="372">
        <f t="shared" si="13"/>
        <v>3959085</v>
      </c>
      <c r="I158" s="372">
        <f t="shared" si="13"/>
        <v>4295168</v>
      </c>
      <c r="J158" s="372">
        <f t="shared" si="13"/>
        <v>8030301</v>
      </c>
      <c r="K158" s="372">
        <f t="shared" si="13"/>
        <v>5595524</v>
      </c>
      <c r="L158" s="372">
        <f t="shared" si="13"/>
        <v>5529393</v>
      </c>
      <c r="M158" s="372">
        <f t="shared" si="13"/>
        <v>5888631</v>
      </c>
      <c r="N158" s="372">
        <f t="shared" si="13"/>
        <v>0</v>
      </c>
      <c r="O158" s="372">
        <f t="shared" si="13"/>
        <v>23730794</v>
      </c>
      <c r="P158" s="372">
        <f t="shared" si="13"/>
        <v>7976349</v>
      </c>
      <c r="Q158" s="372">
        <f t="shared" si="13"/>
        <v>9809972</v>
      </c>
      <c r="R158" s="372">
        <f t="shared" si="13"/>
        <v>7863195</v>
      </c>
      <c r="S158" s="372">
        <f t="shared" si="13"/>
        <v>12913086</v>
      </c>
    </row>
    <row r="159" spans="1:19" x14ac:dyDescent="0.3">
      <c r="A159" s="374">
        <v>555</v>
      </c>
      <c r="B159" s="119"/>
      <c r="C159" s="119"/>
      <c r="D159" s="372">
        <f t="shared" ref="D159:S161" si="14">D54</f>
        <v>2751234</v>
      </c>
      <c r="E159" s="372">
        <f t="shared" si="14"/>
        <v>6569788</v>
      </c>
      <c r="F159" s="372">
        <f t="shared" si="14"/>
        <v>9613013</v>
      </c>
      <c r="G159" s="372">
        <f t="shared" si="14"/>
        <v>7517511</v>
      </c>
      <c r="H159" s="372">
        <f t="shared" si="14"/>
        <v>2867075</v>
      </c>
      <c r="I159" s="372">
        <f t="shared" si="14"/>
        <v>2911973</v>
      </c>
      <c r="J159" s="372">
        <f t="shared" si="14"/>
        <v>3646446</v>
      </c>
      <c r="K159" s="372">
        <f t="shared" si="14"/>
        <v>4855465</v>
      </c>
      <c r="L159" s="372">
        <f t="shared" si="14"/>
        <v>3974491</v>
      </c>
      <c r="M159" s="372">
        <f t="shared" si="14"/>
        <v>5134174</v>
      </c>
      <c r="N159" s="372">
        <f t="shared" si="14"/>
        <v>0</v>
      </c>
      <c r="O159" s="372">
        <f t="shared" si="14"/>
        <v>10501907</v>
      </c>
      <c r="P159" s="372">
        <f t="shared" si="14"/>
        <v>4968396</v>
      </c>
      <c r="Q159" s="372">
        <f t="shared" si="14"/>
        <v>6978131</v>
      </c>
      <c r="R159" s="372">
        <f t="shared" si="14"/>
        <v>6625693</v>
      </c>
      <c r="S159" s="372">
        <f t="shared" si="14"/>
        <v>10879725</v>
      </c>
    </row>
    <row r="160" spans="1:19" x14ac:dyDescent="0.3">
      <c r="A160" s="374">
        <v>556</v>
      </c>
      <c r="B160" s="119"/>
      <c r="C160" s="119"/>
      <c r="D160" s="372">
        <f t="shared" si="14"/>
        <v>1361178</v>
      </c>
      <c r="E160" s="372">
        <f t="shared" si="14"/>
        <v>2562381</v>
      </c>
      <c r="F160" s="372">
        <f t="shared" si="14"/>
        <v>6415118</v>
      </c>
      <c r="G160" s="372">
        <f t="shared" si="14"/>
        <v>1347572</v>
      </c>
      <c r="H160" s="372">
        <f t="shared" si="14"/>
        <v>1345609</v>
      </c>
      <c r="I160" s="372">
        <f t="shared" si="14"/>
        <v>1517006</v>
      </c>
      <c r="J160" s="372">
        <f t="shared" si="14"/>
        <v>2001946</v>
      </c>
      <c r="K160" s="372">
        <f t="shared" si="14"/>
        <v>2148797</v>
      </c>
      <c r="L160" s="372">
        <f t="shared" si="14"/>
        <v>1697677</v>
      </c>
      <c r="M160" s="372">
        <f t="shared" si="14"/>
        <v>1660769</v>
      </c>
      <c r="N160" s="372">
        <f t="shared" si="14"/>
        <v>0</v>
      </c>
      <c r="O160" s="372">
        <f t="shared" si="14"/>
        <v>6697891</v>
      </c>
      <c r="P160" s="372">
        <f t="shared" si="14"/>
        <v>1966385</v>
      </c>
      <c r="Q160" s="372">
        <f t="shared" si="14"/>
        <v>5713651</v>
      </c>
      <c r="R160" s="372">
        <f t="shared" si="14"/>
        <v>1987934</v>
      </c>
      <c r="S160" s="372">
        <f t="shared" si="14"/>
        <v>1838389</v>
      </c>
    </row>
    <row r="161" spans="1:19" x14ac:dyDescent="0.3">
      <c r="A161" s="374">
        <v>557</v>
      </c>
      <c r="B161" s="119"/>
      <c r="C161" s="119"/>
      <c r="D161" s="372">
        <f t="shared" si="14"/>
        <v>1086234</v>
      </c>
      <c r="E161" s="372">
        <f t="shared" si="14"/>
        <v>2138602</v>
      </c>
      <c r="F161" s="372">
        <f t="shared" si="14"/>
        <v>3946212</v>
      </c>
      <c r="G161" s="372">
        <f t="shared" si="14"/>
        <v>1224542</v>
      </c>
      <c r="H161" s="372">
        <f t="shared" si="14"/>
        <v>1125213</v>
      </c>
      <c r="I161" s="372">
        <f t="shared" si="14"/>
        <v>1153922</v>
      </c>
      <c r="J161" s="372">
        <f t="shared" si="14"/>
        <v>1667694</v>
      </c>
      <c r="K161" s="372">
        <f t="shared" si="14"/>
        <v>1944300</v>
      </c>
      <c r="L161" s="372">
        <f t="shared" si="14"/>
        <v>1500325</v>
      </c>
      <c r="M161" s="372">
        <f t="shared" si="14"/>
        <v>1253598</v>
      </c>
      <c r="N161" s="372">
        <f t="shared" si="14"/>
        <v>0</v>
      </c>
      <c r="O161" s="372">
        <f t="shared" si="14"/>
        <v>6018402</v>
      </c>
      <c r="P161" s="372">
        <f t="shared" si="14"/>
        <v>1330178</v>
      </c>
      <c r="Q161" s="372">
        <f t="shared" si="14"/>
        <v>5196019</v>
      </c>
      <c r="R161" s="372">
        <f t="shared" si="14"/>
        <v>1841669</v>
      </c>
      <c r="S161" s="372">
        <f t="shared" si="14"/>
        <v>1353761</v>
      </c>
    </row>
    <row r="162" spans="1:19" x14ac:dyDescent="0.3">
      <c r="A162" s="374">
        <v>606</v>
      </c>
      <c r="B162" s="119"/>
      <c r="C162" s="119"/>
      <c r="D162" s="372">
        <f>D63</f>
        <v>1</v>
      </c>
      <c r="E162" s="372">
        <f t="shared" ref="E162:S162" si="15">E63</f>
        <v>1</v>
      </c>
      <c r="F162" s="372">
        <f t="shared" si="15"/>
        <v>1</v>
      </c>
      <c r="G162" s="372">
        <f t="shared" si="15"/>
        <v>1</v>
      </c>
      <c r="H162" s="372">
        <f t="shared" si="15"/>
        <v>1</v>
      </c>
      <c r="I162" s="372">
        <f t="shared" si="15"/>
        <v>1</v>
      </c>
      <c r="J162" s="372">
        <f t="shared" si="15"/>
        <v>1</v>
      </c>
      <c r="K162" s="372">
        <f t="shared" si="15"/>
        <v>1</v>
      </c>
      <c r="L162" s="372">
        <f t="shared" si="15"/>
        <v>1</v>
      </c>
      <c r="M162" s="372">
        <f t="shared" si="15"/>
        <v>1</v>
      </c>
      <c r="N162" s="372">
        <f t="shared" si="15"/>
        <v>0</v>
      </c>
      <c r="O162" s="372">
        <f t="shared" si="15"/>
        <v>1</v>
      </c>
      <c r="P162" s="372">
        <f t="shared" si="15"/>
        <v>1</v>
      </c>
      <c r="Q162" s="372">
        <f t="shared" si="15"/>
        <v>1</v>
      </c>
      <c r="R162" s="372">
        <f t="shared" si="15"/>
        <v>1</v>
      </c>
      <c r="S162" s="372">
        <f t="shared" si="15"/>
        <v>1</v>
      </c>
    </row>
    <row r="163" spans="1:19" x14ac:dyDescent="0.3">
      <c r="A163" s="374">
        <v>662</v>
      </c>
      <c r="B163" s="119" t="s">
        <v>290</v>
      </c>
      <c r="C163" s="119"/>
      <c r="D163" s="372">
        <f>D78</f>
        <v>0</v>
      </c>
      <c r="E163" s="372">
        <f t="shared" ref="E163:S163" si="16">E78</f>
        <v>0</v>
      </c>
      <c r="F163" s="372">
        <f t="shared" si="16"/>
        <v>0</v>
      </c>
      <c r="G163" s="372">
        <f t="shared" si="16"/>
        <v>0</v>
      </c>
      <c r="H163" s="372">
        <f t="shared" si="16"/>
        <v>0</v>
      </c>
      <c r="I163" s="372">
        <f t="shared" si="16"/>
        <v>0</v>
      </c>
      <c r="J163" s="372">
        <f t="shared" si="16"/>
        <v>0</v>
      </c>
      <c r="K163" s="372">
        <f t="shared" si="16"/>
        <v>0</v>
      </c>
      <c r="L163" s="372">
        <f t="shared" si="16"/>
        <v>0</v>
      </c>
      <c r="M163" s="372">
        <f t="shared" si="16"/>
        <v>0</v>
      </c>
      <c r="N163" s="372">
        <f t="shared" si="16"/>
        <v>0</v>
      </c>
      <c r="O163" s="372">
        <f t="shared" si="16"/>
        <v>0</v>
      </c>
      <c r="P163" s="372">
        <f t="shared" si="16"/>
        <v>0</v>
      </c>
      <c r="Q163" s="372">
        <f t="shared" si="16"/>
        <v>0</v>
      </c>
      <c r="R163" s="372">
        <f t="shared" si="16"/>
        <v>0</v>
      </c>
      <c r="S163" s="372">
        <f t="shared" si="16"/>
        <v>0</v>
      </c>
    </row>
    <row r="164" spans="1:19" x14ac:dyDescent="0.3">
      <c r="A164" s="374">
        <v>663</v>
      </c>
      <c r="B164" s="119" t="s">
        <v>493</v>
      </c>
      <c r="C164" s="119"/>
      <c r="D164" s="372">
        <f>D79</f>
        <v>286926</v>
      </c>
      <c r="E164" s="372">
        <f t="shared" ref="E164:S164" si="17">E79</f>
        <v>703661</v>
      </c>
      <c r="F164" s="372">
        <f t="shared" si="17"/>
        <v>1664736</v>
      </c>
      <c r="G164" s="372">
        <f t="shared" si="17"/>
        <v>124042</v>
      </c>
      <c r="H164" s="372">
        <f t="shared" si="17"/>
        <v>418036</v>
      </c>
      <c r="I164" s="372">
        <f t="shared" si="17"/>
        <v>802982</v>
      </c>
      <c r="J164" s="372">
        <f t="shared" si="17"/>
        <v>450189</v>
      </c>
      <c r="K164" s="372">
        <f t="shared" si="17"/>
        <v>51298</v>
      </c>
      <c r="L164" s="372">
        <f t="shared" si="17"/>
        <v>18060</v>
      </c>
      <c r="M164" s="372">
        <f t="shared" si="17"/>
        <v>1187536</v>
      </c>
      <c r="N164" s="372">
        <f t="shared" si="17"/>
        <v>0</v>
      </c>
      <c r="O164" s="372">
        <f t="shared" si="17"/>
        <v>1927195</v>
      </c>
      <c r="P164" s="372">
        <f t="shared" si="17"/>
        <v>1577265</v>
      </c>
      <c r="Q164" s="372">
        <f t="shared" si="17"/>
        <v>1626709</v>
      </c>
      <c r="R164" s="372">
        <f t="shared" si="17"/>
        <v>676802</v>
      </c>
      <c r="S164" s="372">
        <f t="shared" si="17"/>
        <v>701367</v>
      </c>
    </row>
    <row r="165" spans="1:19" x14ac:dyDescent="0.3">
      <c r="A165" s="375">
        <v>336</v>
      </c>
      <c r="B165" s="119"/>
      <c r="C165" s="119"/>
      <c r="D165" s="376">
        <f>D25</f>
        <v>497798</v>
      </c>
      <c r="E165" s="376">
        <f t="shared" ref="E165:S165" si="18">E25</f>
        <v>2095581</v>
      </c>
      <c r="F165" s="376">
        <f t="shared" si="18"/>
        <v>3918927</v>
      </c>
      <c r="G165" s="376">
        <f t="shared" si="18"/>
        <v>954836</v>
      </c>
      <c r="H165" s="376">
        <f t="shared" si="18"/>
        <v>612842</v>
      </c>
      <c r="I165" s="376">
        <f t="shared" si="18"/>
        <v>1012505</v>
      </c>
      <c r="J165" s="376">
        <f t="shared" si="18"/>
        <v>3685962</v>
      </c>
      <c r="K165" s="376">
        <f t="shared" si="18"/>
        <v>1155589</v>
      </c>
      <c r="L165" s="376">
        <f t="shared" si="18"/>
        <v>893404</v>
      </c>
      <c r="M165" s="376">
        <f t="shared" si="18"/>
        <v>2599758</v>
      </c>
      <c r="N165" s="376">
        <f t="shared" si="18"/>
        <v>0</v>
      </c>
      <c r="O165" s="376">
        <f t="shared" si="18"/>
        <v>3841945</v>
      </c>
      <c r="P165" s="376">
        <f t="shared" si="18"/>
        <v>2457526</v>
      </c>
      <c r="Q165" s="376">
        <f t="shared" si="18"/>
        <v>11255152</v>
      </c>
      <c r="R165" s="376">
        <f t="shared" si="18"/>
        <v>1047107</v>
      </c>
      <c r="S165" s="376">
        <f t="shared" si="18"/>
        <v>1606216</v>
      </c>
    </row>
    <row r="166" spans="1:19" x14ac:dyDescent="0.3">
      <c r="A166" s="375">
        <v>44</v>
      </c>
      <c r="B166" s="119"/>
      <c r="C166" s="119"/>
      <c r="D166" s="376"/>
      <c r="E166" s="376"/>
      <c r="F166" s="376"/>
      <c r="G166" s="376"/>
      <c r="H166" s="376"/>
      <c r="I166" s="376"/>
      <c r="J166" s="376"/>
      <c r="K166" s="376"/>
      <c r="L166" s="376"/>
      <c r="M166" s="376"/>
      <c r="N166" s="376"/>
      <c r="O166" s="376"/>
      <c r="P166" s="376"/>
      <c r="Q166" s="376"/>
      <c r="R166" s="376"/>
      <c r="S166" s="376"/>
    </row>
    <row r="167" spans="1:19" x14ac:dyDescent="0.3">
      <c r="A167" s="375">
        <v>45</v>
      </c>
      <c r="B167" s="119"/>
      <c r="C167" s="119"/>
      <c r="D167" s="376"/>
      <c r="E167" s="376"/>
      <c r="F167" s="376"/>
      <c r="G167" s="376"/>
      <c r="H167" s="376"/>
      <c r="I167" s="376"/>
      <c r="J167" s="376"/>
      <c r="K167" s="376"/>
      <c r="L167" s="376"/>
      <c r="M167" s="376"/>
      <c r="N167" s="376"/>
      <c r="O167" s="376"/>
      <c r="P167" s="376"/>
      <c r="Q167" s="376"/>
      <c r="R167" s="376"/>
      <c r="S167" s="376"/>
    </row>
    <row r="168" spans="1:19" x14ac:dyDescent="0.3">
      <c r="A168" s="375">
        <v>47</v>
      </c>
      <c r="B168" s="119"/>
      <c r="C168" s="119"/>
      <c r="D168" s="376"/>
      <c r="E168" s="376"/>
      <c r="F168" s="376"/>
      <c r="G168" s="376"/>
      <c r="H168" s="376"/>
      <c r="I168" s="376"/>
      <c r="J168" s="376"/>
      <c r="K168" s="376"/>
      <c r="L168" s="376"/>
      <c r="M168" s="376"/>
      <c r="N168" s="376"/>
      <c r="O168" s="376"/>
      <c r="P168" s="376"/>
      <c r="Q168" s="376"/>
      <c r="R168" s="376"/>
      <c r="S168" s="376"/>
    </row>
    <row r="169" spans="1:19" x14ac:dyDescent="0.3">
      <c r="A169" s="375">
        <v>48</v>
      </c>
      <c r="B169" s="119"/>
      <c r="C169" s="119"/>
      <c r="D169" s="376"/>
      <c r="E169" s="376"/>
      <c r="F169" s="376"/>
      <c r="G169" s="376"/>
      <c r="H169" s="376"/>
      <c r="I169" s="376"/>
      <c r="J169" s="376"/>
      <c r="K169" s="376"/>
      <c r="L169" s="376"/>
      <c r="M169" s="376"/>
      <c r="N169" s="376"/>
      <c r="O169" s="376"/>
      <c r="P169" s="376"/>
      <c r="Q169" s="376"/>
      <c r="R169" s="376"/>
      <c r="S169" s="376"/>
    </row>
    <row r="170" spans="1:19" x14ac:dyDescent="0.3">
      <c r="A170" s="379">
        <v>385</v>
      </c>
      <c r="B170" s="119"/>
      <c r="C170" s="119"/>
      <c r="D170" s="380">
        <f>D32</f>
        <v>3631541</v>
      </c>
      <c r="E170" s="380">
        <f t="shared" ref="E170:S170" si="19">E32</f>
        <v>3812496</v>
      </c>
      <c r="F170" s="380">
        <f t="shared" si="19"/>
        <v>8532772</v>
      </c>
      <c r="G170" s="380">
        <f t="shared" si="19"/>
        <v>3566790</v>
      </c>
      <c r="H170" s="380">
        <f t="shared" si="19"/>
        <v>3985729</v>
      </c>
      <c r="I170" s="380">
        <f t="shared" si="19"/>
        <v>4919207</v>
      </c>
      <c r="J170" s="380">
        <f t="shared" si="19"/>
        <v>10306204</v>
      </c>
      <c r="K170" s="380">
        <f t="shared" si="19"/>
        <v>3179352</v>
      </c>
      <c r="L170" s="380">
        <f t="shared" si="19"/>
        <v>2696616</v>
      </c>
      <c r="M170" s="380">
        <f t="shared" si="19"/>
        <v>3889790</v>
      </c>
      <c r="N170" s="380">
        <f t="shared" si="19"/>
        <v>0</v>
      </c>
      <c r="O170" s="380">
        <f t="shared" si="19"/>
        <v>14540244</v>
      </c>
      <c r="P170" s="380">
        <f t="shared" si="19"/>
        <v>7107115</v>
      </c>
      <c r="Q170" s="380">
        <f t="shared" si="19"/>
        <v>14725426</v>
      </c>
      <c r="R170" s="380">
        <f t="shared" si="19"/>
        <v>3166280</v>
      </c>
      <c r="S170" s="380">
        <f t="shared" si="19"/>
        <v>9074422</v>
      </c>
    </row>
    <row r="171" spans="1:19" x14ac:dyDescent="0.3">
      <c r="A171" s="379">
        <v>626</v>
      </c>
      <c r="B171" s="119"/>
      <c r="C171" s="119"/>
      <c r="D171" s="380">
        <f>D65</f>
        <v>497798</v>
      </c>
      <c r="E171" s="380">
        <f t="shared" ref="E171:S171" si="20">E65</f>
        <v>2095581</v>
      </c>
      <c r="F171" s="380">
        <f t="shared" si="20"/>
        <v>4205840</v>
      </c>
      <c r="G171" s="380">
        <f t="shared" si="20"/>
        <v>970136</v>
      </c>
      <c r="H171" s="380">
        <f t="shared" si="20"/>
        <v>652033</v>
      </c>
      <c r="I171" s="380">
        <f t="shared" si="20"/>
        <v>1061714</v>
      </c>
      <c r="J171" s="380">
        <f t="shared" si="20"/>
        <v>3811284</v>
      </c>
      <c r="K171" s="380">
        <f t="shared" si="20"/>
        <v>1155589</v>
      </c>
      <c r="L171" s="380">
        <f t="shared" si="20"/>
        <v>893404</v>
      </c>
      <c r="M171" s="380">
        <f t="shared" si="20"/>
        <v>2599758</v>
      </c>
      <c r="N171" s="380">
        <f t="shared" si="20"/>
        <v>0</v>
      </c>
      <c r="O171" s="380">
        <f t="shared" si="20"/>
        <v>3881649</v>
      </c>
      <c r="P171" s="380">
        <f t="shared" si="20"/>
        <v>2457526</v>
      </c>
      <c r="Q171" s="380">
        <f t="shared" si="20"/>
        <v>11255152</v>
      </c>
      <c r="R171" s="380">
        <f t="shared" si="20"/>
        <v>1047107</v>
      </c>
      <c r="S171" s="380">
        <f t="shared" si="20"/>
        <v>1915539</v>
      </c>
    </row>
    <row r="172" spans="1:19" x14ac:dyDescent="0.3">
      <c r="A172" s="379">
        <v>338</v>
      </c>
      <c r="B172" s="119"/>
      <c r="C172" s="119"/>
      <c r="D172" s="380">
        <f>D26</f>
        <v>1347163</v>
      </c>
      <c r="E172" s="380">
        <f t="shared" ref="E172:S172" si="21">E26</f>
        <v>3171960</v>
      </c>
      <c r="F172" s="380">
        <f t="shared" si="21"/>
        <v>8326320</v>
      </c>
      <c r="G172" s="380">
        <f t="shared" si="21"/>
        <v>1746524</v>
      </c>
      <c r="H172" s="380">
        <f t="shared" si="21"/>
        <v>2230916</v>
      </c>
      <c r="I172" s="380">
        <f t="shared" si="21"/>
        <v>3449821</v>
      </c>
      <c r="J172" s="380">
        <f t="shared" si="21"/>
        <v>6179298</v>
      </c>
      <c r="K172" s="380">
        <f t="shared" si="21"/>
        <v>2382605</v>
      </c>
      <c r="L172" s="380">
        <f t="shared" si="21"/>
        <v>2000531</v>
      </c>
      <c r="M172" s="380">
        <f t="shared" si="21"/>
        <v>3511346</v>
      </c>
      <c r="N172" s="380">
        <f t="shared" si="21"/>
        <v>0</v>
      </c>
      <c r="O172" s="380">
        <f t="shared" si="21"/>
        <v>7590648</v>
      </c>
      <c r="P172" s="380">
        <f t="shared" si="21"/>
        <v>3007336</v>
      </c>
      <c r="Q172" s="380">
        <f t="shared" si="21"/>
        <v>15004790</v>
      </c>
      <c r="R172" s="380">
        <f t="shared" si="21"/>
        <v>2006519</v>
      </c>
      <c r="S172" s="380">
        <f t="shared" si="21"/>
        <v>6796724</v>
      </c>
    </row>
    <row r="173" spans="1:19" x14ac:dyDescent="0.3">
      <c r="A173" s="382">
        <v>620</v>
      </c>
      <c r="B173" s="119"/>
      <c r="C173" s="119"/>
      <c r="D173" s="383"/>
      <c r="E173" s="383"/>
      <c r="F173" s="383"/>
      <c r="G173" s="383"/>
      <c r="H173" s="383"/>
      <c r="I173" s="383"/>
      <c r="J173" s="383"/>
      <c r="K173" s="383"/>
      <c r="L173" s="383"/>
      <c r="M173" s="383"/>
      <c r="N173" s="383"/>
      <c r="O173" s="383"/>
      <c r="P173" s="383"/>
      <c r="Q173" s="383"/>
      <c r="R173" s="383"/>
      <c r="S173" s="383"/>
    </row>
    <row r="174" spans="1:19" x14ac:dyDescent="0.3">
      <c r="A174" s="97">
        <v>545</v>
      </c>
      <c r="B174" s="119"/>
      <c r="C174" s="119"/>
      <c r="D174" s="383"/>
      <c r="E174" s="383"/>
      <c r="F174" s="383"/>
      <c r="G174" s="383"/>
      <c r="H174" s="383"/>
      <c r="I174" s="383"/>
      <c r="J174" s="383"/>
      <c r="K174" s="383"/>
      <c r="L174" s="383"/>
      <c r="M174" s="383"/>
      <c r="N174" s="383"/>
      <c r="O174" s="383"/>
      <c r="P174" s="383"/>
      <c r="Q174" s="383"/>
      <c r="R174" s="383"/>
      <c r="S174" s="383"/>
    </row>
    <row r="175" spans="1:19" x14ac:dyDescent="0.3">
      <c r="A175" s="382">
        <v>624</v>
      </c>
      <c r="B175" s="119"/>
      <c r="C175" s="119"/>
      <c r="D175" s="383"/>
      <c r="E175" s="383"/>
      <c r="F175" s="383"/>
      <c r="G175" s="383"/>
      <c r="H175" s="383"/>
      <c r="I175" s="383"/>
      <c r="J175" s="383"/>
      <c r="K175" s="383"/>
      <c r="L175" s="383"/>
      <c r="M175" s="383"/>
      <c r="N175" s="383"/>
      <c r="O175" s="383"/>
      <c r="P175" s="383"/>
      <c r="Q175" s="383"/>
      <c r="R175" s="383"/>
      <c r="S175" s="383"/>
    </row>
    <row r="176" spans="1:19" x14ac:dyDescent="0.3">
      <c r="A176" s="382">
        <v>577</v>
      </c>
      <c r="B176" s="119"/>
      <c r="C176" s="119"/>
      <c r="D176" s="383">
        <f>D59</f>
        <v>2</v>
      </c>
      <c r="E176" s="383">
        <f t="shared" ref="E176:S176" si="22">E59</f>
        <v>2</v>
      </c>
      <c r="F176" s="383">
        <f t="shared" si="22"/>
        <v>2</v>
      </c>
      <c r="G176" s="383">
        <f t="shared" si="22"/>
        <v>2</v>
      </c>
      <c r="H176" s="383">
        <f t="shared" si="22"/>
        <v>2</v>
      </c>
      <c r="I176" s="383">
        <f t="shared" si="22"/>
        <v>1</v>
      </c>
      <c r="J176" s="383">
        <f t="shared" si="22"/>
        <v>2</v>
      </c>
      <c r="K176" s="383">
        <f t="shared" si="22"/>
        <v>2</v>
      </c>
      <c r="L176" s="383">
        <f t="shared" si="22"/>
        <v>2</v>
      </c>
      <c r="M176" s="383">
        <f t="shared" si="22"/>
        <v>2</v>
      </c>
      <c r="N176" s="383">
        <f t="shared" si="22"/>
        <v>0</v>
      </c>
      <c r="O176" s="383">
        <f t="shared" si="22"/>
        <v>2</v>
      </c>
      <c r="P176" s="383">
        <f t="shared" si="22"/>
        <v>2</v>
      </c>
      <c r="Q176" s="383">
        <f t="shared" si="22"/>
        <v>2</v>
      </c>
      <c r="R176" s="383">
        <f t="shared" si="22"/>
        <v>2</v>
      </c>
      <c r="S176" s="383">
        <f t="shared" si="22"/>
        <v>2</v>
      </c>
    </row>
    <row r="177" spans="1:19" s="119" customFormat="1" x14ac:dyDescent="0.3">
      <c r="A177" s="382">
        <v>1058</v>
      </c>
      <c r="D177" s="383">
        <f>D110</f>
        <v>2</v>
      </c>
      <c r="E177" s="383">
        <f t="shared" ref="E177:S177" si="23">E110</f>
        <v>2</v>
      </c>
      <c r="F177" s="383">
        <f t="shared" si="23"/>
        <v>2</v>
      </c>
      <c r="G177" s="383">
        <f t="shared" si="23"/>
        <v>1</v>
      </c>
      <c r="H177" s="383">
        <f t="shared" si="23"/>
        <v>2</v>
      </c>
      <c r="I177" s="383">
        <f t="shared" si="23"/>
        <v>2</v>
      </c>
      <c r="J177" s="383">
        <f t="shared" si="23"/>
        <v>2</v>
      </c>
      <c r="K177" s="383">
        <f t="shared" si="23"/>
        <v>2</v>
      </c>
      <c r="L177" s="383">
        <f t="shared" si="23"/>
        <v>2</v>
      </c>
      <c r="M177" s="383">
        <f t="shared" si="23"/>
        <v>2</v>
      </c>
      <c r="N177" s="383">
        <f t="shared" si="23"/>
        <v>0</v>
      </c>
      <c r="O177" s="383">
        <f t="shared" si="23"/>
        <v>2</v>
      </c>
      <c r="P177" s="383">
        <f t="shared" si="23"/>
        <v>2</v>
      </c>
      <c r="Q177" s="383">
        <f t="shared" si="23"/>
        <v>2</v>
      </c>
      <c r="R177" s="383">
        <f t="shared" si="23"/>
        <v>2</v>
      </c>
      <c r="S177" s="383">
        <f t="shared" si="23"/>
        <v>2</v>
      </c>
    </row>
    <row r="178" spans="1:19" s="119" customFormat="1" x14ac:dyDescent="0.3">
      <c r="A178" s="382">
        <v>1059</v>
      </c>
      <c r="D178" s="383">
        <f>D111</f>
        <v>1</v>
      </c>
      <c r="E178" s="383">
        <f t="shared" ref="E178:S178" si="24">E111</f>
        <v>1</v>
      </c>
      <c r="F178" s="383">
        <f t="shared" si="24"/>
        <v>1</v>
      </c>
      <c r="G178" s="383">
        <f t="shared" si="24"/>
        <v>1</v>
      </c>
      <c r="H178" s="383">
        <f t="shared" si="24"/>
        <v>1</v>
      </c>
      <c r="I178" s="383">
        <f t="shared" si="24"/>
        <v>1</v>
      </c>
      <c r="J178" s="383">
        <f t="shared" si="24"/>
        <v>1</v>
      </c>
      <c r="K178" s="383">
        <f t="shared" si="24"/>
        <v>2</v>
      </c>
      <c r="L178" s="383">
        <f t="shared" si="24"/>
        <v>1</v>
      </c>
      <c r="M178" s="383">
        <f t="shared" si="24"/>
        <v>1</v>
      </c>
      <c r="N178" s="383">
        <f t="shared" si="24"/>
        <v>0</v>
      </c>
      <c r="O178" s="383">
        <f t="shared" si="24"/>
        <v>1</v>
      </c>
      <c r="P178" s="383">
        <f t="shared" si="24"/>
        <v>1</v>
      </c>
      <c r="Q178" s="383">
        <f t="shared" si="24"/>
        <v>1</v>
      </c>
      <c r="R178" s="383">
        <f t="shared" si="24"/>
        <v>1</v>
      </c>
      <c r="S178" s="383">
        <f t="shared" si="24"/>
        <v>1</v>
      </c>
    </row>
    <row r="179" spans="1:19" s="119" customFormat="1" x14ac:dyDescent="0.3">
      <c r="A179" s="382">
        <v>1064</v>
      </c>
      <c r="D179" s="383">
        <f>D113</f>
        <v>0</v>
      </c>
      <c r="E179" s="383">
        <f t="shared" ref="E179:S179" si="25">E113</f>
        <v>9781</v>
      </c>
      <c r="F179" s="383">
        <f t="shared" si="25"/>
        <v>0</v>
      </c>
      <c r="G179" s="383">
        <f t="shared" si="25"/>
        <v>0</v>
      </c>
      <c r="H179" s="383">
        <f t="shared" si="25"/>
        <v>0</v>
      </c>
      <c r="I179" s="383">
        <f t="shared" si="25"/>
        <v>0</v>
      </c>
      <c r="J179" s="383">
        <f t="shared" si="25"/>
        <v>0</v>
      </c>
      <c r="K179" s="383">
        <f t="shared" si="25"/>
        <v>78622</v>
      </c>
      <c r="L179" s="383">
        <f t="shared" si="25"/>
        <v>0</v>
      </c>
      <c r="M179" s="383">
        <f t="shared" si="25"/>
        <v>0</v>
      </c>
      <c r="N179" s="383">
        <f t="shared" si="25"/>
        <v>0</v>
      </c>
      <c r="O179" s="383">
        <f t="shared" si="25"/>
        <v>0</v>
      </c>
      <c r="P179" s="383">
        <f t="shared" si="25"/>
        <v>0</v>
      </c>
      <c r="Q179" s="383">
        <f t="shared" si="25"/>
        <v>0</v>
      </c>
      <c r="R179" s="383">
        <f t="shared" si="25"/>
        <v>0</v>
      </c>
      <c r="S179" s="383">
        <f t="shared" si="25"/>
        <v>11117</v>
      </c>
    </row>
    <row r="180" spans="1:19" x14ac:dyDescent="0.3">
      <c r="A180" s="97" t="s">
        <v>556</v>
      </c>
      <c r="B180" s="119"/>
      <c r="C180" s="119"/>
      <c r="D180" s="119">
        <f>SUM(D139:D179)</f>
        <v>15756828</v>
      </c>
      <c r="E180" s="119">
        <f t="shared" ref="E180:S180" si="26">SUM(E139:E179)</f>
        <v>31441649</v>
      </c>
      <c r="F180" s="119">
        <f t="shared" si="26"/>
        <v>62363098</v>
      </c>
      <c r="G180" s="119">
        <f t="shared" si="26"/>
        <v>28123001</v>
      </c>
      <c r="H180" s="119">
        <f t="shared" si="26"/>
        <v>17747726</v>
      </c>
      <c r="I180" s="119">
        <f t="shared" si="26"/>
        <v>21675478</v>
      </c>
      <c r="J180" s="119">
        <f t="shared" si="26"/>
        <v>40330506</v>
      </c>
      <c r="K180" s="119">
        <f t="shared" si="26"/>
        <v>23098323</v>
      </c>
      <c r="L180" s="119">
        <f t="shared" si="26"/>
        <v>19755083</v>
      </c>
      <c r="M180" s="119">
        <f t="shared" si="26"/>
        <v>28276544</v>
      </c>
      <c r="N180" s="119">
        <f t="shared" si="26"/>
        <v>551164</v>
      </c>
      <c r="O180" s="119">
        <f t="shared" si="26"/>
        <v>79281862</v>
      </c>
      <c r="P180" s="119">
        <f t="shared" si="26"/>
        <v>33399268</v>
      </c>
      <c r="Q180" s="119">
        <f t="shared" si="26"/>
        <v>82116195</v>
      </c>
      <c r="R180" s="119">
        <f t="shared" si="26"/>
        <v>26813496</v>
      </c>
      <c r="S180" s="119">
        <f t="shared" si="26"/>
        <v>47641539</v>
      </c>
    </row>
    <row r="181" spans="1:19" x14ac:dyDescent="0.3">
      <c r="B181" s="119"/>
      <c r="C181" s="119"/>
      <c r="D181" s="119"/>
      <c r="E181" s="119"/>
      <c r="F181" s="119"/>
      <c r="G181" s="119"/>
      <c r="H181" s="119"/>
      <c r="I181" s="119"/>
      <c r="J181" s="119"/>
      <c r="K181" s="119"/>
      <c r="L181" s="119"/>
      <c r="M181" s="119"/>
      <c r="N181" s="119"/>
      <c r="O181" s="119"/>
      <c r="P181" s="119"/>
      <c r="Q181" s="119"/>
      <c r="R181" s="119"/>
      <c r="S181" s="119"/>
    </row>
    <row r="182" spans="1:19" x14ac:dyDescent="0.3">
      <c r="A182" s="97" t="s">
        <v>557</v>
      </c>
      <c r="B182" s="119"/>
      <c r="C182" s="119"/>
      <c r="D182" s="119">
        <f t="shared" ref="D182:S182" si="27">D136-D180</f>
        <v>22978577</v>
      </c>
      <c r="E182" s="119">
        <f t="shared" si="27"/>
        <v>30067223</v>
      </c>
      <c r="F182" s="119">
        <f t="shared" si="27"/>
        <v>75521908</v>
      </c>
      <c r="G182" s="119">
        <f t="shared" si="27"/>
        <v>64597290.700000003</v>
      </c>
      <c r="H182" s="119">
        <f t="shared" si="27"/>
        <v>22782806</v>
      </c>
      <c r="I182" s="119">
        <f t="shared" si="27"/>
        <v>28531301.700000003</v>
      </c>
      <c r="J182" s="119">
        <f t="shared" si="27"/>
        <v>91025777</v>
      </c>
      <c r="K182" s="119">
        <f t="shared" si="27"/>
        <v>41481777</v>
      </c>
      <c r="L182" s="119">
        <f t="shared" si="27"/>
        <v>41880237</v>
      </c>
      <c r="M182" s="119">
        <f t="shared" si="27"/>
        <v>20941197</v>
      </c>
      <c r="N182" s="119">
        <f t="shared" si="27"/>
        <v>0</v>
      </c>
      <c r="O182" s="119">
        <f t="shared" si="27"/>
        <v>97924781</v>
      </c>
      <c r="P182" s="119">
        <f t="shared" si="27"/>
        <v>46065789</v>
      </c>
      <c r="Q182" s="119">
        <f t="shared" si="27"/>
        <v>142652674.09999999</v>
      </c>
      <c r="R182" s="119">
        <f t="shared" si="27"/>
        <v>27266038</v>
      </c>
      <c r="S182" s="119">
        <f t="shared" si="27"/>
        <v>65675124.299999997</v>
      </c>
    </row>
    <row r="183" spans="1:19" x14ac:dyDescent="0.3">
      <c r="B183" s="119"/>
      <c r="C183" s="119"/>
      <c r="D183" s="119"/>
      <c r="E183" s="119"/>
      <c r="F183" s="119"/>
      <c r="G183" s="119"/>
      <c r="H183" s="119"/>
      <c r="I183" s="119"/>
      <c r="J183" s="119"/>
      <c r="K183" s="119"/>
      <c r="L183" s="119"/>
      <c r="M183" s="119"/>
      <c r="N183" s="119"/>
      <c r="O183" s="119"/>
      <c r="P183" s="119"/>
      <c r="Q183" s="119"/>
      <c r="R183" s="119"/>
      <c r="S183" s="119"/>
    </row>
    <row r="184" spans="1:19" x14ac:dyDescent="0.3">
      <c r="A184" s="379">
        <v>1</v>
      </c>
      <c r="B184" s="119"/>
      <c r="C184" s="119"/>
      <c r="D184" s="380">
        <f>D32</f>
        <v>3631541</v>
      </c>
      <c r="E184" s="380">
        <f t="shared" ref="E184:S184" si="28">E32</f>
        <v>3812496</v>
      </c>
      <c r="F184" s="380">
        <f t="shared" si="28"/>
        <v>8532772</v>
      </c>
      <c r="G184" s="380">
        <f t="shared" si="28"/>
        <v>3566790</v>
      </c>
      <c r="H184" s="380">
        <f t="shared" si="28"/>
        <v>3985729</v>
      </c>
      <c r="I184" s="380">
        <f t="shared" si="28"/>
        <v>4919207</v>
      </c>
      <c r="J184" s="380">
        <f t="shared" si="28"/>
        <v>10306204</v>
      </c>
      <c r="K184" s="380">
        <f t="shared" si="28"/>
        <v>3179352</v>
      </c>
      <c r="L184" s="380">
        <f t="shared" si="28"/>
        <v>2696616</v>
      </c>
      <c r="M184" s="380">
        <f t="shared" si="28"/>
        <v>3889790</v>
      </c>
      <c r="N184" s="380">
        <f t="shared" si="28"/>
        <v>0</v>
      </c>
      <c r="O184" s="380">
        <f t="shared" si="28"/>
        <v>14540244</v>
      </c>
      <c r="P184" s="380">
        <f t="shared" si="28"/>
        <v>7107115</v>
      </c>
      <c r="Q184" s="380">
        <f t="shared" si="28"/>
        <v>14725426</v>
      </c>
      <c r="R184" s="380">
        <f t="shared" si="28"/>
        <v>3166280</v>
      </c>
      <c r="S184" s="380">
        <f t="shared" si="28"/>
        <v>9074422</v>
      </c>
    </row>
    <row r="185" spans="1:19" x14ac:dyDescent="0.3">
      <c r="A185" s="379">
        <v>2</v>
      </c>
      <c r="B185" s="119"/>
      <c r="C185" s="119"/>
      <c r="D185" s="380">
        <f>D65</f>
        <v>497798</v>
      </c>
      <c r="E185" s="380">
        <f t="shared" ref="E185:S185" si="29">E65</f>
        <v>2095581</v>
      </c>
      <c r="F185" s="380">
        <f t="shared" si="29"/>
        <v>4205840</v>
      </c>
      <c r="G185" s="380">
        <f t="shared" si="29"/>
        <v>970136</v>
      </c>
      <c r="H185" s="380">
        <f t="shared" si="29"/>
        <v>652033</v>
      </c>
      <c r="I185" s="380">
        <f t="shared" si="29"/>
        <v>1061714</v>
      </c>
      <c r="J185" s="380">
        <f t="shared" si="29"/>
        <v>3811284</v>
      </c>
      <c r="K185" s="380">
        <f t="shared" si="29"/>
        <v>1155589</v>
      </c>
      <c r="L185" s="380">
        <f t="shared" si="29"/>
        <v>893404</v>
      </c>
      <c r="M185" s="380">
        <f t="shared" si="29"/>
        <v>2599758</v>
      </c>
      <c r="N185" s="380">
        <f t="shared" si="29"/>
        <v>0</v>
      </c>
      <c r="O185" s="380">
        <f t="shared" si="29"/>
        <v>3881649</v>
      </c>
      <c r="P185" s="380">
        <f t="shared" si="29"/>
        <v>2457526</v>
      </c>
      <c r="Q185" s="380">
        <f t="shared" si="29"/>
        <v>11255152</v>
      </c>
      <c r="R185" s="380">
        <f t="shared" si="29"/>
        <v>1047107</v>
      </c>
      <c r="S185" s="380">
        <f t="shared" si="29"/>
        <v>1915539</v>
      </c>
    </row>
    <row r="186" spans="1:19" x14ac:dyDescent="0.3">
      <c r="A186" s="379">
        <v>3</v>
      </c>
      <c r="B186" s="119"/>
      <c r="C186" s="119"/>
      <c r="D186" s="380">
        <f>D26</f>
        <v>1347163</v>
      </c>
      <c r="E186" s="380">
        <f t="shared" ref="E186:S186" si="30">E26</f>
        <v>3171960</v>
      </c>
      <c r="F186" s="380">
        <f t="shared" si="30"/>
        <v>8326320</v>
      </c>
      <c r="G186" s="380">
        <f t="shared" si="30"/>
        <v>1746524</v>
      </c>
      <c r="H186" s="380">
        <f t="shared" si="30"/>
        <v>2230916</v>
      </c>
      <c r="I186" s="380">
        <f t="shared" si="30"/>
        <v>3449821</v>
      </c>
      <c r="J186" s="380">
        <f t="shared" si="30"/>
        <v>6179298</v>
      </c>
      <c r="K186" s="380">
        <f t="shared" si="30"/>
        <v>2382605</v>
      </c>
      <c r="L186" s="380">
        <f t="shared" si="30"/>
        <v>2000531</v>
      </c>
      <c r="M186" s="380">
        <f t="shared" si="30"/>
        <v>3511346</v>
      </c>
      <c r="N186" s="380">
        <f t="shared" si="30"/>
        <v>0</v>
      </c>
      <c r="O186" s="380">
        <f t="shared" si="30"/>
        <v>7590648</v>
      </c>
      <c r="P186" s="380">
        <f t="shared" si="30"/>
        <v>3007336</v>
      </c>
      <c r="Q186" s="380">
        <f t="shared" si="30"/>
        <v>15004790</v>
      </c>
      <c r="R186" s="380">
        <f t="shared" si="30"/>
        <v>2006519</v>
      </c>
      <c r="S186" s="380">
        <f t="shared" si="30"/>
        <v>6796724</v>
      </c>
    </row>
    <row r="187" spans="1:19" x14ac:dyDescent="0.3">
      <c r="B187" s="119"/>
      <c r="C187" s="119"/>
      <c r="D187" s="119"/>
      <c r="E187" s="119"/>
      <c r="F187" s="119"/>
      <c r="G187" s="119"/>
      <c r="H187" s="119"/>
      <c r="I187" s="119"/>
      <c r="J187" s="119"/>
      <c r="K187" s="119"/>
      <c r="L187" s="119"/>
      <c r="M187" s="119"/>
      <c r="N187" s="119"/>
      <c r="O187" s="119"/>
      <c r="P187" s="119"/>
      <c r="Q187" s="119"/>
      <c r="R187" s="119"/>
      <c r="S187" s="119"/>
    </row>
    <row r="188" spans="1:19" x14ac:dyDescent="0.3">
      <c r="B188" s="119"/>
      <c r="C188" s="119"/>
      <c r="D188" s="385">
        <f>D182+D184+D185+D186</f>
        <v>28455079</v>
      </c>
      <c r="E188" s="385">
        <f t="shared" ref="E188:S188" si="31">E182+E184+E185+E186</f>
        <v>39147260</v>
      </c>
      <c r="F188" s="385">
        <f t="shared" si="31"/>
        <v>96586840</v>
      </c>
      <c r="G188" s="385">
        <f t="shared" si="31"/>
        <v>70880740.700000003</v>
      </c>
      <c r="H188" s="385">
        <f t="shared" si="31"/>
        <v>29651484</v>
      </c>
      <c r="I188" s="385">
        <f t="shared" si="31"/>
        <v>37962043.700000003</v>
      </c>
      <c r="J188" s="385">
        <f t="shared" si="31"/>
        <v>111322563</v>
      </c>
      <c r="K188" s="385">
        <f t="shared" si="31"/>
        <v>48199323</v>
      </c>
      <c r="L188" s="385">
        <f t="shared" si="31"/>
        <v>47470788</v>
      </c>
      <c r="M188" s="385">
        <f t="shared" si="31"/>
        <v>30942091</v>
      </c>
      <c r="N188" s="385">
        <f t="shared" si="31"/>
        <v>0</v>
      </c>
      <c r="O188" s="385">
        <f t="shared" si="31"/>
        <v>123937322</v>
      </c>
      <c r="P188" s="385">
        <f t="shared" si="31"/>
        <v>58637766</v>
      </c>
      <c r="Q188" s="385">
        <f t="shared" si="31"/>
        <v>183638042.09999999</v>
      </c>
      <c r="R188" s="385">
        <f t="shared" si="31"/>
        <v>33485944</v>
      </c>
      <c r="S188" s="385">
        <f t="shared" si="31"/>
        <v>83461809.299999997</v>
      </c>
    </row>
    <row r="189" spans="1:19" x14ac:dyDescent="0.3">
      <c r="B189" s="119"/>
      <c r="C189" s="119"/>
      <c r="D189" s="385"/>
      <c r="E189" s="385"/>
      <c r="F189" s="385"/>
      <c r="G189" s="385"/>
      <c r="H189" s="385"/>
      <c r="I189" s="385"/>
      <c r="J189" s="385"/>
      <c r="K189" s="385"/>
      <c r="L189" s="385"/>
      <c r="M189" s="385"/>
      <c r="N189" s="385"/>
      <c r="O189" s="385"/>
      <c r="P189" s="385"/>
      <c r="Q189" s="385"/>
      <c r="R189" s="385"/>
      <c r="S189" s="385"/>
    </row>
    <row r="190" spans="1:19" x14ac:dyDescent="0.3">
      <c r="B190" s="119"/>
      <c r="C190" s="119"/>
      <c r="D190" s="385" t="e">
        <f>'Unit Data from Audit Worksheet'!$E$118</f>
        <v>#N/A</v>
      </c>
      <c r="E190" s="385" t="e">
        <f>'Unit Data from Audit Worksheet'!$E$118</f>
        <v>#N/A</v>
      </c>
      <c r="F190" s="385" t="e">
        <f>'Unit Data from Audit Worksheet'!$E$118</f>
        <v>#N/A</v>
      </c>
      <c r="G190" s="385" t="e">
        <f>'Unit Data from Audit Worksheet'!$E$118</f>
        <v>#N/A</v>
      </c>
      <c r="H190" s="385" t="e">
        <f>'Unit Data from Audit Worksheet'!$E$118</f>
        <v>#N/A</v>
      </c>
      <c r="I190" s="385" t="e">
        <f>'Unit Data from Audit Worksheet'!$E$118</f>
        <v>#N/A</v>
      </c>
      <c r="J190" s="385" t="e">
        <f>'Unit Data from Audit Worksheet'!$E$118</f>
        <v>#N/A</v>
      </c>
      <c r="K190" s="385" t="e">
        <f>'Unit Data from Audit Worksheet'!$E$118</f>
        <v>#N/A</v>
      </c>
      <c r="L190" s="385" t="e">
        <f>'Unit Data from Audit Worksheet'!$E$118</f>
        <v>#N/A</v>
      </c>
      <c r="M190" s="385" t="e">
        <f>'Unit Data from Audit Worksheet'!$E$118</f>
        <v>#N/A</v>
      </c>
      <c r="N190" s="385" t="e">
        <f>'Unit Data from Audit Worksheet'!$E$118</f>
        <v>#N/A</v>
      </c>
      <c r="O190" s="385" t="e">
        <f>'Unit Data from Audit Worksheet'!$E$118</f>
        <v>#N/A</v>
      </c>
      <c r="P190" s="385" t="e">
        <f>'Unit Data from Audit Worksheet'!$E$118</f>
        <v>#N/A</v>
      </c>
      <c r="Q190" s="385" t="e">
        <f>'Unit Data from Audit Worksheet'!$E$118</f>
        <v>#N/A</v>
      </c>
      <c r="R190" s="385" t="e">
        <f>'Unit Data from Audit Worksheet'!$E$118</f>
        <v>#N/A</v>
      </c>
      <c r="S190" s="385" t="e">
        <f>'Unit Data from Audit Worksheet'!$E$118</f>
        <v>#N/A</v>
      </c>
    </row>
    <row r="191" spans="1:19" x14ac:dyDescent="0.3">
      <c r="B191" s="119"/>
      <c r="C191" s="119"/>
      <c r="D191" s="385"/>
      <c r="E191" s="385"/>
      <c r="F191" s="385"/>
      <c r="G191" s="385"/>
      <c r="H191" s="385"/>
      <c r="I191" s="385"/>
      <c r="J191" s="385"/>
      <c r="K191" s="385"/>
      <c r="L191" s="385"/>
      <c r="M191" s="385"/>
      <c r="N191" s="385"/>
      <c r="O191" s="385"/>
      <c r="P191" s="385"/>
      <c r="Q191" s="385"/>
      <c r="R191" s="385"/>
      <c r="S191" s="385"/>
    </row>
    <row r="192" spans="1:19" x14ac:dyDescent="0.3">
      <c r="B192" s="119"/>
      <c r="C192" s="119"/>
      <c r="D192" s="472" t="str">
        <f t="shared" ref="D192:S192" si="32">IF(D193=FALSE,"N/A",D188-D190)</f>
        <v>N/A</v>
      </c>
      <c r="E192" s="472" t="str">
        <f t="shared" si="32"/>
        <v>N/A</v>
      </c>
      <c r="F192" s="472" t="str">
        <f t="shared" si="32"/>
        <v>N/A</v>
      </c>
      <c r="G192" s="472" t="str">
        <f t="shared" si="32"/>
        <v>N/A</v>
      </c>
      <c r="H192" s="472" t="str">
        <f t="shared" si="32"/>
        <v>N/A</v>
      </c>
      <c r="I192" s="472" t="str">
        <f t="shared" si="32"/>
        <v>N/A</v>
      </c>
      <c r="J192" s="472" t="str">
        <f t="shared" si="32"/>
        <v>N/A</v>
      </c>
      <c r="K192" s="472" t="str">
        <f t="shared" si="32"/>
        <v>N/A</v>
      </c>
      <c r="L192" s="472" t="str">
        <f t="shared" si="32"/>
        <v>N/A</v>
      </c>
      <c r="M192" s="472" t="str">
        <f t="shared" si="32"/>
        <v>N/A</v>
      </c>
      <c r="N192" s="472" t="str">
        <f t="shared" si="32"/>
        <v>N/A</v>
      </c>
      <c r="O192" s="472" t="str">
        <f t="shared" si="32"/>
        <v>N/A</v>
      </c>
      <c r="P192" s="472" t="str">
        <f t="shared" si="32"/>
        <v>N/A</v>
      </c>
      <c r="Q192" s="472" t="str">
        <f t="shared" si="32"/>
        <v>N/A</v>
      </c>
      <c r="R192" s="472" t="str">
        <f t="shared" si="32"/>
        <v>N/A</v>
      </c>
      <c r="S192" s="472" t="str">
        <f t="shared" si="32"/>
        <v>N/A</v>
      </c>
    </row>
    <row r="193" spans="1:19" x14ac:dyDescent="0.3">
      <c r="B193" s="119"/>
      <c r="C193" s="119"/>
      <c r="D193" s="119" t="b">
        <f>'Unit Data from Audit Worksheet'!$D$2='PY1 Data(H)'!D194</f>
        <v>0</v>
      </c>
      <c r="E193" s="119" t="b">
        <f>'Unit Data from Audit Worksheet'!$D$2='PY1 Data(H)'!E194</f>
        <v>0</v>
      </c>
      <c r="F193" s="119" t="b">
        <f>'Unit Data from Audit Worksheet'!$D$2='PY1 Data(H)'!F194</f>
        <v>0</v>
      </c>
      <c r="G193" s="119" t="b">
        <f>'Unit Data from Audit Worksheet'!$D$2='PY1 Data(H)'!G194</f>
        <v>0</v>
      </c>
      <c r="H193" s="119" t="b">
        <f>'Unit Data from Audit Worksheet'!$D$2='PY1 Data(H)'!H194</f>
        <v>0</v>
      </c>
      <c r="I193" s="119" t="b">
        <f>'Unit Data from Audit Worksheet'!$D$2='PY1 Data(H)'!I194</f>
        <v>0</v>
      </c>
      <c r="J193" s="119" t="b">
        <f>'Unit Data from Audit Worksheet'!$D$2='PY1 Data(H)'!J194</f>
        <v>0</v>
      </c>
      <c r="K193" s="119" t="b">
        <f>'Unit Data from Audit Worksheet'!$D$2='PY1 Data(H)'!K194</f>
        <v>0</v>
      </c>
      <c r="L193" s="119" t="b">
        <f>'Unit Data from Audit Worksheet'!$D$2='PY1 Data(H)'!L194</f>
        <v>0</v>
      </c>
      <c r="M193" s="119" t="b">
        <f>'Unit Data from Audit Worksheet'!$D$2='PY1 Data(H)'!M194</f>
        <v>0</v>
      </c>
      <c r="N193" s="119" t="b">
        <f>'Unit Data from Audit Worksheet'!$D$2='PY1 Data(H)'!N194</f>
        <v>0</v>
      </c>
      <c r="O193" s="119" t="b">
        <f>'Unit Data from Audit Worksheet'!$D$2='PY1 Data(H)'!O194</f>
        <v>0</v>
      </c>
      <c r="P193" s="119" t="b">
        <f>'Unit Data from Audit Worksheet'!$D$2='PY1 Data(H)'!P194</f>
        <v>0</v>
      </c>
      <c r="Q193" s="119" t="b">
        <f>'Unit Data from Audit Worksheet'!$D$2='PY1 Data(H)'!Q194</f>
        <v>0</v>
      </c>
      <c r="R193" s="119" t="b">
        <f>'Unit Data from Audit Worksheet'!$D$2='PY1 Data(H)'!R194</f>
        <v>0</v>
      </c>
      <c r="S193" s="119" t="b">
        <f>'Unit Data from Audit Worksheet'!$D$2='PY1 Data(H)'!S194</f>
        <v>0</v>
      </c>
    </row>
    <row r="194" spans="1:19" s="330" customFormat="1" ht="52.95" customHeight="1" x14ac:dyDescent="0.3">
      <c r="A194" s="333"/>
      <c r="D194" s="330" t="str">
        <f>D1</f>
        <v>Albemarle Commission</v>
      </c>
      <c r="E194" s="330" t="str">
        <f t="shared" ref="E194:S194" si="33">E1</f>
        <v>Cape Fear Council of Governments</v>
      </c>
      <c r="F194" s="330" t="str">
        <f t="shared" si="33"/>
        <v>Centralina Council of Governments</v>
      </c>
      <c r="G194" s="330" t="str">
        <f t="shared" si="33"/>
        <v>Foothills Regional Commission</v>
      </c>
      <c r="H194" s="330" t="str">
        <f t="shared" si="33"/>
        <v>High Country Council of Governments</v>
      </c>
      <c r="I194" s="330" t="str">
        <f t="shared" si="33"/>
        <v>Kerr-Tar Regional Council of Governments</v>
      </c>
      <c r="J194" s="330" t="str">
        <f t="shared" si="33"/>
        <v>Land-Of-Sky Regional Council</v>
      </c>
      <c r="K194" s="330" t="str">
        <f t="shared" si="33"/>
        <v>Lumber River Council of Governments</v>
      </c>
      <c r="L194" s="330" t="str">
        <f t="shared" si="33"/>
        <v>Mid-Carolina Regional Council of Governments</v>
      </c>
      <c r="M194" s="330" t="str">
        <f t="shared" si="33"/>
        <v>Mid-East Commission/Region Q</v>
      </c>
      <c r="N194" s="330" t="str">
        <f t="shared" si="33"/>
        <v>Neuse River Council of Governments dba Eastern Carolina Council</v>
      </c>
      <c r="O194" s="330" t="str">
        <f t="shared" si="33"/>
        <v>Piedmont Triad Regional Council</v>
      </c>
      <c r="P194" s="330" t="str">
        <f t="shared" si="33"/>
        <v>Southwestern North Carolina Planning and Economic Development Commission</v>
      </c>
      <c r="Q194" s="330" t="str">
        <f t="shared" si="33"/>
        <v>Triangle J Council of Governments</v>
      </c>
      <c r="R194" s="330" t="str">
        <f t="shared" si="33"/>
        <v>Upper Coastal Plain Council of Governments dba Region L Council of Governments</v>
      </c>
      <c r="S194" s="330" t="str">
        <f t="shared" si="33"/>
        <v>Western Piedmont Council of Governments</v>
      </c>
    </row>
    <row r="197" spans="1:19" x14ac:dyDescent="0.3">
      <c r="D197" s="661">
        <v>38735405</v>
      </c>
      <c r="E197" s="385">
        <v>61508872</v>
      </c>
      <c r="F197" s="385">
        <v>137885006</v>
      </c>
      <c r="G197" s="385">
        <v>92720291.700000003</v>
      </c>
      <c r="H197" s="385">
        <v>40530532</v>
      </c>
      <c r="I197" s="385">
        <v>50206779.700000003</v>
      </c>
      <c r="J197" s="385">
        <v>131356283</v>
      </c>
      <c r="K197" s="385">
        <v>64580100</v>
      </c>
      <c r="L197" s="385">
        <v>61635320</v>
      </c>
      <c r="M197" s="385">
        <v>49217741</v>
      </c>
      <c r="N197" t="s">
        <v>898</v>
      </c>
      <c r="O197" s="385">
        <v>177206643</v>
      </c>
      <c r="P197" s="385">
        <v>79465057</v>
      </c>
      <c r="Q197" s="385">
        <v>224768869.09999999</v>
      </c>
      <c r="R197" s="385">
        <v>54079534</v>
      </c>
      <c r="S197" s="385">
        <v>113316663.3</v>
      </c>
    </row>
    <row r="198" spans="1:19" x14ac:dyDescent="0.3">
      <c r="D198" s="651">
        <f>D115-D197</f>
        <v>0</v>
      </c>
      <c r="E198" s="651">
        <f t="shared" ref="E198:S198" si="34">E115-E197</f>
        <v>0</v>
      </c>
      <c r="F198" s="651">
        <f t="shared" si="34"/>
        <v>0</v>
      </c>
      <c r="G198" s="651">
        <f t="shared" ref="G198" si="35">G115-G197</f>
        <v>0</v>
      </c>
      <c r="H198" s="651">
        <f t="shared" ref="H198" si="36">H115-H197</f>
        <v>0</v>
      </c>
      <c r="I198" s="651">
        <f t="shared" si="34"/>
        <v>0</v>
      </c>
      <c r="J198" s="651">
        <f t="shared" si="34"/>
        <v>0</v>
      </c>
      <c r="K198" s="651">
        <f t="shared" si="34"/>
        <v>0</v>
      </c>
      <c r="L198" s="651">
        <f t="shared" si="34"/>
        <v>0</v>
      </c>
      <c r="M198" s="651">
        <f t="shared" si="34"/>
        <v>0</v>
      </c>
      <c r="O198" s="651">
        <f t="shared" si="34"/>
        <v>0</v>
      </c>
      <c r="P198" s="651">
        <f t="shared" si="34"/>
        <v>0</v>
      </c>
      <c r="Q198" s="651">
        <f t="shared" si="34"/>
        <v>0</v>
      </c>
      <c r="R198" s="651">
        <f t="shared" si="34"/>
        <v>0</v>
      </c>
      <c r="S198" s="651">
        <f t="shared" si="34"/>
        <v>0</v>
      </c>
    </row>
    <row r="199" spans="1:19" x14ac:dyDescent="0.3">
      <c r="N199" s="651" t="e">
        <f>N115-N197</f>
        <v>#VALUE!</v>
      </c>
    </row>
    <row r="200" spans="1:19" x14ac:dyDescent="0.3">
      <c r="G200" s="651"/>
      <c r="H200" s="651"/>
    </row>
  </sheetData>
  <sheetProtection algorithmName="SHA-512" hashValue="D99JJEszzpCTaFTpkyYQzDOyWboCkqziSUnQrr1ooUlRU2z5OGxYtjedxsiX0FAfu06TdxgM8fGt2zlhFEr+lA==" saltValue="w5IC1JOfzGipQtZcz2jO/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Instructions</vt:lpstr>
      <vt:lpstr>Unit Data from Audit Worksheet</vt:lpstr>
      <vt:lpstr>TD Info Completed by Auditor</vt:lpstr>
      <vt:lpstr>Performance  Indicators Print</vt:lpstr>
      <vt:lpstr>RSS</vt:lpstr>
      <vt:lpstr>2021 Unit Data</vt:lpstr>
      <vt:lpstr>Formula for Unit Data</vt:lpstr>
      <vt:lpstr>Import</vt:lpstr>
      <vt:lpstr>PY1 Data(H)</vt:lpstr>
      <vt:lpstr>PY2 Data(H)</vt:lpstr>
      <vt:lpstr>Unit Names(H)</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2023-09-14T22:26:39Z</cp:lastPrinted>
  <dcterms:created xsi:type="dcterms:W3CDTF">2011-03-11T21:05:05Z</dcterms:created>
  <dcterms:modified xsi:type="dcterms:W3CDTF">2023-12-08T20:33:29Z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