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
    </mc:Choice>
  </mc:AlternateContent>
  <xr:revisionPtr revIDLastSave="0" documentId="13_ncr:1_{F828B829-3933-4F23-81BB-BE7C1F635F10}" xr6:coauthVersionLast="47" xr6:coauthVersionMax="47" xr10:uidLastSave="{00000000-0000-0000-0000-000000000000}"/>
  <bookViews>
    <workbookView xWindow="57480" yWindow="-120" windowWidth="29040" windowHeight="15840" tabRatio="707" xr2:uid="{00000000-000D-0000-FFFF-FFFF00000000}"/>
  </bookViews>
  <sheets>
    <sheet name="Instructions" sheetId="97" r:id="rId1"/>
    <sheet name="Unit Data from Audit Worksheet" sheetId="1" r:id="rId2"/>
    <sheet name="2021 Unit Data" sheetId="96" state="hidden" r:id="rId3"/>
    <sheet name="Import" sheetId="28" state="hidden" r:id="rId4"/>
    <sheet name="TD Info Completed by Auditor" sheetId="91" r:id="rId5"/>
    <sheet name="Performance  Indicators Print" sheetId="88" r:id="rId6"/>
    <sheet name="Performance Indicators FBA%" sheetId="93" r:id="rId7"/>
    <sheet name="RSS" sheetId="94" state="hidden" r:id="rId8"/>
    <sheet name="PY1 Data(H)" sheetId="82" state="hidden" r:id="rId9"/>
    <sheet name="Formula for unit data" sheetId="95" state="hidden" r:id="rId10"/>
    <sheet name="PY2 Data(H)" sheetId="84" state="hidden" r:id="rId11"/>
    <sheet name="Unit Names(H)" sheetId="29" state="hidden" r:id="rId12"/>
    <sheet name="Sheet1" sheetId="92" state="hidden" r:id="rId13"/>
  </sheets>
  <externalReferences>
    <externalReference r:id="rId14"/>
  </externalReferences>
  <definedNames>
    <definedName name="Audit_Dtl">[1]Database!$AC$3:$AP$413</definedName>
    <definedName name="errorCount">#REF!</definedName>
    <definedName name="ppp">#REF!</definedName>
    <definedName name="_xlnm.Print_Area" localSheetId="5">'Performance  Indicators Print'!$A$1:$H$14</definedName>
    <definedName name="_xlnm.Print_Area" localSheetId="1">'Unit Data from Audit Worksheet'!$A$7:$F$84</definedName>
    <definedName name="Print_Selection_Auditor">#REF!</definedName>
    <definedName name="Print_Selection_Internal" localSheetId="5">#REF!</definedName>
    <definedName name="Print_Selection_Internal">#REF!</definedName>
    <definedName name="_xlnm.Print_Titles" localSheetId="5">'Performance  Indicators Print'!$3:$5</definedName>
    <definedName name="_xlnm.Print_Titles" localSheetId="1">'Unit Data from Audit Worksheet'!$5:$5</definedName>
    <definedName name="showError">#REF!</definedName>
    <definedName name="TD_IMPORT_RANGE" localSheetId="5">#REF!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7" i="28" l="1"/>
  <c r="E36" i="28"/>
  <c r="E35" i="28"/>
  <c r="A104" i="28"/>
  <c r="D22" i="91"/>
  <c r="D23" i="91"/>
  <c r="D21" i="91"/>
  <c r="E84" i="28" l="1"/>
  <c r="D25" i="91"/>
  <c r="E10" i="88"/>
  <c r="M10" i="88"/>
  <c r="N10" i="88" s="1"/>
  <c r="G10" i="88" s="1"/>
  <c r="L10" i="88"/>
  <c r="E104" i="28"/>
  <c r="L104" i="28" s="1"/>
  <c r="C104" i="28" l="1"/>
  <c r="E82" i="28" l="1"/>
  <c r="L82" i="28" s="1"/>
  <c r="E83" i="28"/>
  <c r="L83" i="28" s="1"/>
  <c r="L84" i="28"/>
  <c r="E81" i="28"/>
  <c r="L81" i="28" s="1"/>
  <c r="A82" i="28"/>
  <c r="C82" i="28"/>
  <c r="A83" i="28"/>
  <c r="C83" i="28"/>
  <c r="A84" i="28"/>
  <c r="C84" i="28"/>
  <c r="C81" i="28"/>
  <c r="A81" i="28"/>
  <c r="E72" i="28"/>
  <c r="L72" i="28" s="1"/>
  <c r="E73" i="28"/>
  <c r="L73" i="28" s="1"/>
  <c r="E71" i="28"/>
  <c r="C72" i="28"/>
  <c r="C73" i="28"/>
  <c r="A73" i="28"/>
  <c r="A72" i="28"/>
  <c r="L35" i="28"/>
  <c r="L36" i="28"/>
  <c r="L37" i="28"/>
  <c r="E34" i="28"/>
  <c r="L34" i="28" s="1"/>
  <c r="A36" i="28"/>
  <c r="B36" i="28"/>
  <c r="C36" i="28"/>
  <c r="A37" i="28"/>
  <c r="B37" i="28"/>
  <c r="C37" i="28"/>
  <c r="C35" i="28"/>
  <c r="B35" i="28"/>
  <c r="A35" i="28"/>
  <c r="G311" i="84" l="1"/>
  <c r="H311" i="84"/>
  <c r="I311" i="84"/>
  <c r="J311" i="84"/>
  <c r="E311" i="84"/>
  <c r="F311" i="84"/>
  <c r="D311" i="84"/>
  <c r="E185" i="82"/>
  <c r="F185" i="82"/>
  <c r="G185" i="82"/>
  <c r="H185" i="82"/>
  <c r="I185" i="82"/>
  <c r="J185" i="82"/>
  <c r="E123" i="82"/>
  <c r="F123" i="82"/>
  <c r="G123" i="82"/>
  <c r="H123" i="82"/>
  <c r="I123" i="82"/>
  <c r="J123" i="82"/>
  <c r="D185" i="82"/>
  <c r="J179" i="82"/>
  <c r="E180" i="82"/>
  <c r="E179" i="82" s="1"/>
  <c r="E178" i="82" s="1"/>
  <c r="F180" i="82"/>
  <c r="F179" i="82" s="1"/>
  <c r="F178" i="82" s="1"/>
  <c r="G180" i="82"/>
  <c r="G179" i="82" s="1"/>
  <c r="G178" i="82" s="1"/>
  <c r="H180" i="82"/>
  <c r="H179" i="82" s="1"/>
  <c r="H178" i="82" s="1"/>
  <c r="I180" i="82"/>
  <c r="I179" i="82" s="1"/>
  <c r="I178" i="82" s="1"/>
  <c r="J180" i="82"/>
  <c r="E125" i="82"/>
  <c r="E166" i="82" s="1"/>
  <c r="E168" i="82" s="1"/>
  <c r="E174" i="82" s="1"/>
  <c r="F125" i="82"/>
  <c r="G125" i="82"/>
  <c r="H125" i="82"/>
  <c r="I125" i="82"/>
  <c r="J125" i="82"/>
  <c r="E126" i="82"/>
  <c r="F126" i="82"/>
  <c r="F166" i="82" s="1"/>
  <c r="F168" i="82" s="1"/>
  <c r="F174" i="82" s="1"/>
  <c r="G126" i="82"/>
  <c r="H126" i="82"/>
  <c r="I126" i="82"/>
  <c r="J126" i="82"/>
  <c r="E127" i="82"/>
  <c r="F127" i="82"/>
  <c r="G127" i="82"/>
  <c r="H127" i="82"/>
  <c r="I127" i="82"/>
  <c r="J127" i="82"/>
  <c r="E128" i="82"/>
  <c r="F128" i="82"/>
  <c r="G128" i="82"/>
  <c r="H128" i="82"/>
  <c r="I128" i="82"/>
  <c r="J128" i="82"/>
  <c r="E129" i="82"/>
  <c r="F129" i="82"/>
  <c r="G129" i="82"/>
  <c r="G166" i="82" s="1"/>
  <c r="G168" i="82" s="1"/>
  <c r="G174" i="82" s="1"/>
  <c r="H129" i="82"/>
  <c r="I129" i="82"/>
  <c r="I166" i="82" s="1"/>
  <c r="I168" i="82" s="1"/>
  <c r="I174" i="82" s="1"/>
  <c r="J129" i="82"/>
  <c r="E130" i="82"/>
  <c r="F130" i="82"/>
  <c r="G130" i="82"/>
  <c r="H130" i="82"/>
  <c r="I130" i="82"/>
  <c r="J130" i="82"/>
  <c r="E131" i="82"/>
  <c r="F131" i="82"/>
  <c r="G131" i="82"/>
  <c r="H131" i="82"/>
  <c r="I131" i="82"/>
  <c r="J131" i="82"/>
  <c r="E133" i="82"/>
  <c r="F133" i="82"/>
  <c r="G133" i="82"/>
  <c r="H133" i="82"/>
  <c r="I133" i="82"/>
  <c r="J133" i="82"/>
  <c r="J166" i="82" s="1"/>
  <c r="J168" i="82" s="1"/>
  <c r="J174" i="82" s="1"/>
  <c r="E135" i="82"/>
  <c r="F135" i="82"/>
  <c r="G135" i="82"/>
  <c r="H135" i="82"/>
  <c r="I135" i="82"/>
  <c r="J135" i="82"/>
  <c r="E139" i="82"/>
  <c r="F139" i="82"/>
  <c r="G139" i="82"/>
  <c r="H139" i="82"/>
  <c r="I139" i="82"/>
  <c r="J139" i="82"/>
  <c r="E140" i="82"/>
  <c r="F140" i="82"/>
  <c r="G140" i="82"/>
  <c r="H140" i="82"/>
  <c r="I140" i="82"/>
  <c r="J140" i="82"/>
  <c r="E141" i="82"/>
  <c r="F141" i="82"/>
  <c r="G141" i="82"/>
  <c r="H141" i="82"/>
  <c r="I141" i="82"/>
  <c r="J141" i="82"/>
  <c r="E142" i="82"/>
  <c r="F142" i="82"/>
  <c r="G142" i="82"/>
  <c r="H142" i="82"/>
  <c r="I142" i="82"/>
  <c r="J142" i="82"/>
  <c r="E143" i="82"/>
  <c r="F143" i="82"/>
  <c r="G143" i="82"/>
  <c r="H143" i="82"/>
  <c r="I143" i="82"/>
  <c r="J143" i="82"/>
  <c r="E144" i="82"/>
  <c r="F144" i="82"/>
  <c r="G144" i="82"/>
  <c r="H144" i="82"/>
  <c r="I144" i="82"/>
  <c r="J144" i="82"/>
  <c r="E145" i="82"/>
  <c r="F145" i="82"/>
  <c r="G145" i="82"/>
  <c r="H145" i="82"/>
  <c r="I145" i="82"/>
  <c r="J145" i="82"/>
  <c r="E146" i="82"/>
  <c r="F146" i="82"/>
  <c r="G146" i="82"/>
  <c r="H146" i="82"/>
  <c r="I146" i="82"/>
  <c r="J146" i="82"/>
  <c r="E147" i="82"/>
  <c r="F147" i="82"/>
  <c r="G147" i="82"/>
  <c r="H147" i="82"/>
  <c r="I147" i="82"/>
  <c r="J147" i="82"/>
  <c r="E148" i="82"/>
  <c r="F148" i="82"/>
  <c r="G148" i="82"/>
  <c r="H148" i="82"/>
  <c r="I148" i="82"/>
  <c r="J148" i="82"/>
  <c r="E149" i="82"/>
  <c r="F149" i="82"/>
  <c r="G149" i="82"/>
  <c r="H149" i="82"/>
  <c r="I149" i="82"/>
  <c r="J149" i="82"/>
  <c r="E150" i="82"/>
  <c r="F150" i="82"/>
  <c r="G150" i="82"/>
  <c r="H150" i="82"/>
  <c r="I150" i="82"/>
  <c r="J150" i="82"/>
  <c r="E151" i="82"/>
  <c r="F151" i="82"/>
  <c r="G151" i="82"/>
  <c r="H151" i="82"/>
  <c r="I151" i="82"/>
  <c r="J151" i="82"/>
  <c r="E156" i="82"/>
  <c r="F156" i="82"/>
  <c r="G156" i="82"/>
  <c r="H156" i="82"/>
  <c r="I156" i="82"/>
  <c r="J156" i="82"/>
  <c r="E157" i="82"/>
  <c r="F157" i="82"/>
  <c r="G157" i="82"/>
  <c r="H157" i="82"/>
  <c r="I157" i="82"/>
  <c r="J157" i="82"/>
  <c r="E158" i="82"/>
  <c r="F158" i="82"/>
  <c r="G158" i="82"/>
  <c r="H158" i="82"/>
  <c r="I158" i="82"/>
  <c r="J158" i="82"/>
  <c r="E162" i="82"/>
  <c r="F162" i="82"/>
  <c r="G162" i="82"/>
  <c r="H162" i="82"/>
  <c r="I162" i="82"/>
  <c r="J162" i="82"/>
  <c r="E163" i="82"/>
  <c r="F163" i="82"/>
  <c r="G163" i="82"/>
  <c r="H163" i="82"/>
  <c r="I163" i="82"/>
  <c r="J163" i="82"/>
  <c r="E164" i="82"/>
  <c r="F164" i="82"/>
  <c r="G164" i="82"/>
  <c r="H164" i="82"/>
  <c r="I164" i="82"/>
  <c r="J164" i="82"/>
  <c r="E165" i="82"/>
  <c r="F165" i="82"/>
  <c r="G165" i="82"/>
  <c r="H165" i="82"/>
  <c r="I165" i="82"/>
  <c r="J165" i="82"/>
  <c r="H166" i="82"/>
  <c r="H168" i="82" s="1"/>
  <c r="H174" i="82" s="1"/>
  <c r="E170" i="82"/>
  <c r="F170" i="82"/>
  <c r="G170" i="82"/>
  <c r="H170" i="82"/>
  <c r="I170" i="82"/>
  <c r="J170" i="82"/>
  <c r="E171" i="82"/>
  <c r="F171" i="82"/>
  <c r="G171" i="82"/>
  <c r="H171" i="82"/>
  <c r="I171" i="82"/>
  <c r="J171" i="82"/>
  <c r="E172" i="82"/>
  <c r="F172" i="82"/>
  <c r="G172" i="82"/>
  <c r="H172" i="82"/>
  <c r="I172" i="82"/>
  <c r="J172" i="82"/>
  <c r="D172" i="82"/>
  <c r="D171" i="82"/>
  <c r="D170" i="82"/>
  <c r="D166" i="82"/>
  <c r="D165" i="82"/>
  <c r="D164" i="82"/>
  <c r="D163" i="82"/>
  <c r="D162" i="82"/>
  <c r="D158" i="82"/>
  <c r="D157" i="82"/>
  <c r="D156" i="82"/>
  <c r="D151" i="82"/>
  <c r="D150" i="82"/>
  <c r="D149" i="82"/>
  <c r="D148" i="82"/>
  <c r="D145" i="82"/>
  <c r="D146" i="82"/>
  <c r="D147" i="82"/>
  <c r="D144" i="82"/>
  <c r="D141" i="82"/>
  <c r="D142" i="82"/>
  <c r="D143" i="82"/>
  <c r="D140" i="82"/>
  <c r="D139" i="82"/>
  <c r="D135" i="82"/>
  <c r="D133" i="82"/>
  <c r="D131" i="82"/>
  <c r="D130" i="82"/>
  <c r="D129" i="82"/>
  <c r="D128" i="82"/>
  <c r="D127" i="82"/>
  <c r="D126" i="82"/>
  <c r="D125" i="82"/>
  <c r="D123" i="82"/>
  <c r="D19" i="91"/>
  <c r="D18" i="91"/>
  <c r="D17" i="91"/>
  <c r="D14" i="91"/>
  <c r="D13" i="91"/>
  <c r="D12" i="91"/>
  <c r="D11" i="91"/>
  <c r="D32" i="91" l="1"/>
  <c r="D31" i="91"/>
  <c r="D30" i="91"/>
  <c r="D29" i="91"/>
  <c r="E61" i="1" l="1"/>
  <c r="E12" i="1"/>
  <c r="E18" i="1"/>
  <c r="E9" i="1"/>
  <c r="E84" i="1"/>
  <c r="E81" i="1"/>
  <c r="E80" i="1"/>
  <c r="E79" i="1"/>
  <c r="E78" i="1"/>
  <c r="E77" i="1"/>
  <c r="E74" i="1"/>
  <c r="E72" i="1"/>
  <c r="E70" i="1"/>
  <c r="E69" i="1"/>
  <c r="E68" i="1"/>
  <c r="E67" i="1"/>
  <c r="E66" i="1"/>
  <c r="E65" i="1"/>
  <c r="E64" i="1"/>
  <c r="E63" i="1"/>
  <c r="E60" i="1"/>
  <c r="E59" i="1"/>
  <c r="E58" i="1"/>
  <c r="E57" i="1"/>
  <c r="E56" i="1"/>
  <c r="E55" i="1"/>
  <c r="E54" i="1"/>
  <c r="E53" i="1"/>
  <c r="E52" i="1"/>
  <c r="E51" i="1"/>
  <c r="E50" i="1"/>
  <c r="E49" i="1"/>
  <c r="E39" i="1"/>
  <c r="E38" i="1"/>
  <c r="E36" i="1"/>
  <c r="E35" i="1"/>
  <c r="E34" i="1"/>
  <c r="E33" i="1"/>
  <c r="E32" i="1"/>
  <c r="E31" i="1"/>
  <c r="E30" i="1"/>
  <c r="E29" i="1"/>
  <c r="E28" i="1"/>
  <c r="E27" i="1"/>
  <c r="E25" i="1"/>
  <c r="E24" i="1"/>
  <c r="E22" i="1"/>
  <c r="E21" i="1"/>
  <c r="E20" i="1"/>
  <c r="E19" i="1"/>
  <c r="E17" i="1"/>
  <c r="E16" i="1"/>
  <c r="E15" i="1"/>
  <c r="E14" i="1"/>
  <c r="E13" i="1"/>
  <c r="E11" i="1"/>
  <c r="E10" i="1"/>
  <c r="E8" i="1"/>
  <c r="E7" i="1"/>
  <c r="J3" i="95" a="1"/>
  <c r="J3" i="95" s="1"/>
  <c r="J4" i="95" a="1"/>
  <c r="J4" i="95" s="1"/>
  <c r="J5" i="95" a="1"/>
  <c r="J5" i="95" s="1"/>
  <c r="J6" i="95" a="1"/>
  <c r="J6" i="95" s="1"/>
  <c r="J7" i="95" a="1"/>
  <c r="J7" i="95" s="1"/>
  <c r="J8" i="95" a="1"/>
  <c r="J8" i="95" s="1"/>
  <c r="J9" i="95" a="1"/>
  <c r="J9" i="95" s="1"/>
  <c r="J10" i="95" a="1"/>
  <c r="J10" i="95" s="1"/>
  <c r="J11" i="95" a="1"/>
  <c r="J11" i="95" s="1"/>
  <c r="J12" i="95" a="1"/>
  <c r="J12" i="95" s="1"/>
  <c r="J13" i="95" a="1"/>
  <c r="J13" i="95" s="1"/>
  <c r="J14" i="95" a="1"/>
  <c r="J14" i="95" s="1"/>
  <c r="J15" i="95" a="1"/>
  <c r="J15" i="95" s="1"/>
  <c r="J16" i="95" a="1"/>
  <c r="J16" i="95" s="1"/>
  <c r="J17" i="95" a="1"/>
  <c r="J17" i="95" s="1"/>
  <c r="J18" i="95" a="1"/>
  <c r="J18" i="95" s="1"/>
  <c r="J19" i="95" a="1"/>
  <c r="J19" i="95" s="1"/>
  <c r="J20" i="95" a="1"/>
  <c r="J20" i="95" s="1"/>
  <c r="J21" i="95" a="1"/>
  <c r="J21" i="95" s="1"/>
  <c r="J22" i="95" a="1"/>
  <c r="J22" i="95" s="1"/>
  <c r="J23" i="95" a="1"/>
  <c r="J23" i="95" s="1"/>
  <c r="J24" i="95" a="1"/>
  <c r="J24" i="95" s="1"/>
  <c r="J25" i="95" a="1"/>
  <c r="J25" i="95" s="1"/>
  <c r="J26" i="95" a="1"/>
  <c r="J26" i="95"/>
  <c r="J27" i="95" a="1"/>
  <c r="J27" i="95" s="1"/>
  <c r="J28" i="95" a="1"/>
  <c r="J28" i="95" s="1"/>
  <c r="J29" i="95" a="1"/>
  <c r="J29" i="95" s="1"/>
  <c r="J30" i="95" a="1"/>
  <c r="J30" i="95" s="1"/>
  <c r="J31" i="95" a="1"/>
  <c r="J31" i="95" s="1"/>
  <c r="J32" i="95" a="1"/>
  <c r="J32" i="95" s="1"/>
  <c r="J33" i="95" a="1"/>
  <c r="J33" i="95" s="1"/>
  <c r="J34" i="95" a="1"/>
  <c r="J34" i="95" s="1"/>
  <c r="J35" i="95" a="1"/>
  <c r="J35" i="95" s="1"/>
  <c r="J36" i="95" a="1"/>
  <c r="J36" i="95" s="1"/>
  <c r="J37" i="95" a="1"/>
  <c r="J37" i="95" s="1"/>
  <c r="J38" i="95" a="1"/>
  <c r="J38" i="95" s="1"/>
  <c r="J39" i="95" a="1"/>
  <c r="J39" i="95" s="1"/>
  <c r="J40" i="95" a="1"/>
  <c r="J40" i="95" s="1"/>
  <c r="J41" i="95" a="1"/>
  <c r="J41" i="95" s="1"/>
  <c r="J42" i="95" a="1"/>
  <c r="J42" i="95" s="1"/>
  <c r="J43" i="95" a="1"/>
  <c r="J43" i="95" s="1"/>
  <c r="J44" i="95" a="1"/>
  <c r="J44" i="95" s="1"/>
  <c r="J45" i="95" a="1"/>
  <c r="J45" i="95" s="1"/>
  <c r="J46" i="95" a="1"/>
  <c r="J46" i="95" s="1"/>
  <c r="J47" i="95" a="1"/>
  <c r="J47" i="95" s="1"/>
  <c r="J48" i="95" a="1"/>
  <c r="J48" i="95" s="1"/>
  <c r="J49" i="95" a="1"/>
  <c r="J49" i="95" s="1"/>
  <c r="J50" i="95" a="1"/>
  <c r="J50" i="95" s="1"/>
  <c r="J51" i="95" a="1"/>
  <c r="J51" i="95" s="1"/>
  <c r="J52" i="95" a="1"/>
  <c r="J52" i="95" s="1"/>
  <c r="J53" i="95" a="1"/>
  <c r="J53" i="95" s="1"/>
  <c r="J54" i="95" a="1"/>
  <c r="J54" i="95" s="1"/>
  <c r="J55" i="95" a="1"/>
  <c r="J55" i="95" s="1"/>
  <c r="J56" i="95" a="1"/>
  <c r="J56" i="95" s="1"/>
  <c r="J57" i="95" a="1"/>
  <c r="J57" i="95" s="1"/>
  <c r="J58" i="95" a="1"/>
  <c r="J58" i="95" s="1"/>
  <c r="J59" i="95" a="1"/>
  <c r="J59" i="95" s="1"/>
  <c r="J60" i="95" a="1"/>
  <c r="J60" i="95" s="1"/>
  <c r="J61" i="95" a="1"/>
  <c r="J61" i="95" s="1"/>
  <c r="J62" i="95" a="1"/>
  <c r="J62" i="95" s="1"/>
  <c r="J63" i="95" a="1"/>
  <c r="J63" i="95" s="1"/>
  <c r="J64" i="95" a="1"/>
  <c r="J64" i="95" s="1"/>
  <c r="J65" i="95" a="1"/>
  <c r="J65" i="95" s="1"/>
  <c r="J66" i="95" a="1"/>
  <c r="J66" i="95" s="1"/>
  <c r="J67" i="95" a="1"/>
  <c r="J67" i="95" s="1"/>
  <c r="J68" i="95" a="1"/>
  <c r="J68" i="95" s="1"/>
  <c r="J69" i="95" a="1"/>
  <c r="J69" i="95" s="1"/>
  <c r="J70" i="95" a="1"/>
  <c r="J70" i="95" s="1"/>
  <c r="J71" i="95" a="1"/>
  <c r="J71" i="95" s="1"/>
  <c r="J72" i="95" a="1"/>
  <c r="J72" i="95" s="1"/>
  <c r="E3" i="95" a="1"/>
  <c r="E3" i="95" s="1"/>
  <c r="F3" i="95" a="1"/>
  <c r="F3" i="95" s="1"/>
  <c r="G3" i="95" a="1"/>
  <c r="G3" i="95" s="1"/>
  <c r="H3" i="95" a="1"/>
  <c r="H3" i="95" s="1"/>
  <c r="I3" i="95" a="1"/>
  <c r="I3" i="95" s="1"/>
  <c r="E4" i="95" a="1"/>
  <c r="E4" i="95" s="1"/>
  <c r="F4" i="95" a="1"/>
  <c r="F4" i="95" s="1"/>
  <c r="G4" i="95" a="1"/>
  <c r="G4" i="95" s="1"/>
  <c r="H4" i="95" a="1"/>
  <c r="H4" i="95" s="1"/>
  <c r="I4" i="95" a="1"/>
  <c r="I4" i="95" s="1"/>
  <c r="E5" i="95" a="1"/>
  <c r="E5" i="95" s="1"/>
  <c r="F5" i="95" a="1"/>
  <c r="F5" i="95" s="1"/>
  <c r="G5" i="95" a="1"/>
  <c r="G5" i="95" s="1"/>
  <c r="H5" i="95" a="1"/>
  <c r="H5" i="95" s="1"/>
  <c r="I5" i="95" a="1"/>
  <c r="I5" i="95" s="1"/>
  <c r="E6" i="95" a="1"/>
  <c r="E6" i="95" s="1"/>
  <c r="F6" i="95" a="1"/>
  <c r="F6" i="95" s="1"/>
  <c r="G6" i="95" a="1"/>
  <c r="G6" i="95" s="1"/>
  <c r="H6" i="95" a="1"/>
  <c r="H6" i="95" s="1"/>
  <c r="I6" i="95" a="1"/>
  <c r="I6" i="95" s="1"/>
  <c r="E7" i="95" a="1"/>
  <c r="E7" i="95" s="1"/>
  <c r="F7" i="95" a="1"/>
  <c r="F7" i="95" s="1"/>
  <c r="G7" i="95" a="1"/>
  <c r="G7" i="95" s="1"/>
  <c r="H7" i="95" a="1"/>
  <c r="H7" i="95" s="1"/>
  <c r="I7" i="95" a="1"/>
  <c r="I7" i="95" s="1"/>
  <c r="E8" i="95" a="1"/>
  <c r="E8" i="95" s="1"/>
  <c r="F8" i="95" a="1"/>
  <c r="F8" i="95" s="1"/>
  <c r="G8" i="95" a="1"/>
  <c r="G8" i="95" s="1"/>
  <c r="H8" i="95" a="1"/>
  <c r="H8" i="95" s="1"/>
  <c r="I8" i="95" a="1"/>
  <c r="I8" i="95" s="1"/>
  <c r="E9" i="95" a="1"/>
  <c r="E9" i="95" s="1"/>
  <c r="F9" i="95" a="1"/>
  <c r="F9" i="95" s="1"/>
  <c r="G9" i="95" a="1"/>
  <c r="G9" i="95" s="1"/>
  <c r="H9" i="95" a="1"/>
  <c r="H9" i="95" s="1"/>
  <c r="I9" i="95" a="1"/>
  <c r="I9" i="95" s="1"/>
  <c r="E10" i="95" a="1"/>
  <c r="E10" i="95" s="1"/>
  <c r="F10" i="95" a="1"/>
  <c r="F10" i="95" s="1"/>
  <c r="G10" i="95" a="1"/>
  <c r="G10" i="95" s="1"/>
  <c r="H10" i="95" a="1"/>
  <c r="H10" i="95" s="1"/>
  <c r="I10" i="95" a="1"/>
  <c r="I10" i="95" s="1"/>
  <c r="E11" i="95" a="1"/>
  <c r="E11" i="95" s="1"/>
  <c r="F11" i="95" a="1"/>
  <c r="F11" i="95" s="1"/>
  <c r="G11" i="95" a="1"/>
  <c r="G11" i="95" s="1"/>
  <c r="H11" i="95" a="1"/>
  <c r="H11" i="95" s="1"/>
  <c r="I11" i="95" a="1"/>
  <c r="I11" i="95" s="1"/>
  <c r="E12" i="95" a="1"/>
  <c r="E12" i="95" s="1"/>
  <c r="F12" i="95" a="1"/>
  <c r="F12" i="95" s="1"/>
  <c r="G12" i="95" a="1"/>
  <c r="G12" i="95" s="1"/>
  <c r="H12" i="95" a="1"/>
  <c r="H12" i="95" s="1"/>
  <c r="I12" i="95" a="1"/>
  <c r="I12" i="95" s="1"/>
  <c r="E13" i="95" a="1"/>
  <c r="E13" i="95" s="1"/>
  <c r="F13" i="95" a="1"/>
  <c r="F13" i="95" s="1"/>
  <c r="G13" i="95" a="1"/>
  <c r="G13" i="95" s="1"/>
  <c r="H13" i="95" a="1"/>
  <c r="H13" i="95" s="1"/>
  <c r="I13" i="95" a="1"/>
  <c r="I13" i="95" s="1"/>
  <c r="E14" i="95" a="1"/>
  <c r="E14" i="95" s="1"/>
  <c r="F14" i="95" a="1"/>
  <c r="F14" i="95" s="1"/>
  <c r="G14" i="95" a="1"/>
  <c r="G14" i="95" s="1"/>
  <c r="H14" i="95" a="1"/>
  <c r="H14" i="95" s="1"/>
  <c r="I14" i="95" a="1"/>
  <c r="I14" i="95" s="1"/>
  <c r="E15" i="95" a="1"/>
  <c r="E15" i="95" s="1"/>
  <c r="F15" i="95" a="1"/>
  <c r="F15" i="95" s="1"/>
  <c r="G15" i="95" a="1"/>
  <c r="G15" i="95" s="1"/>
  <c r="H15" i="95" a="1"/>
  <c r="H15" i="95" s="1"/>
  <c r="I15" i="95" a="1"/>
  <c r="I15" i="95" s="1"/>
  <c r="E16" i="95" a="1"/>
  <c r="E16" i="95" s="1"/>
  <c r="F16" i="95" a="1"/>
  <c r="F16" i="95" s="1"/>
  <c r="G16" i="95" a="1"/>
  <c r="G16" i="95" s="1"/>
  <c r="H16" i="95" a="1"/>
  <c r="H16" i="95" s="1"/>
  <c r="I16" i="95" a="1"/>
  <c r="I16" i="95" s="1"/>
  <c r="E17" i="95" a="1"/>
  <c r="E17" i="95" s="1"/>
  <c r="F17" i="95" a="1"/>
  <c r="F17" i="95" s="1"/>
  <c r="G17" i="95" a="1"/>
  <c r="G17" i="95" s="1"/>
  <c r="H17" i="95" a="1"/>
  <c r="H17" i="95" s="1"/>
  <c r="I17" i="95" a="1"/>
  <c r="I17" i="95" s="1"/>
  <c r="E18" i="95" a="1"/>
  <c r="E18" i="95" s="1"/>
  <c r="F18" i="95" a="1"/>
  <c r="F18" i="95" s="1"/>
  <c r="G18" i="95" a="1"/>
  <c r="G18" i="95" s="1"/>
  <c r="H18" i="95" a="1"/>
  <c r="H18" i="95" s="1"/>
  <c r="I18" i="95" a="1"/>
  <c r="I18" i="95" s="1"/>
  <c r="E19" i="95" a="1"/>
  <c r="E19" i="95" s="1"/>
  <c r="F19" i="95" a="1"/>
  <c r="F19" i="95" s="1"/>
  <c r="G19" i="95" a="1"/>
  <c r="G19" i="95" s="1"/>
  <c r="H19" i="95" a="1"/>
  <c r="H19" i="95" s="1"/>
  <c r="I19" i="95" a="1"/>
  <c r="I19" i="95" s="1"/>
  <c r="E20" i="95" a="1"/>
  <c r="E20" i="95" s="1"/>
  <c r="F20" i="95" a="1"/>
  <c r="F20" i="95" s="1"/>
  <c r="G20" i="95" a="1"/>
  <c r="G20" i="95" s="1"/>
  <c r="H20" i="95" a="1"/>
  <c r="H20" i="95" s="1"/>
  <c r="I20" i="95" a="1"/>
  <c r="I20" i="95" s="1"/>
  <c r="E21" i="95" a="1"/>
  <c r="E21" i="95" s="1"/>
  <c r="F21" i="95" a="1"/>
  <c r="F21" i="95" s="1"/>
  <c r="G21" i="95" a="1"/>
  <c r="G21" i="95" s="1"/>
  <c r="H21" i="95" a="1"/>
  <c r="H21" i="95" s="1"/>
  <c r="I21" i="95" a="1"/>
  <c r="I21" i="95" s="1"/>
  <c r="E22" i="95" a="1"/>
  <c r="E22" i="95" s="1"/>
  <c r="F22" i="95" a="1"/>
  <c r="F22" i="95" s="1"/>
  <c r="G22" i="95" a="1"/>
  <c r="G22" i="95" s="1"/>
  <c r="H22" i="95" a="1"/>
  <c r="H22" i="95" s="1"/>
  <c r="I22" i="95" a="1"/>
  <c r="I22" i="95" s="1"/>
  <c r="E23" i="95" a="1"/>
  <c r="E23" i="95" s="1"/>
  <c r="F23" i="95" a="1"/>
  <c r="F23" i="95" s="1"/>
  <c r="G23" i="95" a="1"/>
  <c r="G23" i="95" s="1"/>
  <c r="H23" i="95" a="1"/>
  <c r="H23" i="95" s="1"/>
  <c r="I23" i="95" a="1"/>
  <c r="I23" i="95" s="1"/>
  <c r="E24" i="95" a="1"/>
  <c r="E24" i="95" s="1"/>
  <c r="F24" i="95" a="1"/>
  <c r="F24" i="95" s="1"/>
  <c r="G24" i="95" a="1"/>
  <c r="G24" i="95" s="1"/>
  <c r="H24" i="95" a="1"/>
  <c r="H24" i="95" s="1"/>
  <c r="I24" i="95" a="1"/>
  <c r="I24" i="95" s="1"/>
  <c r="E25" i="95" a="1"/>
  <c r="E25" i="95" s="1"/>
  <c r="F25" i="95" a="1"/>
  <c r="F25" i="95" s="1"/>
  <c r="G25" i="95" a="1"/>
  <c r="G25" i="95" s="1"/>
  <c r="H25" i="95" a="1"/>
  <c r="H25" i="95" s="1"/>
  <c r="I25" i="95" a="1"/>
  <c r="I25" i="95" s="1"/>
  <c r="E26" i="95" a="1"/>
  <c r="E26" i="95" s="1"/>
  <c r="F26" i="95" a="1"/>
  <c r="F26" i="95" s="1"/>
  <c r="G26" i="95" a="1"/>
  <c r="G26" i="95" s="1"/>
  <c r="H26" i="95" a="1"/>
  <c r="H26" i="95" s="1"/>
  <c r="I26" i="95" a="1"/>
  <c r="I26" i="95" s="1"/>
  <c r="E27" i="95" a="1"/>
  <c r="E27" i="95" s="1"/>
  <c r="F27" i="95" a="1"/>
  <c r="F27" i="95" s="1"/>
  <c r="G27" i="95" a="1"/>
  <c r="G27" i="95" s="1"/>
  <c r="H27" i="95" a="1"/>
  <c r="H27" i="95" s="1"/>
  <c r="I27" i="95" a="1"/>
  <c r="I27" i="95" s="1"/>
  <c r="E28" i="95" a="1"/>
  <c r="E28" i="95" s="1"/>
  <c r="F28" i="95" a="1"/>
  <c r="F28" i="95" s="1"/>
  <c r="G28" i="95" a="1"/>
  <c r="G28" i="95" s="1"/>
  <c r="H28" i="95" a="1"/>
  <c r="H28" i="95" s="1"/>
  <c r="I28" i="95" a="1"/>
  <c r="I28" i="95" s="1"/>
  <c r="E29" i="95" a="1"/>
  <c r="E29" i="95" s="1"/>
  <c r="F29" i="95" a="1"/>
  <c r="F29" i="95" s="1"/>
  <c r="G29" i="95" a="1"/>
  <c r="G29" i="95" s="1"/>
  <c r="H29" i="95" a="1"/>
  <c r="H29" i="95" s="1"/>
  <c r="I29" i="95" a="1"/>
  <c r="I29" i="95" s="1"/>
  <c r="E30" i="95" a="1"/>
  <c r="E30" i="95" s="1"/>
  <c r="F30" i="95" a="1"/>
  <c r="F30" i="95" s="1"/>
  <c r="G30" i="95" a="1"/>
  <c r="G30" i="95" s="1"/>
  <c r="H30" i="95" a="1"/>
  <c r="H30" i="95" s="1"/>
  <c r="I30" i="95" a="1"/>
  <c r="I30" i="95" s="1"/>
  <c r="E31" i="95" a="1"/>
  <c r="E31" i="95" s="1"/>
  <c r="F31" i="95" a="1"/>
  <c r="F31" i="95" s="1"/>
  <c r="G31" i="95" a="1"/>
  <c r="G31" i="95" s="1"/>
  <c r="H31" i="95" a="1"/>
  <c r="H31" i="95" s="1"/>
  <c r="I31" i="95" a="1"/>
  <c r="I31" i="95" s="1"/>
  <c r="E32" i="95" a="1"/>
  <c r="E32" i="95" s="1"/>
  <c r="F32" i="95" a="1"/>
  <c r="F32" i="95" s="1"/>
  <c r="G32" i="95" a="1"/>
  <c r="G32" i="95" s="1"/>
  <c r="H32" i="95" a="1"/>
  <c r="H32" i="95" s="1"/>
  <c r="I32" i="95" a="1"/>
  <c r="I32" i="95" s="1"/>
  <c r="E33" i="95" a="1"/>
  <c r="E33" i="95" s="1"/>
  <c r="F33" i="95" a="1"/>
  <c r="F33" i="95" s="1"/>
  <c r="G33" i="95" a="1"/>
  <c r="G33" i="95" s="1"/>
  <c r="H33" i="95" a="1"/>
  <c r="H33" i="95" s="1"/>
  <c r="I33" i="95" a="1"/>
  <c r="I33" i="95" s="1"/>
  <c r="E34" i="95" a="1"/>
  <c r="E34" i="95" s="1"/>
  <c r="F34" i="95" a="1"/>
  <c r="F34" i="95" s="1"/>
  <c r="G34" i="95" a="1"/>
  <c r="G34" i="95" s="1"/>
  <c r="H34" i="95" a="1"/>
  <c r="H34" i="95" s="1"/>
  <c r="I34" i="95" a="1"/>
  <c r="I34" i="95" s="1"/>
  <c r="E35" i="95" a="1"/>
  <c r="E35" i="95" s="1"/>
  <c r="F35" i="95" a="1"/>
  <c r="F35" i="95" s="1"/>
  <c r="G35" i="95" a="1"/>
  <c r="G35" i="95" s="1"/>
  <c r="H35" i="95" a="1"/>
  <c r="H35" i="95" s="1"/>
  <c r="I35" i="95" a="1"/>
  <c r="I35" i="95" s="1"/>
  <c r="E36" i="95" a="1"/>
  <c r="E36" i="95" s="1"/>
  <c r="F36" i="95" a="1"/>
  <c r="F36" i="95" s="1"/>
  <c r="G36" i="95" a="1"/>
  <c r="G36" i="95" s="1"/>
  <c r="H36" i="95" a="1"/>
  <c r="H36" i="95" s="1"/>
  <c r="I36" i="95" a="1"/>
  <c r="I36" i="95" s="1"/>
  <c r="E37" i="95" a="1"/>
  <c r="E37" i="95" s="1"/>
  <c r="F37" i="95" a="1"/>
  <c r="F37" i="95" s="1"/>
  <c r="G37" i="95" a="1"/>
  <c r="G37" i="95" s="1"/>
  <c r="H37" i="95" a="1"/>
  <c r="H37" i="95" s="1"/>
  <c r="I37" i="95" a="1"/>
  <c r="I37" i="95" s="1"/>
  <c r="E38" i="95" a="1"/>
  <c r="E38" i="95" s="1"/>
  <c r="F38" i="95" a="1"/>
  <c r="F38" i="95" s="1"/>
  <c r="G38" i="95" a="1"/>
  <c r="G38" i="95" s="1"/>
  <c r="H38" i="95" a="1"/>
  <c r="H38" i="95" s="1"/>
  <c r="I38" i="95" a="1"/>
  <c r="I38" i="95" s="1"/>
  <c r="E39" i="95" a="1"/>
  <c r="E39" i="95" s="1"/>
  <c r="F39" i="95" a="1"/>
  <c r="F39" i="95" s="1"/>
  <c r="G39" i="95" a="1"/>
  <c r="G39" i="95" s="1"/>
  <c r="H39" i="95" a="1"/>
  <c r="H39" i="95" s="1"/>
  <c r="I39" i="95" a="1"/>
  <c r="I39" i="95" s="1"/>
  <c r="E40" i="95" a="1"/>
  <c r="E40" i="95" s="1"/>
  <c r="F40" i="95" a="1"/>
  <c r="F40" i="95" s="1"/>
  <c r="G40" i="95" a="1"/>
  <c r="G40" i="95" s="1"/>
  <c r="H40" i="95" a="1"/>
  <c r="H40" i="95" s="1"/>
  <c r="I40" i="95" a="1"/>
  <c r="I40" i="95" s="1"/>
  <c r="E41" i="95" a="1"/>
  <c r="E41" i="95" s="1"/>
  <c r="F41" i="95" a="1"/>
  <c r="F41" i="95" s="1"/>
  <c r="G41" i="95" a="1"/>
  <c r="G41" i="95" s="1"/>
  <c r="H41" i="95" a="1"/>
  <c r="H41" i="95" s="1"/>
  <c r="I41" i="95" a="1"/>
  <c r="I41" i="95" s="1"/>
  <c r="E42" i="95" a="1"/>
  <c r="E42" i="95" s="1"/>
  <c r="F42" i="95" a="1"/>
  <c r="F42" i="95" s="1"/>
  <c r="G42" i="95" a="1"/>
  <c r="G42" i="95" s="1"/>
  <c r="H42" i="95" a="1"/>
  <c r="H42" i="95" s="1"/>
  <c r="I42" i="95" a="1"/>
  <c r="I42" i="95" s="1"/>
  <c r="E43" i="95" a="1"/>
  <c r="E43" i="95" s="1"/>
  <c r="F43" i="95" a="1"/>
  <c r="F43" i="95" s="1"/>
  <c r="G43" i="95" a="1"/>
  <c r="G43" i="95" s="1"/>
  <c r="H43" i="95" a="1"/>
  <c r="H43" i="95" s="1"/>
  <c r="I43" i="95" a="1"/>
  <c r="I43" i="95" s="1"/>
  <c r="E44" i="95" a="1"/>
  <c r="E44" i="95" s="1"/>
  <c r="F44" i="95" a="1"/>
  <c r="F44" i="95" s="1"/>
  <c r="G44" i="95" a="1"/>
  <c r="G44" i="95" s="1"/>
  <c r="H44" i="95" a="1"/>
  <c r="H44" i="95" s="1"/>
  <c r="I44" i="95" a="1"/>
  <c r="I44" i="95" s="1"/>
  <c r="E45" i="95" a="1"/>
  <c r="E45" i="95" s="1"/>
  <c r="F45" i="95" a="1"/>
  <c r="F45" i="95" s="1"/>
  <c r="G45" i="95" a="1"/>
  <c r="G45" i="95" s="1"/>
  <c r="H45" i="95" a="1"/>
  <c r="H45" i="95" s="1"/>
  <c r="I45" i="95" a="1"/>
  <c r="I45" i="95" s="1"/>
  <c r="E46" i="95" a="1"/>
  <c r="E46" i="95" s="1"/>
  <c r="F46" i="95" a="1"/>
  <c r="F46" i="95" s="1"/>
  <c r="G46" i="95" a="1"/>
  <c r="G46" i="95" s="1"/>
  <c r="H46" i="95" a="1"/>
  <c r="H46" i="95" s="1"/>
  <c r="I46" i="95" a="1"/>
  <c r="I46" i="95" s="1"/>
  <c r="E47" i="95" a="1"/>
  <c r="E47" i="95" s="1"/>
  <c r="F47" i="95" a="1"/>
  <c r="F47" i="95" s="1"/>
  <c r="G47" i="95" a="1"/>
  <c r="G47" i="95" s="1"/>
  <c r="H47" i="95" a="1"/>
  <c r="H47" i="95" s="1"/>
  <c r="I47" i="95" a="1"/>
  <c r="I47" i="95" s="1"/>
  <c r="E48" i="95" a="1"/>
  <c r="E48" i="95" s="1"/>
  <c r="F48" i="95" a="1"/>
  <c r="F48" i="95" s="1"/>
  <c r="G48" i="95" a="1"/>
  <c r="G48" i="95" s="1"/>
  <c r="H48" i="95" a="1"/>
  <c r="H48" i="95" s="1"/>
  <c r="I48" i="95" a="1"/>
  <c r="I48" i="95" s="1"/>
  <c r="E49" i="95" a="1"/>
  <c r="E49" i="95" s="1"/>
  <c r="F49" i="95" a="1"/>
  <c r="F49" i="95" s="1"/>
  <c r="G49" i="95" a="1"/>
  <c r="G49" i="95" s="1"/>
  <c r="H49" i="95" a="1"/>
  <c r="H49" i="95" s="1"/>
  <c r="I49" i="95" a="1"/>
  <c r="I49" i="95" s="1"/>
  <c r="E50" i="95" a="1"/>
  <c r="E50" i="95" s="1"/>
  <c r="F50" i="95" a="1"/>
  <c r="F50" i="95" s="1"/>
  <c r="G50" i="95" a="1"/>
  <c r="G50" i="95" s="1"/>
  <c r="H50" i="95" a="1"/>
  <c r="H50" i="95" s="1"/>
  <c r="I50" i="95" a="1"/>
  <c r="I50" i="95" s="1"/>
  <c r="E51" i="95" a="1"/>
  <c r="E51" i="95" s="1"/>
  <c r="F51" i="95" a="1"/>
  <c r="F51" i="95" s="1"/>
  <c r="G51" i="95" a="1"/>
  <c r="G51" i="95" s="1"/>
  <c r="H51" i="95" a="1"/>
  <c r="H51" i="95" s="1"/>
  <c r="I51" i="95" a="1"/>
  <c r="I51" i="95" s="1"/>
  <c r="E52" i="95" a="1"/>
  <c r="E52" i="95" s="1"/>
  <c r="F52" i="95" a="1"/>
  <c r="F52" i="95" s="1"/>
  <c r="G52" i="95" a="1"/>
  <c r="G52" i="95" s="1"/>
  <c r="H52" i="95" a="1"/>
  <c r="H52" i="95" s="1"/>
  <c r="I52" i="95" a="1"/>
  <c r="I52" i="95" s="1"/>
  <c r="E53" i="95" a="1"/>
  <c r="E53" i="95" s="1"/>
  <c r="F53" i="95" a="1"/>
  <c r="F53" i="95" s="1"/>
  <c r="G53" i="95" a="1"/>
  <c r="G53" i="95" s="1"/>
  <c r="H53" i="95" a="1"/>
  <c r="H53" i="95" s="1"/>
  <c r="I53" i="95" a="1"/>
  <c r="I53" i="95" s="1"/>
  <c r="E54" i="95" a="1"/>
  <c r="E54" i="95" s="1"/>
  <c r="F54" i="95" a="1"/>
  <c r="F54" i="95" s="1"/>
  <c r="G54" i="95" a="1"/>
  <c r="G54" i="95" s="1"/>
  <c r="H54" i="95" a="1"/>
  <c r="H54" i="95" s="1"/>
  <c r="I54" i="95" a="1"/>
  <c r="I54" i="95" s="1"/>
  <c r="E55" i="95" a="1"/>
  <c r="E55" i="95" s="1"/>
  <c r="F55" i="95" a="1"/>
  <c r="F55" i="95" s="1"/>
  <c r="G55" i="95" a="1"/>
  <c r="G55" i="95" s="1"/>
  <c r="H55" i="95" a="1"/>
  <c r="H55" i="95" s="1"/>
  <c r="I55" i="95" a="1"/>
  <c r="I55" i="95" s="1"/>
  <c r="E56" i="95" a="1"/>
  <c r="E56" i="95" s="1"/>
  <c r="F56" i="95" a="1"/>
  <c r="F56" i="95" s="1"/>
  <c r="G56" i="95" a="1"/>
  <c r="G56" i="95" s="1"/>
  <c r="H56" i="95" a="1"/>
  <c r="H56" i="95" s="1"/>
  <c r="I56" i="95" a="1"/>
  <c r="I56" i="95" s="1"/>
  <c r="E57" i="95" a="1"/>
  <c r="E57" i="95" s="1"/>
  <c r="F57" i="95" a="1"/>
  <c r="F57" i="95" s="1"/>
  <c r="G57" i="95" a="1"/>
  <c r="G57" i="95" s="1"/>
  <c r="H57" i="95" a="1"/>
  <c r="H57" i="95" s="1"/>
  <c r="I57" i="95" a="1"/>
  <c r="I57" i="95" s="1"/>
  <c r="E58" i="95" a="1"/>
  <c r="E58" i="95" s="1"/>
  <c r="F58" i="95" a="1"/>
  <c r="F58" i="95" s="1"/>
  <c r="G58" i="95" a="1"/>
  <c r="G58" i="95" s="1"/>
  <c r="H58" i="95" a="1"/>
  <c r="H58" i="95" s="1"/>
  <c r="I58" i="95" a="1"/>
  <c r="I58" i="95" s="1"/>
  <c r="E59" i="95" a="1"/>
  <c r="E59" i="95" s="1"/>
  <c r="F59" i="95" a="1"/>
  <c r="F59" i="95" s="1"/>
  <c r="G59" i="95" a="1"/>
  <c r="G59" i="95" s="1"/>
  <c r="H59" i="95" a="1"/>
  <c r="H59" i="95" s="1"/>
  <c r="I59" i="95" a="1"/>
  <c r="I59" i="95" s="1"/>
  <c r="E60" i="95" a="1"/>
  <c r="E60" i="95" s="1"/>
  <c r="F60" i="95" a="1"/>
  <c r="F60" i="95" s="1"/>
  <c r="G60" i="95" a="1"/>
  <c r="G60" i="95" s="1"/>
  <c r="H60" i="95" a="1"/>
  <c r="H60" i="95" s="1"/>
  <c r="I60" i="95" a="1"/>
  <c r="I60" i="95" s="1"/>
  <c r="E61" i="95" a="1"/>
  <c r="E61" i="95" s="1"/>
  <c r="F61" i="95" a="1"/>
  <c r="F61" i="95" s="1"/>
  <c r="G61" i="95" a="1"/>
  <c r="G61" i="95" s="1"/>
  <c r="H61" i="95" a="1"/>
  <c r="H61" i="95" s="1"/>
  <c r="I61" i="95" a="1"/>
  <c r="I61" i="95" s="1"/>
  <c r="E62" i="95" a="1"/>
  <c r="E62" i="95" s="1"/>
  <c r="F62" i="95" a="1"/>
  <c r="F62" i="95" s="1"/>
  <c r="G62" i="95" a="1"/>
  <c r="G62" i="95" s="1"/>
  <c r="H62" i="95" a="1"/>
  <c r="H62" i="95" s="1"/>
  <c r="I62" i="95" a="1"/>
  <c r="I62" i="95" s="1"/>
  <c r="E63" i="95" a="1"/>
  <c r="E63" i="95" s="1"/>
  <c r="F63" i="95" a="1"/>
  <c r="F63" i="95" s="1"/>
  <c r="G63" i="95" a="1"/>
  <c r="G63" i="95" s="1"/>
  <c r="H63" i="95" a="1"/>
  <c r="H63" i="95" s="1"/>
  <c r="I63" i="95" a="1"/>
  <c r="I63" i="95" s="1"/>
  <c r="E64" i="95" a="1"/>
  <c r="E64" i="95" s="1"/>
  <c r="F64" i="95" a="1"/>
  <c r="F64" i="95" s="1"/>
  <c r="G64" i="95" a="1"/>
  <c r="G64" i="95" s="1"/>
  <c r="H64" i="95" a="1"/>
  <c r="H64" i="95" s="1"/>
  <c r="I64" i="95" a="1"/>
  <c r="I64" i="95" s="1"/>
  <c r="E65" i="95" a="1"/>
  <c r="E65" i="95" s="1"/>
  <c r="F65" i="95" a="1"/>
  <c r="F65" i="95" s="1"/>
  <c r="G65" i="95" a="1"/>
  <c r="G65" i="95" s="1"/>
  <c r="H65" i="95" a="1"/>
  <c r="H65" i="95" s="1"/>
  <c r="I65" i="95" a="1"/>
  <c r="I65" i="95" s="1"/>
  <c r="E66" i="95" a="1"/>
  <c r="E66" i="95" s="1"/>
  <c r="F66" i="95" a="1"/>
  <c r="F66" i="95" s="1"/>
  <c r="G66" i="95" a="1"/>
  <c r="G66" i="95" s="1"/>
  <c r="H66" i="95" a="1"/>
  <c r="H66" i="95" s="1"/>
  <c r="I66" i="95" a="1"/>
  <c r="I66" i="95" s="1"/>
  <c r="E67" i="95" a="1"/>
  <c r="E67" i="95" s="1"/>
  <c r="F67" i="95" a="1"/>
  <c r="F67" i="95" s="1"/>
  <c r="G67" i="95" a="1"/>
  <c r="G67" i="95" s="1"/>
  <c r="H67" i="95" a="1"/>
  <c r="H67" i="95" s="1"/>
  <c r="I67" i="95" a="1"/>
  <c r="I67" i="95" s="1"/>
  <c r="E68" i="95" a="1"/>
  <c r="E68" i="95" s="1"/>
  <c r="F68" i="95" a="1"/>
  <c r="F68" i="95" s="1"/>
  <c r="G68" i="95" a="1"/>
  <c r="G68" i="95" s="1"/>
  <c r="H68" i="95" a="1"/>
  <c r="H68" i="95" s="1"/>
  <c r="I68" i="95" a="1"/>
  <c r="I68" i="95" s="1"/>
  <c r="E69" i="95" a="1"/>
  <c r="E69" i="95" s="1"/>
  <c r="F69" i="95" a="1"/>
  <c r="F69" i="95" s="1"/>
  <c r="G69" i="95" a="1"/>
  <c r="G69" i="95" s="1"/>
  <c r="H69" i="95" a="1"/>
  <c r="H69" i="95" s="1"/>
  <c r="I69" i="95" a="1"/>
  <c r="I69" i="95" s="1"/>
  <c r="E70" i="95" a="1"/>
  <c r="E70" i="95" s="1"/>
  <c r="F70" i="95" a="1"/>
  <c r="F70" i="95" s="1"/>
  <c r="G70" i="95" a="1"/>
  <c r="G70" i="95" s="1"/>
  <c r="H70" i="95" a="1"/>
  <c r="H70" i="95" s="1"/>
  <c r="I70" i="95" a="1"/>
  <c r="I70" i="95" s="1"/>
  <c r="E71" i="95" a="1"/>
  <c r="E71" i="95" s="1"/>
  <c r="F71" i="95" a="1"/>
  <c r="F71" i="95" s="1"/>
  <c r="G71" i="95" a="1"/>
  <c r="G71" i="95" s="1"/>
  <c r="H71" i="95" a="1"/>
  <c r="H71" i="95" s="1"/>
  <c r="I71" i="95" a="1"/>
  <c r="I71" i="95" s="1"/>
  <c r="E72" i="95" a="1"/>
  <c r="E72" i="95" s="1"/>
  <c r="F72" i="95" a="1"/>
  <c r="F72" i="95" s="1"/>
  <c r="G72" i="95" a="1"/>
  <c r="G72" i="95" s="1"/>
  <c r="H72" i="95" a="1"/>
  <c r="H72" i="95" s="1"/>
  <c r="I72" i="95" a="1"/>
  <c r="I72" i="95" s="1"/>
  <c r="D4" i="95" a="1"/>
  <c r="D4" i="95" s="1"/>
  <c r="D5" i="95" a="1"/>
  <c r="D5" i="95" s="1"/>
  <c r="D6" i="95" a="1"/>
  <c r="D6" i="95" s="1"/>
  <c r="D7" i="95" a="1"/>
  <c r="D7" i="95" s="1"/>
  <c r="D8" i="95" a="1"/>
  <c r="D8" i="95" s="1"/>
  <c r="D9" i="95" a="1"/>
  <c r="D9" i="95" s="1"/>
  <c r="D10" i="95" a="1"/>
  <c r="D10" i="95" s="1"/>
  <c r="D11" i="95" a="1"/>
  <c r="D11" i="95" s="1"/>
  <c r="D12" i="95" a="1"/>
  <c r="D12" i="95" s="1"/>
  <c r="D13" i="95" a="1"/>
  <c r="D13" i="95" s="1"/>
  <c r="D14" i="95" a="1"/>
  <c r="D14" i="95" s="1"/>
  <c r="D15" i="95" a="1"/>
  <c r="D15" i="95"/>
  <c r="D16" i="95" a="1"/>
  <c r="D16" i="95" s="1"/>
  <c r="D17" i="95" a="1"/>
  <c r="D17" i="95" s="1"/>
  <c r="D18" i="95" a="1"/>
  <c r="D18" i="95" s="1"/>
  <c r="D19" i="95" a="1"/>
  <c r="D19" i="95" s="1"/>
  <c r="D20" i="95" a="1"/>
  <c r="D20" i="95" s="1"/>
  <c r="D21" i="95" a="1"/>
  <c r="D21" i="95" s="1"/>
  <c r="D22" i="95" a="1"/>
  <c r="D22" i="95" s="1"/>
  <c r="D23" i="95" a="1"/>
  <c r="D23" i="95" s="1"/>
  <c r="D24" i="95" a="1"/>
  <c r="D24" i="95" s="1"/>
  <c r="D25" i="95" a="1"/>
  <c r="D25" i="95" s="1"/>
  <c r="D26" i="95" a="1"/>
  <c r="D26" i="95" s="1"/>
  <c r="D27" i="95" a="1"/>
  <c r="D27" i="95" s="1"/>
  <c r="D28" i="95" a="1"/>
  <c r="D28" i="95" s="1"/>
  <c r="D29" i="95" a="1"/>
  <c r="D29" i="95" s="1"/>
  <c r="D30" i="95" a="1"/>
  <c r="D30" i="95" s="1"/>
  <c r="D31" i="95" a="1"/>
  <c r="D31" i="95"/>
  <c r="D32" i="95" a="1"/>
  <c r="D32" i="95" s="1"/>
  <c r="D33" i="95" a="1"/>
  <c r="D33" i="95" s="1"/>
  <c r="D34" i="95" a="1"/>
  <c r="D34" i="95" s="1"/>
  <c r="D35" i="95" a="1"/>
  <c r="D35" i="95" s="1"/>
  <c r="D36" i="95" a="1"/>
  <c r="D36" i="95" s="1"/>
  <c r="D37" i="95" a="1"/>
  <c r="D37" i="95" s="1"/>
  <c r="D38" i="95" a="1"/>
  <c r="D38" i="95" s="1"/>
  <c r="D39" i="95" a="1"/>
  <c r="D39" i="95" s="1"/>
  <c r="D40" i="95" a="1"/>
  <c r="D40" i="95" s="1"/>
  <c r="D41" i="95" a="1"/>
  <c r="D41" i="95" s="1"/>
  <c r="D42" i="95" a="1"/>
  <c r="D42" i="95" s="1"/>
  <c r="D43" i="95" a="1"/>
  <c r="D43" i="95" s="1"/>
  <c r="D44" i="95" a="1"/>
  <c r="D44" i="95" s="1"/>
  <c r="D45" i="95" a="1"/>
  <c r="D45" i="95" s="1"/>
  <c r="D46" i="95" a="1"/>
  <c r="D46" i="95" s="1"/>
  <c r="D47" i="95" a="1"/>
  <c r="D47" i="95" s="1"/>
  <c r="D48" i="95" a="1"/>
  <c r="D48" i="95" s="1"/>
  <c r="D49" i="95" a="1"/>
  <c r="D49" i="95" s="1"/>
  <c r="D50" i="95" a="1"/>
  <c r="D50" i="95" s="1"/>
  <c r="D51" i="95" a="1"/>
  <c r="D51" i="95" s="1"/>
  <c r="D52" i="95" a="1"/>
  <c r="D52" i="95" s="1"/>
  <c r="D53" i="95" a="1"/>
  <c r="D53" i="95" s="1"/>
  <c r="D54" i="95" a="1"/>
  <c r="D54" i="95" s="1"/>
  <c r="D55" i="95" a="1"/>
  <c r="D55" i="95" s="1"/>
  <c r="D56" i="95" a="1"/>
  <c r="D56" i="95" s="1"/>
  <c r="D57" i="95" a="1"/>
  <c r="D57" i="95" s="1"/>
  <c r="D58" i="95" a="1"/>
  <c r="D58" i="95" s="1"/>
  <c r="D59" i="95" a="1"/>
  <c r="D59" i="95" s="1"/>
  <c r="D60" i="95" a="1"/>
  <c r="D60" i="95" s="1"/>
  <c r="D61" i="95" a="1"/>
  <c r="D61" i="95" s="1"/>
  <c r="D62" i="95" a="1"/>
  <c r="D62" i="95" s="1"/>
  <c r="D63" i="95" a="1"/>
  <c r="D63" i="95" s="1"/>
  <c r="D64" i="95" a="1"/>
  <c r="D64" i="95" s="1"/>
  <c r="D65" i="95" a="1"/>
  <c r="D65" i="95" s="1"/>
  <c r="D66" i="95" a="1"/>
  <c r="D66" i="95" s="1"/>
  <c r="D67" i="95" a="1"/>
  <c r="D67" i="95" s="1"/>
  <c r="D68" i="95" a="1"/>
  <c r="D68" i="95" s="1"/>
  <c r="D69" i="95" a="1"/>
  <c r="D69" i="95" s="1"/>
  <c r="D70" i="95" a="1"/>
  <c r="D70" i="95" s="1"/>
  <c r="D71" i="95" a="1"/>
  <c r="D71" i="95" s="1"/>
  <c r="D72" i="95" a="1"/>
  <c r="D72" i="95" s="1"/>
  <c r="D3" i="95" a="1"/>
  <c r="D3" i="95" s="1"/>
  <c r="B3" i="93"/>
  <c r="E29" i="94"/>
  <c r="E4" i="94"/>
  <c r="C4" i="94"/>
  <c r="B4" i="94"/>
  <c r="E107" i="1" l="1"/>
  <c r="C58" i="28"/>
  <c r="C57" i="28"/>
  <c r="C56" i="28"/>
  <c r="C55" i="28"/>
  <c r="C54" i="28"/>
  <c r="C53" i="28"/>
  <c r="C52" i="28"/>
  <c r="C51" i="28"/>
  <c r="B58" i="28"/>
  <c r="B57" i="28"/>
  <c r="B56" i="28"/>
  <c r="B55" i="28"/>
  <c r="B54" i="28"/>
  <c r="B53" i="28"/>
  <c r="B52" i="28"/>
  <c r="B51" i="28"/>
  <c r="E176" i="82" l="1"/>
  <c r="F176" i="82"/>
  <c r="G176" i="82"/>
  <c r="H176" i="82"/>
  <c r="I176" i="82"/>
  <c r="J176" i="82"/>
  <c r="J178" i="82" s="1"/>
  <c r="D176" i="82"/>
  <c r="H79" i="1"/>
  <c r="H69" i="1" l="1"/>
  <c r="G69" i="1" s="1"/>
  <c r="A42" i="91" l="1"/>
  <c r="B38" i="91" l="1"/>
  <c r="B34" i="91"/>
  <c r="B36" i="91"/>
  <c r="L86" i="28"/>
  <c r="E78" i="28"/>
  <c r="L78" i="28" s="1"/>
  <c r="E14" i="88" s="1"/>
  <c r="G14" i="88" s="1"/>
  <c r="C78" i="28"/>
  <c r="A78" i="28"/>
  <c r="D20" i="91"/>
  <c r="E62" i="28"/>
  <c r="L62" i="28" s="1"/>
  <c r="B62" i="28"/>
  <c r="C62" i="28"/>
  <c r="A62" i="28"/>
  <c r="E100" i="28" l="1"/>
  <c r="E97" i="28"/>
  <c r="L71" i="28" l="1"/>
  <c r="E70" i="28"/>
  <c r="L70" i="28" s="1"/>
  <c r="E74" i="28"/>
  <c r="L74" i="28" s="1"/>
  <c r="E61" i="28"/>
  <c r="L61" i="28" s="1"/>
  <c r="E60" i="28"/>
  <c r="L60" i="28" s="1"/>
  <c r="C74" i="28"/>
  <c r="A74" i="28"/>
  <c r="E80" i="28"/>
  <c r="L80" i="28" s="1"/>
  <c r="E79" i="28"/>
  <c r="L79" i="28" s="1"/>
  <c r="E77" i="28"/>
  <c r="L77" i="28" s="1"/>
  <c r="E76" i="28"/>
  <c r="L76" i="28" s="1"/>
  <c r="E69" i="28"/>
  <c r="E75" i="28"/>
  <c r="L75" i="28" s="1"/>
  <c r="E68" i="28"/>
  <c r="L68" i="28" s="1"/>
  <c r="E67" i="28"/>
  <c r="L67" i="28" s="1"/>
  <c r="E66" i="28"/>
  <c r="L66" i="28" s="1"/>
  <c r="E65" i="28"/>
  <c r="L65" i="28" s="1"/>
  <c r="A63" i="28"/>
  <c r="B63" i="28"/>
  <c r="C63" i="28"/>
  <c r="E64" i="28"/>
  <c r="L64" i="28" s="1"/>
  <c r="E63" i="28"/>
  <c r="E59" i="28"/>
  <c r="L59" i="28" s="1"/>
  <c r="E52" i="28"/>
  <c r="L52" i="28" s="1"/>
  <c r="E53" i="28"/>
  <c r="L53" i="28" s="1"/>
  <c r="E54" i="28"/>
  <c r="L54" i="28" s="1"/>
  <c r="E55" i="28"/>
  <c r="L55" i="28" s="1"/>
  <c r="E56" i="28"/>
  <c r="L56" i="28" s="1"/>
  <c r="E57" i="28"/>
  <c r="L57" i="28" s="1"/>
  <c r="E58" i="28"/>
  <c r="L58" i="28" s="1"/>
  <c r="A52" i="28"/>
  <c r="A53" i="28"/>
  <c r="A54" i="28"/>
  <c r="A55" i="28"/>
  <c r="A56" i="28"/>
  <c r="A57" i="28"/>
  <c r="A58" i="28"/>
  <c r="E51" i="28"/>
  <c r="L51" i="28" s="1"/>
  <c r="A51" i="28"/>
  <c r="D180" i="82"/>
  <c r="D179" i="82" s="1"/>
  <c r="C10" i="94" l="1"/>
  <c r="E10" i="94" s="1"/>
  <c r="E31" i="94"/>
  <c r="D11" i="93"/>
  <c r="C28" i="94"/>
  <c r="E28" i="94" s="1"/>
  <c r="D20" i="93"/>
  <c r="C30" i="94"/>
  <c r="D22" i="93"/>
  <c r="C26" i="94"/>
  <c r="E26" i="94" s="1"/>
  <c r="D17" i="93"/>
  <c r="E12" i="88"/>
  <c r="D168" i="82"/>
  <c r="D174" i="82" s="1"/>
  <c r="L69" i="28"/>
  <c r="L63" i="28"/>
  <c r="C32" i="94" l="1"/>
  <c r="E30" i="94"/>
  <c r="E32" i="94" s="1"/>
  <c r="D24" i="93"/>
  <c r="D27" i="91"/>
  <c r="D26" i="91"/>
  <c r="D16" i="91"/>
  <c r="D15" i="91"/>
  <c r="D10" i="91"/>
  <c r="D9" i="91"/>
  <c r="E103" i="28" l="1"/>
  <c r="C103" i="28"/>
  <c r="C70" i="28"/>
  <c r="C71" i="28"/>
  <c r="A70" i="28"/>
  <c r="A71" i="28"/>
  <c r="C80" i="28"/>
  <c r="A80" i="28"/>
  <c r="C75" i="28"/>
  <c r="C76" i="28"/>
  <c r="C77" i="28"/>
  <c r="C79" i="28"/>
  <c r="A76" i="28"/>
  <c r="A77" i="28"/>
  <c r="A79" i="28"/>
  <c r="A75" i="28"/>
  <c r="C69" i="28"/>
  <c r="A69" i="28"/>
  <c r="C68" i="28"/>
  <c r="A68" i="28"/>
  <c r="E50" i="28"/>
  <c r="B50" i="28"/>
  <c r="C50" i="28"/>
  <c r="A50" i="28"/>
  <c r="L50" i="28" l="1"/>
  <c r="C4" i="88" l="1"/>
  <c r="L8" i="88" s="1"/>
  <c r="M8" i="88" l="1"/>
  <c r="E101" i="28"/>
  <c r="D178" i="82" l="1"/>
  <c r="A107" i="1"/>
  <c r="F103" i="1" l="1"/>
  <c r="E103" i="1"/>
  <c r="F101" i="1"/>
  <c r="E101" i="1"/>
  <c r="F100" i="1"/>
  <c r="E100" i="1"/>
  <c r="F99" i="1"/>
  <c r="E99" i="1"/>
  <c r="F98" i="1"/>
  <c r="E98" i="1"/>
  <c r="G9" i="1"/>
  <c r="G70" i="1" l="1"/>
  <c r="H36" i="1" l="1"/>
  <c r="G36" i="1" l="1"/>
  <c r="I36" i="1"/>
  <c r="C97" i="28"/>
  <c r="G80" i="1" l="1"/>
  <c r="E94" i="28" l="1"/>
  <c r="L103" i="28" l="1"/>
  <c r="G12" i="88" l="1"/>
  <c r="E99" i="28" l="1"/>
  <c r="L100" i="28"/>
  <c r="L101" i="28"/>
  <c r="E102" i="28"/>
  <c r="E98" i="28"/>
  <c r="A99" i="28"/>
  <c r="A100" i="28"/>
  <c r="A101" i="28"/>
  <c r="A102" i="28"/>
  <c r="A98" i="28"/>
  <c r="F97" i="28"/>
  <c r="G87" i="1"/>
  <c r="F94" i="28" s="1"/>
  <c r="G88" i="1"/>
  <c r="F95" i="28" s="1"/>
  <c r="G89" i="1"/>
  <c r="F96" i="28" s="1"/>
  <c r="G86" i="1"/>
  <c r="F93" i="28" s="1"/>
  <c r="L102" i="28" l="1"/>
  <c r="L99" i="28"/>
  <c r="L98" i="28"/>
  <c r="C99" i="28"/>
  <c r="C100" i="28"/>
  <c r="C102" i="28"/>
  <c r="C98" i="28"/>
  <c r="G75" i="1" l="1"/>
  <c r="G18" i="1"/>
  <c r="F102" i="28"/>
  <c r="F101" i="28"/>
  <c r="F100" i="28"/>
  <c r="F99" i="28"/>
  <c r="F98" i="28"/>
  <c r="D3" i="1" l="1"/>
  <c r="C5" i="88" l="1"/>
  <c r="L4" i="28"/>
  <c r="A97" i="28" l="1"/>
  <c r="E96" i="28"/>
  <c r="C96" i="28"/>
  <c r="A96" i="28"/>
  <c r="E95" i="28"/>
  <c r="C95" i="28"/>
  <c r="A95" i="28"/>
  <c r="C94" i="28"/>
  <c r="A94" i="28"/>
  <c r="E93" i="28"/>
  <c r="C93" i="28"/>
  <c r="A93" i="28"/>
  <c r="C67" i="28"/>
  <c r="B67" i="28"/>
  <c r="A67" i="28"/>
  <c r="C66" i="28"/>
  <c r="B66" i="28"/>
  <c r="A66" i="28"/>
  <c r="C65" i="28"/>
  <c r="B65" i="28"/>
  <c r="A65" i="28"/>
  <c r="C64" i="28"/>
  <c r="B64" i="28"/>
  <c r="A64" i="28"/>
  <c r="C61" i="28"/>
  <c r="B61" i="28"/>
  <c r="A61" i="28"/>
  <c r="C60" i="28"/>
  <c r="B60" i="28"/>
  <c r="A60" i="28"/>
  <c r="C59" i="28"/>
  <c r="B59" i="28"/>
  <c r="A59"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84" i="1"/>
  <c r="H81" i="1"/>
  <c r="G81" i="1" s="1"/>
  <c r="G78" i="1"/>
  <c r="G72" i="1"/>
  <c r="G66" i="1"/>
  <c r="G64" i="1"/>
  <c r="H60" i="1"/>
  <c r="G60" i="1"/>
  <c r="H70" i="1"/>
  <c r="I70" i="1" s="1"/>
  <c r="G59" i="1"/>
  <c r="G58" i="1"/>
  <c r="G57" i="1"/>
  <c r="G56" i="1"/>
  <c r="G55" i="1"/>
  <c r="G54" i="1"/>
  <c r="G53" i="1"/>
  <c r="G52" i="1"/>
  <c r="G51" i="1"/>
  <c r="G50" i="1"/>
  <c r="G49" i="1"/>
  <c r="G39" i="1"/>
  <c r="O32" i="28"/>
  <c r="H35" i="1"/>
  <c r="G35" i="1" s="1"/>
  <c r="O31" i="28"/>
  <c r="G33" i="1"/>
  <c r="G32" i="1"/>
  <c r="G31" i="1"/>
  <c r="G30" i="1"/>
  <c r="G29" i="1"/>
  <c r="G28" i="1"/>
  <c r="G27" i="1"/>
  <c r="G25" i="1"/>
  <c r="G24" i="1"/>
  <c r="H22" i="1"/>
  <c r="G22" i="1" s="1"/>
  <c r="O20" i="28"/>
  <c r="O19" i="28"/>
  <c r="G19" i="1"/>
  <c r="G11" i="1"/>
  <c r="G10" i="1"/>
  <c r="G8" i="1"/>
  <c r="L105" i="28"/>
  <c r="L93" i="28" l="1"/>
  <c r="L48" i="28"/>
  <c r="L49" i="28"/>
  <c r="L46" i="28"/>
  <c r="C17" i="94" s="1"/>
  <c r="L47" i="28"/>
  <c r="L45" i="28"/>
  <c r="C20" i="94" s="1"/>
  <c r="L43" i="28"/>
  <c r="L42" i="28"/>
  <c r="L44" i="28"/>
  <c r="L39" i="28"/>
  <c r="L41" i="28"/>
  <c r="L38" i="28"/>
  <c r="L40"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95" i="28"/>
  <c r="L96" i="28"/>
  <c r="L94" i="28"/>
  <c r="L97" i="28"/>
  <c r="E10" i="28"/>
  <c r="G12" i="1"/>
  <c r="G13" i="1"/>
  <c r="G14" i="1"/>
  <c r="G15" i="1"/>
  <c r="G16" i="1"/>
  <c r="G17" i="1"/>
  <c r="O49" i="28"/>
  <c r="G58" i="28" s="1"/>
  <c r="O18" i="28"/>
  <c r="F9" i="28"/>
  <c r="C9" i="94" l="1"/>
  <c r="E9" i="94" s="1"/>
  <c r="D10" i="93"/>
  <c r="C8" i="94"/>
  <c r="D7" i="93"/>
  <c r="C11" i="94"/>
  <c r="E11" i="94" s="1"/>
  <c r="D12" i="93"/>
  <c r="C7" i="94"/>
  <c r="D6" i="93"/>
  <c r="C14" i="94"/>
  <c r="D1" i="28"/>
  <c r="N8" i="88"/>
  <c r="G8" i="88" s="1"/>
  <c r="L10" i="28"/>
  <c r="L85" i="28" s="1"/>
  <c r="F32" i="28"/>
  <c r="F17" i="28"/>
  <c r="F23" i="28"/>
  <c r="F47" i="28"/>
  <c r="F8" i="28"/>
  <c r="F48" i="28"/>
  <c r="F6" i="28"/>
  <c r="F44" i="28"/>
  <c r="F22" i="28"/>
  <c r="F21" i="28"/>
  <c r="F34" i="28"/>
  <c r="F46" i="28"/>
  <c r="F45" i="28"/>
  <c r="F38" i="28"/>
  <c r="F39" i="28"/>
  <c r="F42" i="28"/>
  <c r="F43" i="28"/>
  <c r="F5" i="28"/>
  <c r="F41" i="28"/>
  <c r="G32" i="28"/>
  <c r="G49" i="28"/>
  <c r="F49" i="28"/>
  <c r="F20" i="28"/>
  <c r="G20" i="28"/>
  <c r="F31" i="28"/>
  <c r="F7" i="28"/>
  <c r="G31" i="28"/>
  <c r="L108" i="28" l="1"/>
  <c r="L110" i="28" s="1"/>
  <c r="D13" i="93"/>
  <c r="D26" i="93" s="1"/>
  <c r="E7" i="94"/>
  <c r="E12" i="94" s="1"/>
  <c r="E34" i="94" s="1"/>
  <c r="C12" i="94"/>
  <c r="C34" i="94" s="1"/>
  <c r="F16" i="28"/>
  <c r="F10" i="28"/>
  <c r="C15" i="94" l="1"/>
  <c r="C18" i="94" s="1"/>
  <c r="B21" i="94" l="1"/>
  <c r="B22" i="94"/>
  <c r="C21" i="9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<sst xmlns="http://schemas.openxmlformats.org/spreadsheetml/2006/main" count="1337" uniqueCount="840">
  <si>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</si>
  <si>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</si>
  <si>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</si>
  <si>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</si>
  <si>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</si>
  <si>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</si>
  <si>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</si>
  <si>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</si>
  <si>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</si>
  <si>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</si>
  <si>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</si>
  <si>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</si>
  <si>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</si>
  <si>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</si>
  <si>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</si>
  <si>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</si>
  <si>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</si>
  <si>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</si>
  <si>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</si>
  <si>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</si>
  <si>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</si>
  <si>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</si>
  <si>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</si>
  <si>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</si>
  <si>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</si>
  <si>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</si>
  <si>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</si>
  <si>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</si>
  <si>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</si>
  <si>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</si>
  <si>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Calculation</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</si>
  <si>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</si>
  <si>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</si>
  <si>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</si>
  <si>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</si>
  <si>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</si>
  <si>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</si>
  <si>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</si>
  <si>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</si>
  <si>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</si>
  <si>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</si>
  <si>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</si>
  <si>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</si>
  <si>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</si>
  <si>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</si>
  <si>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</si>
  <si>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</si>
  <si>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</si>
  <si>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</si>
  <si>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</si>
  <si>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</si>
  <si>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</si>
  <si>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</si>
  <si>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</si>
  <si>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</si>
  <si>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</si>
  <si>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</si>
  <si>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</si>
  <si>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</si>
  <si>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</si>
  <si>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</si>
  <si>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</si>
  <si>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</si>
  <si>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</si>
  <si>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</si>
  <si>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</si>
  <si>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</si>
  <si>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</si>
  <si>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</si>
  <si>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</si>
  <si>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</si>
  <si>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</si>
  <si>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</si>
  <si>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</si>
  <si>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</si>
  <si>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</si>
  <si>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</si>
  <si>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</si>
  <si>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</si>
  <si>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</si>
  <si>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</si>
  <si>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</si>
  <si>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</si>
  <si>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</si>
  <si>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</si>
  <si>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</si>
  <si>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</si>
  <si>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</si>
  <si>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</si>
  <si>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</si>
  <si>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</si>
  <si>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</si>
  <si>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</si>
  <si>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</si>
  <si>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</si>
  <si>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</si>
  <si>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</si>
  <si>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</si>
  <si>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</si>
  <si>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</si>
  <si>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</si>
  <si>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</si>
  <si>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</si>
  <si>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</si>
  <si>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</si>
  <si>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</si>
  <si>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</si>
  <si>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</si>
  <si>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</si>
  <si>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</si>
  <si>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</si>
  <si>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</si>
  <si>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</si>
  <si>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</si>
  <si>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</si>
  <si>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</si>
  <si>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</si>
  <si>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</si>
  <si>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</si>
  <si>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</si>
  <si>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</si>
  <si>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</si>
  <si>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</si>
  <si>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</si>
  <si>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</si>
  <si>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</si>
  <si>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</si>
  <si>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</si>
  <si>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</si>
  <si>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</si>
  <si>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</si>
  <si>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</si>
  <si>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</si>
  <si>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</si>
  <si>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</si>
  <si>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</si>
  <si>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</si>
  <si>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</si>
  <si>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</si>
  <si>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</si>
  <si>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</si>
  <si>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</si>
  <si>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</si>
  <si>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</si>
  <si>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</si>
  <si>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</si>
  <si>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</si>
  <si>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</si>
  <si>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</si>
  <si>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</si>
  <si>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</si>
  <si>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</si>
  <si>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</si>
  <si>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</si>
  <si>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</si>
  <si>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</si>
  <si>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</si>
  <si>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</si>
  <si>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</si>
  <si>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</si>
  <si>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</si>
  <si>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</si>
  <si>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</si>
  <si>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</si>
  <si>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</si>
  <si>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</si>
  <si>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</si>
  <si>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</si>
  <si>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</si>
  <si>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</si>
  <si>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</si>
  <si>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</si>
  <si>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</si>
  <si>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</si>
  <si>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</si>
  <si>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</si>
  <si>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</si>
  <si>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</si>
  <si>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</si>
  <si>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</si>
  <si>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</si>
  <si>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</si>
  <si>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</si>
  <si>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</si>
  <si>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</si>
  <si>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</si>
  <si>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</si>
  <si>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</si>
  <si>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</si>
  <si>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</si>
  <si>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</si>
  <si>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</si>
  <si>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</si>
  <si>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</si>
  <si>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</si>
  <si>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</si>
  <si>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</si>
  <si>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</si>
  <si>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</si>
  <si>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</si>
  <si>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</si>
  <si>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</si>
  <si>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</si>
  <si>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</si>
  <si>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</si>
  <si>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</si>
  <si>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</si>
  <si>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</si>
  <si>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</si>
  <si>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</si>
  <si>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</si>
  <si>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</si>
  <si>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</si>
  <si>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</si>
  <si>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</si>
  <si>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</si>
  <si>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</si>
  <si>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</si>
  <si>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</si>
  <si>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</si>
  <si>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</si>
  <si>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</si>
  <si>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</si>
  <si>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</si>
  <si>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</si>
  <si>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</si>
  <si>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</si>
  <si>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</si>
  <si>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</si>
  <si>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</si>
  <si>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</si>
  <si>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</si>
  <si>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</si>
  <si>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</si>
  <si>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Not loaded to CCH</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</si>
  <si>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</si>
  <si>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</si>
  <si>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</si>
  <si>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</si>
  <si>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</si>
  <si>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</si>
  <si>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</si>
  <si>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</si>
  <si>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</si>
  <si>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</si>
  <si>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</si>
  <si>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</si>
  <si>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</si>
  <si>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</si>
  <si>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</si>
  <si>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</si>
  <si>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</si>
  <si>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</si>
  <si>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</si>
  <si>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</si>
  <si>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</si>
  <si>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</si>
  <si>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</si>
  <si>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</si>
  <si>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</si>
  <si>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</si>
  <si>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</si>
  <si>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</si>
  <si>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</si>
  <si>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</si>
  <si>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</si>
  <si>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</si>
  <si>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</si>
  <si>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</si>
  <si>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</si>
  <si>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</si>
  <si>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</si>
  <si>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</si>
  <si>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</si>
  <si>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</si>
  <si>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</si>
  <si>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</si>
  <si>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</si>
  <si>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</si>
  <si>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</si>
  <si>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</si>
  <si>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</si>
  <si>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</si>
  <si>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</si>
  <si>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</si>
  <si>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</si>
  <si>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</si>
  <si>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</si>
  <si>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</si>
  <si>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</si>
  <si>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</si>
  <si>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</si>
  <si>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</si>
  <si>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</si>
  <si>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</si>
  <si>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</si>
  <si>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</si>
  <si>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</si>
  <si>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</si>
  <si>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</si>
  <si>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</si>
  <si>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</si>
  <si>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</si>
  <si>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</si>
  <si>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</si>
  <si>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Performance Indicator</t>
  </si>
  <si>
    <t>Unit Number:</t>
  </si>
  <si>
    <t>Explanation of Performance Indicator</t>
  </si>
  <si>
    <t>Date the Auditor presented or plans to present the Audit to the Governing Board</t>
  </si>
  <si>
    <t>hidden data</t>
  </si>
  <si>
    <t>TD Auditor</t>
  </si>
  <si>
    <t>Auditor indicated that there was at least one Performance indicator of Concern on the PI tab</t>
  </si>
  <si>
    <t>Tax rate for year audited</t>
  </si>
  <si>
    <t>Unit Name:</t>
  </si>
  <si>
    <t>D</t>
  </si>
  <si>
    <t>E</t>
  </si>
  <si>
    <t>F</t>
  </si>
  <si>
    <t>G</t>
  </si>
  <si>
    <t>H</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</si>
  <si>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</si>
  <si>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</si>
  <si>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</si>
  <si>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</si>
  <si>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</si>
  <si>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</si>
  <si>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</si>
  <si>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</si>
  <si>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</si>
  <si>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</si>
  <si>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</si>
  <si>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</si>
  <si>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</si>
  <si>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</si>
  <si>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</si>
  <si>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</si>
  <si>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</si>
  <si>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</si>
  <si>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</si>
  <si>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</si>
  <si>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</si>
  <si>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</si>
  <si>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</si>
  <si>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</si>
  <si>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</si>
  <si>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</si>
  <si>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</si>
  <si>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</si>
  <si>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</si>
  <si>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</si>
  <si>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</si>
  <si>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</si>
  <si>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</si>
  <si>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</si>
  <si>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</si>
  <si>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</si>
  <si>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</si>
  <si>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</si>
  <si>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</si>
  <si>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</si>
  <si>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</si>
  <si>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</si>
  <si>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</si>
  <si>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</si>
  <si>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</si>
  <si>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</si>
  <si>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</si>
  <si>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</si>
  <si>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</si>
  <si>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</si>
  <si>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</si>
  <si>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</si>
  <si>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</si>
  <si>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Select Unit Name from Drop Down List</t>
  </si>
  <si>
    <t>Section 1: Data Collection NOTE:  the data submitted below may be used in various published reports</t>
  </si>
  <si>
    <t>GENERAL FUND:</t>
  </si>
  <si>
    <t>Unit Results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</si>
  <si>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</si>
  <si>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</si>
  <si>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</si>
  <si>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any other issues that the unit should address.</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</si>
  <si>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</si>
  <si>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</si>
  <si>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</si>
  <si>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</si>
  <si>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</si>
  <si>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</si>
  <si>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</si>
  <si>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</si>
  <si>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</si>
  <si>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</si>
  <si>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</si>
  <si>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</si>
  <si>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</si>
  <si>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</si>
  <si>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</si>
  <si>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</si>
  <si>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</si>
  <si>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</si>
  <si>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</si>
  <si>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</si>
  <si>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</si>
  <si>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</si>
  <si>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</si>
  <si>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</si>
  <si>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</si>
  <si>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</si>
  <si>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</si>
  <si>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</si>
  <si>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</si>
  <si>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</si>
  <si>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</si>
  <si>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</si>
  <si>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</si>
  <si>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</si>
  <si>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</si>
  <si>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</si>
  <si>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</si>
  <si>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</si>
  <si>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</si>
  <si>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</si>
  <si>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</si>
  <si>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</si>
  <si>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</si>
  <si>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</si>
  <si>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</si>
  <si>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</si>
  <si>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</si>
  <si>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</si>
  <si>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</si>
  <si>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</si>
  <si>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</si>
  <si>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</si>
  <si>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</si>
  <si>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</si>
  <si>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</si>
  <si>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</si>
  <si>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</si>
  <si>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</si>
  <si>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</si>
  <si>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</si>
  <si>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</si>
  <si>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</si>
  <si>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</si>
  <si>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</si>
  <si>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</si>
  <si>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</si>
  <si>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</si>
  <si>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</si>
  <si>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</si>
  <si>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</si>
  <si>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</si>
  <si>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</si>
  <si>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</si>
  <si>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</si>
  <si>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</si>
  <si>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</si>
  <si>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</si>
  <si>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</si>
  <si>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</si>
  <si>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</si>
  <si>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</si>
  <si>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</si>
  <si>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</si>
  <si>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</si>
  <si>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</si>
  <si>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</si>
  <si>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</si>
  <si>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</si>
  <si>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</si>
  <si>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</si>
  <si>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</si>
  <si>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</si>
  <si>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</si>
  <si>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</si>
  <si>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</si>
  <si>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</si>
  <si>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</si>
  <si>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</si>
  <si>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</si>
  <si>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</si>
  <si>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</si>
  <si>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</si>
  <si>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</si>
  <si>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</si>
  <si>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</si>
  <si>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</si>
  <si>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</si>
  <si>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</si>
  <si>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</si>
  <si>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</si>
  <si>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</si>
  <si>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</si>
  <si>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</si>
  <si>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</si>
  <si>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</si>
  <si>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11/16/2021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</si>
  <si>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</si>
  <si>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</si>
  <si>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</si>
  <si>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</si>
  <si>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</si>
  <si>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</si>
  <si>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</si>
  <si>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</si>
  <si>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</si>
  <si>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</si>
  <si>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</si>
  <si>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</si>
  <si>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</si>
  <si>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</si>
  <si>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</si>
  <si>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</si>
  <si>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</si>
  <si>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</si>
  <si>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</si>
  <si>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</si>
  <si>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</si>
  <si>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</si>
  <si>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</si>
  <si>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</si>
  <si>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</si>
  <si>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</si>
  <si>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</si>
  <si>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</si>
  <si>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</si>
  <si>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</si>
  <si>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</si>
  <si>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</si>
  <si>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</si>
  <si>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</si>
  <si>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</si>
  <si>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10/4/2021</t>
  </si>
  <si>
    <t>Chief Financial Officer</t>
  </si>
  <si>
    <t>10/28/2021</t>
  </si>
  <si>
    <t>Governmental Activities - Benchmarking Tool uses account 336 in the code to calculate liquidity quick ratio.  Must be included on imported to CCH and SQL database.  Memos used these accounts as well.</t>
  </si>
  <si>
    <t>Telephone Number and Ext., etc.</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</si>
  <si>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</si>
  <si>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</si>
  <si>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</si>
  <si>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</si>
  <si>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</si>
  <si>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Marshall</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</si>
  <si>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</si>
  <si>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</si>
  <si>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</si>
  <si>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</si>
  <si>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</si>
  <si>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</si>
  <si>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</si>
  <si>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</si>
  <si>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GF FBA% of Exp w/o Powell Bill Formula: (506+536-4-5-6-11+647)/(532+20+509-533-508)</t>
  </si>
  <si>
    <t>CCH Upload Batch Total</t>
  </si>
  <si>
    <t>Albemarle Regional Health Services</t>
  </si>
  <si>
    <t>Appalachian District Health</t>
  </si>
  <si>
    <t>Cabarrus Health Alliance</t>
  </si>
  <si>
    <t>Foothills Health District</t>
  </si>
  <si>
    <t>Granville/Vance District Health</t>
  </si>
  <si>
    <t>Martin/Tyrrell/Washington District Health</t>
  </si>
  <si>
    <t>Toe River Health District</t>
  </si>
  <si>
    <t>561205</t>
  </si>
  <si>
    <t>561200</t>
  </si>
  <si>
    <t>561208</t>
  </si>
  <si>
    <t>561206</t>
  </si>
  <si>
    <t>561202</t>
  </si>
  <si>
    <t>561204</t>
  </si>
  <si>
    <t>561207</t>
  </si>
  <si>
    <t>Ginger</t>
  </si>
  <si>
    <t>Angela</t>
  </si>
  <si>
    <t>Sue</t>
  </si>
  <si>
    <t>Nancy</t>
  </si>
  <si>
    <t>June</t>
  </si>
  <si>
    <t>Andrea</t>
  </si>
  <si>
    <t>BETTY</t>
  </si>
  <si>
    <t>Midgett</t>
  </si>
  <si>
    <t>Poole</t>
  </si>
  <si>
    <t>Yates</t>
  </si>
  <si>
    <t>Manning</t>
  </si>
  <si>
    <t>Freeman</t>
  </si>
  <si>
    <t>MCKINNEY</t>
  </si>
  <si>
    <t>4/15/2017</t>
  </si>
  <si>
    <t>12/1/2002</t>
  </si>
  <si>
    <t>11/18/2013</t>
  </si>
  <si>
    <t>4/1/2018</t>
  </si>
  <si>
    <t>1/8/2018</t>
  </si>
  <si>
    <t>11/17/2020</t>
  </si>
  <si>
    <t>Ginger Midgett</t>
  </si>
  <si>
    <t>Angela Poole</t>
  </si>
  <si>
    <t>Sue Yates</t>
  </si>
  <si>
    <t>Nancy Marshall</t>
  </si>
  <si>
    <t>June Manning</t>
  </si>
  <si>
    <t>Andrea R. Freeman</t>
  </si>
  <si>
    <t>BETTY S MCKINNEY</t>
  </si>
  <si>
    <t>Business Officer / CFO</t>
  </si>
  <si>
    <t>1/6/2022</t>
  </si>
  <si>
    <t>12/8/2021</t>
  </si>
  <si>
    <t>1/4/2022</t>
  </si>
  <si>
    <t>11/22/2021</t>
  </si>
  <si>
    <t>252-338-4453</t>
  </si>
  <si>
    <t>336-372-5641 ext.1113</t>
  </si>
  <si>
    <t>704-920-1212</t>
  </si>
  <si>
    <t>828-287-6044</t>
  </si>
  <si>
    <t>919-690-2100</t>
  </si>
  <si>
    <t>252-791-3104</t>
  </si>
  <si>
    <t>828-688-5060</t>
  </si>
  <si>
    <t>gmidgett@arhs-nc.org</t>
  </si>
  <si>
    <t>angie.scott@apphealth.com</t>
  </si>
  <si>
    <t>Sue. Yates@CabarrusHealth.org</t>
  </si>
  <si>
    <t>nmarshall@foothillshd.org</t>
  </si>
  <si>
    <t>jmanning@gvdhd.org</t>
  </si>
  <si>
    <t>andrea.freeman@mtwdh.org</t>
  </si>
  <si>
    <t>betty.mckinney@toeriverhealth.org</t>
  </si>
  <si>
    <t>BETTY.MCKINNEY@TOERIVERHEALTH.ORG</t>
  </si>
  <si>
    <t>BETTY MCKINNEY</t>
  </si>
  <si>
    <t>Business Officer/CFO</t>
  </si>
  <si>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</si>
  <si>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</si>
  <si>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t xml:space="preserve">Unit's share of Retirement Health Benefit Fund (FHBF) Net OPEB Liability ($s)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</si>
  <si>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(ifapplicable).</t>
    </r>
  </si>
  <si>
    <t>Unit Data from Audit Worksheet tab: (506+536-4-5-6)/(532+20-533)</t>
  </si>
  <si>
    <r>
      <t xml:space="preserve">Fund balance available for appropriation is an important reserve for local governments to provide cash flow during periods of declining revenues and to be used for emergencies and unforeseen expenditures.  </t>
    </r>
    <r>
      <rPr>
        <b/>
        <sz val="12"/>
        <color theme="1"/>
        <rFont val="Calibri"/>
        <family val="2"/>
        <scheme val="minor"/>
      </rPr>
      <t>Note one month of expenditures is equal to 8.33%.</t>
    </r>
    <r>
      <rPr>
        <sz val="12"/>
        <color theme="1"/>
        <rFont val="Calibri"/>
        <family val="2"/>
        <scheme val="minor"/>
      </rPr>
      <t xml:space="preserve">  In your Response Letter please provide detail plans on how your unit will improve your available fund balance.  Normally, a unit has to either increasing revenues or decreasing expenditures.  </t>
    </r>
  </si>
  <si>
    <t>TD Info Completed by Auditor : CCH acct # 1058, 955 and 957</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</si>
  <si>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J14 to the right and in your FPIC Response.</t>
    </r>
  </si>
  <si>
    <t>1.</t>
  </si>
  <si>
    <t>2.</t>
  </si>
  <si>
    <t>3.</t>
  </si>
  <si>
    <t>4.</t>
  </si>
  <si>
    <t>=626-627-628-629-630-631-632 - (632 will not be on district health DIW)</t>
  </si>
  <si>
    <t># of other matters that auditor asked the unit to respond to.</t>
  </si>
  <si>
    <r>
      <t xml:space="preserve">Mark to Market unrealized losses in the General Fund. </t>
    </r>
    <r>
      <rPr>
        <sz val="11"/>
        <color theme="5" tint="-0.499984740745262"/>
        <rFont val="Calibri"/>
        <family val="2"/>
        <scheme val="minor"/>
      </rPr>
      <t>(enter as a negative number)</t>
    </r>
  </si>
  <si>
    <t>TD Info Completed by Auditor tab: CCH acct # 973</t>
  </si>
  <si>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</si>
  <si>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t>If unit is an employer participant in one of the State Cost Sharing Plans rows 61-63 should be blank.  Unless they have an additional single employer plan.</t>
  </si>
  <si>
    <t>Is there a finding for lack of technical skills, knowledge and experience (SKE) at this unit</t>
  </si>
  <si>
    <t>Mark to Market unrealized losses in the General Fund</t>
  </si>
  <si>
    <t>Number of significant deficiency findings</t>
  </si>
  <si>
    <t>Number of material weaknesses findings</t>
  </si>
  <si>
    <t xml:space="preserve">Gen Fund - Total Expenditures </t>
  </si>
  <si>
    <t xml:space="preserve">Gen Fund - Proceeds from LTD </t>
  </si>
  <si>
    <t>Gen Fund - Any Adj. to Beginning Net Assets</t>
  </si>
  <si>
    <t>Did your audit disclose as a finding any statutory violations (not including budget violations) (Yes or No)</t>
  </si>
  <si>
    <t xml:space="preserve"> Did the unit have a board-appointed finance officer the entire fiscal year (Yes or No)</t>
  </si>
  <si>
    <t xml:space="preserve">Calculation of Fund Balance Available at June 30 
Including Debt Service Fund for Performance Indicator
</t>
  </si>
  <si>
    <t>Account Number</t>
  </si>
  <si>
    <t>Fund Balance Available for Performance Indicator</t>
  </si>
  <si>
    <t>General Fund Cash and investments - unrestricted…........................................................................................................</t>
  </si>
  <si>
    <t>General Fund Cash and investments - restricted…........................................................................................................</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</si>
  <si>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</si>
  <si>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</si>
  <si>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</si>
  <si>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</si>
  <si>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</si>
  <si>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</si>
  <si>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</si>
  <si>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</si>
  <si>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</si>
  <si>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</si>
  <si>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</si>
  <si>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</si>
  <si>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</si>
  <si>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</si>
  <si>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Debt Refunding - Net refunding proceeds against debt payoff and if negative place results on this line.</t>
  </si>
  <si>
    <t>Issuance of capital leases &amp; installment purchases - General Fund….............................</t>
  </si>
  <si>
    <t>Positive Debt Refunding…...................................................................................................................................................</t>
  </si>
  <si>
    <t>Debt Refunding - Net refunding proceeds against debt payoff and if positive place results on this line.</t>
  </si>
  <si>
    <t>Total expenditures (As Adjusted)….................................................</t>
  </si>
  <si>
    <t>Fund Balance Available  as % of Expenditures….........</t>
  </si>
  <si>
    <t>Fund Balance Available for Appropriation/Total Expenditure (As Adjusted)</t>
  </si>
  <si>
    <t>=532+20+509-533-508-1050</t>
  </si>
  <si>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</si>
  <si>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</si>
  <si>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</si>
  <si>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</si>
  <si>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</si>
  <si>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</si>
  <si>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</si>
  <si>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</si>
  <si>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</si>
  <si>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</si>
  <si>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</si>
  <si>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</si>
  <si>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</si>
  <si>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</si>
  <si>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</si>
  <si>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</si>
  <si>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</si>
  <si>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</si>
  <si>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</si>
  <si>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</si>
  <si>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</si>
  <si>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</si>
  <si>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</si>
  <si>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</si>
  <si>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</si>
  <si>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</si>
  <si>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</si>
  <si>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</si>
  <si>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</si>
  <si>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</si>
  <si>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</si>
  <si>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=532+20+509-533-508</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</si>
  <si>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</si>
  <si>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</si>
  <si>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</si>
  <si>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</si>
  <si>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=506+536-4-6-5</t>
  </si>
  <si>
    <t>=9-(506+536-4-6-5)</t>
  </si>
  <si>
    <t>=(9-(506+536-4-6-5)-7</t>
  </si>
  <si>
    <t>Column E Formula</t>
  </si>
  <si>
    <t>=506-4-6-5</t>
  </si>
  <si>
    <t>Enter telephone extension, etc.</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</si>
  <si>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</si>
  <si>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</si>
  <si>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</si>
  <si>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</si>
  <si>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</si>
  <si>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</si>
  <si>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</si>
  <si>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</si>
  <si>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</si>
  <si>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</si>
  <si>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</si>
  <si>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</si>
  <si>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</si>
  <si>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For units of government that have Proprietary Funds that do not prepare Government-Wide Financial Statement need to answer the following questions.</t>
  </si>
  <si>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</si>
  <si>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</si>
  <si>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</si>
  <si>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answer the following questions.   A special purpose government should not have completed questions in the Governmental Activities section in rows 7 through 39</t>
  </si>
  <si>
    <t>Revenue, Expenses &amp; Changes in Fund Net Position</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</si>
  <si>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</si>
  <si>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t>Not collected in prior year</t>
  </si>
  <si>
    <r>
      <rPr>
        <b/>
        <u/>
        <sz val="11"/>
        <color rgb="FFFF0000"/>
        <rFont val="Calibri"/>
        <family val="2"/>
        <scheme val="minor"/>
      </rPr>
      <t>All Proprietary Funds</t>
    </r>
    <r>
      <rPr>
        <u/>
        <sz val="11"/>
        <color theme="1"/>
        <rFont val="Calibri"/>
        <family val="2"/>
        <scheme val="minor"/>
      </rPr>
      <t xml:space="preserve"> -Depreciation and amortization expense</t>
    </r>
  </si>
  <si>
    <t>Cash Flow Statement</t>
  </si>
  <si>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</si>
  <si>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Please enter page number if information included in the audit report/other communications</t>
  </si>
  <si>
    <t>Did your audit disclose as a finding any statutory violations? (not including budget violations) (Yes or No) If the answer  is "Yes", review whether this needs to be disclosed in the Stewardship, Compliance and Accountability Note</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</si>
  <si>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</si>
  <si>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</si>
  <si>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</si>
  <si>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</si>
  <si>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 xml:space="preserve">Exclude findings reported in questions 907, 951 </t>
    </r>
  </si>
  <si>
    <t xml:space="preserve">Is there is a going concern noted in the audit report? </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</si>
  <si>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</si>
  <si>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</si>
  <si>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</si>
  <si>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 FPIC response is not required.</t>
    </r>
  </si>
  <si>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</si>
  <si>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</si>
  <si>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</si>
  <si>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</si>
  <si>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</si>
  <si>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Stoop</t>
  </si>
  <si>
    <t>PERMANENT</t>
  </si>
  <si>
    <t>3/19/2018</t>
  </si>
  <si>
    <t>YES</t>
  </si>
  <si>
    <t>Ashley Stoop</t>
  </si>
  <si>
    <t>Andrea Freeman</t>
  </si>
  <si>
    <t>Health Director/ Finance Officer</t>
  </si>
  <si>
    <t>Deputy Director / Finance Officer</t>
  </si>
  <si>
    <t>11/23/2022</t>
  </si>
  <si>
    <t>11/21/2022</t>
  </si>
  <si>
    <t>10/28/2022</t>
  </si>
  <si>
    <t>11/30/2022</t>
  </si>
  <si>
    <t>11/10/2022</t>
  </si>
  <si>
    <t>1/24/2023</t>
  </si>
  <si>
    <t>10/10/2022</t>
  </si>
  <si>
    <t>252-338-4404</t>
  </si>
  <si>
    <t>252-491-3104</t>
  </si>
  <si>
    <t>astoop@arhs-nc.org</t>
  </si>
  <si>
    <t>nmarshall@foothillshd.orv</t>
  </si>
  <si>
    <t>Number of other matters that auditor asked the unit to respond to.</t>
  </si>
  <si>
    <t>The Auditor will submit the Audit Report to the LGC within five months plus one day after the fiscal year end.-á (for units with a June 30th fiscal year-end this would be December 1)-á-á Select Yes or No</t>
  </si>
  <si>
    <t>11/22/2022</t>
  </si>
  <si>
    <t>1/10/2023</t>
  </si>
  <si>
    <t>7/1/2022</t>
  </si>
  <si>
    <t>12/20/2022</t>
  </si>
  <si>
    <t>Mark to Market unrealized losses in the General Fund.</t>
  </si>
  <si>
    <t>Did the unit have a board-appointed finance officer the entire fiscal year? (Yes or No)?</t>
  </si>
  <si>
    <t>Date Audit First Received</t>
  </si>
  <si>
    <t>2022-11-23</t>
  </si>
  <si>
    <t>2022-12-01</t>
  </si>
  <si>
    <t>2022-10-28</t>
  </si>
  <si>
    <t>2022-11-30</t>
  </si>
  <si>
    <t>2022-11-12</t>
  </si>
  <si>
    <t>2023-01-24</t>
  </si>
  <si>
    <t>2022-10-10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</si>
  <si>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</si>
  <si>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</si>
  <si>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</si>
  <si>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</si>
  <si>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</si>
  <si>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</si>
  <si>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</si>
  <si>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</si>
  <si>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</si>
  <si>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</si>
  <si>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</si>
  <si>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</si>
  <si>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</si>
  <si>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</si>
  <si>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</si>
  <si>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</si>
  <si>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</si>
  <si>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1/25/2022</t>
  </si>
  <si>
    <t>1/11/2022</t>
  </si>
  <si>
    <t>11/15/2021</t>
  </si>
  <si>
    <t>12/14/2021</t>
  </si>
  <si>
    <t>12/15/2021</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</si>
  <si>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</si>
  <si>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</si>
  <si>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</si>
  <si>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</si>
  <si>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</si>
  <si>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</si>
  <si>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</si>
  <si>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</si>
  <si>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Units with Electric Operations have 0.07, 0.08, 0.09</t>
  </si>
  <si>
    <t>All Proprietary Funds -total of all expenses excluding transfers out</t>
  </si>
  <si>
    <t>All Proprietary Funds -Depreciation and amortization expense</t>
  </si>
  <si>
    <t>All Proprietary Funds -Principal paid on long-term debt.  Amount should be reduced by principal payments for debt refunding</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</si>
  <si>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</si>
  <si>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</si>
  <si>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</si>
  <si>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</si>
  <si>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</si>
  <si>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</si>
  <si>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What date was the audit report submitted to the LGC?  (Note audit reports are due four months after fiscal year end regardless of the contract submission date.)</t>
  </si>
  <si>
    <t xml:space="preserve">What date was the audit report submitted to the LGC?  </t>
  </si>
  <si>
    <t>Fiscal Year 2023</t>
  </si>
  <si>
    <t>TD Info Completed by Auditor tab: CCH acct # 1079</t>
  </si>
  <si>
    <t>Please enter the fiscal year end reported on the unit's audited financial statements if other than 6/30/2023.              Format "MM/DD/YYYY"</t>
  </si>
  <si>
    <t>J</t>
  </si>
  <si>
    <t>If the fiscal year-end is other than 6/30/2023, 9/30/2023, 12/31/2023 or 3/31/2024, please contact us.</t>
  </si>
  <si>
    <t>C25</t>
  </si>
  <si>
    <t>C24</t>
  </si>
  <si>
    <t>Does the Unit have a non-state administered pension plan</t>
  </si>
  <si>
    <t>Must be linked to unit number on Unit Data from Audit Worksheet tab</t>
  </si>
  <si>
    <t>Performance Indicators Print - The self-reported financial data and TD information populates the Performance Indicators Worksheet.  These performance indicators are key ratios and trends the Fiscal Management Division of the State Treasurer's Office has m</t>
  </si>
  <si>
    <r>
      <t>Please list the amount of ARPA funds expended in total this fiscal year for non-capital purposes.  Enter</t>
    </r>
    <r>
      <rPr>
        <b/>
        <sz val="11"/>
        <color theme="1"/>
        <rFont val="Calibri"/>
        <family val="2"/>
        <scheme val="minor"/>
      </rPr>
      <t xml:space="preserve">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</si>
  <si>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Version Date 10/18/2023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</si>
</sst>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
  </numFmts>
  <fonts count="18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b/>
      <u/>
      <sz val="12"/>
      <color theme="1"/>
      <name val="Calibri"/>
      <family val="2"/>
      <scheme val="minor"/>
    </font>
    <font>
      <b/>
      <u/>
      <sz val="16"/>
      <color theme="1"/>
      <name val="Calibri"/>
      <family val="2"/>
      <scheme val="minor"/>
    </font>
    <font>
      <sz val="10"/>
      <color indexed="8"/>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theme="5" tint="-0.499984740745262"/>
      <name val="Calibri"/>
      <family val="2"/>
      <scheme val="minor"/>
    </font>
    <font>
      <b/>
      <i/>
      <sz val="12"/>
      <color rgb="FFFF0000"/>
      <name val="Cambria"/>
      <family val="1"/>
    </font>
    <font>
      <b/>
      <u/>
      <sz val="14"/>
      <color theme="1"/>
      <name val="Calibri"/>
      <family val="2"/>
      <scheme val="minor"/>
    </font>
    <font>
      <b/>
      <u/>
      <sz val="10"/>
      <color theme="1"/>
      <name val="Calibri"/>
      <family val="2"/>
      <scheme val="minor"/>
    </font>
    <font>
      <u/>
      <sz val="10"/>
      <color theme="1"/>
      <name val="Calibri"/>
      <family val="2"/>
      <scheme val="minor"/>
    </font>
    <font>
      <sz val="11"/>
      <color theme="9" tint="-0.499984740745262"/>
      <name val="Calibri"/>
      <family val="2"/>
      <scheme val="minor"/>
    </font>
    <font>
      <b/>
      <sz val="12"/>
      <color theme="1"/>
      <name val="Century Schoolbook"/>
      <family val="1"/>
    </font>
    <font>
      <b/>
      <sz val="12"/>
      <color theme="1"/>
      <name val="Cambria"/>
      <family val="1"/>
    </font>
    <font>
      <b/>
      <u/>
      <sz val="11"/>
      <color rgb="FFFF0000"/>
      <name val="Calibri"/>
      <family val="2"/>
      <scheme val="minor"/>
    </font>
    <font>
      <b/>
      <u/>
      <sz val="11"/>
      <color theme="10"/>
      <name val="Calibri"/>
      <family val="2"/>
      <scheme val="minor"/>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92D050"/>
        <bgColor indexed="64"/>
      </patternFill>
    </fill>
    <fill>
      <patternFill patternType="solid">
        <fgColor theme="8" tint="0.79998168889431442"/>
        <bgColor indexed="64"/>
      </patternFill>
    </fill>
    <fill>
      <patternFill patternType="solid">
        <fgColor rgb="FF00B0F0"/>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5" applyNumberFormat="0" applyFill="0" applyAlignment="0" applyProtection="0"/>
    <xf numFmtId="0" fontId="71" fillId="0" borderId="46" applyNumberFormat="0" applyFill="0" applyAlignment="0" applyProtection="0"/>
    <xf numFmtId="0" fontId="72" fillId="0" borderId="47" applyNumberFormat="0" applyFill="0" applyAlignment="0" applyProtection="0"/>
    <xf numFmtId="0" fontId="72" fillId="0" borderId="0" applyNumberFormat="0" applyFill="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5" fillId="37" borderId="48" applyNumberFormat="0" applyAlignment="0" applyProtection="0"/>
    <xf numFmtId="0" fontId="76" fillId="38" borderId="49" applyNumberFormat="0" applyAlignment="0" applyProtection="0"/>
    <xf numFmtId="0" fontId="77" fillId="38" borderId="48" applyNumberFormat="0" applyAlignment="0" applyProtection="0"/>
    <xf numFmtId="0" fontId="78" fillId="0" borderId="50" applyNumberFormat="0" applyFill="0" applyAlignment="0" applyProtection="0"/>
    <xf numFmtId="0" fontId="79" fillId="39"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80" fillId="41" borderId="0" applyNumberFormat="0" applyBorder="0" applyAlignment="0" applyProtection="0"/>
    <xf numFmtId="0" fontId="80" fillId="42" borderId="0" applyNumberFormat="0" applyBorder="0" applyAlignment="0" applyProtection="0"/>
    <xf numFmtId="0" fontId="80" fillId="43"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6" borderId="0" applyNumberFormat="0" applyBorder="0" applyAlignment="0" applyProtection="0"/>
    <xf numFmtId="0" fontId="33" fillId="40" borderId="52"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4"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1" fillId="47" borderId="0">
      <alignment horizontal="right" vertical="center"/>
    </xf>
    <xf numFmtId="49" fontId="81" fillId="47" borderId="0">
      <alignment horizontal="left" vertical="center"/>
    </xf>
    <xf numFmtId="49" fontId="81" fillId="47" borderId="0">
      <alignment horizontal="center" vertical="center"/>
    </xf>
    <xf numFmtId="49" fontId="81" fillId="47" borderId="0">
      <alignment horizontal="center" vertical="center"/>
    </xf>
    <xf numFmtId="49" fontId="81" fillId="47" borderId="0">
      <alignment horizontal="right" vertical="center"/>
    </xf>
    <xf numFmtId="40" fontId="81" fillId="47" borderId="0">
      <alignment horizontal="right"/>
    </xf>
    <xf numFmtId="49" fontId="81" fillId="47"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1" fillId="47" borderId="0">
      <alignment horizontal="center" vertical="center"/>
    </xf>
    <xf numFmtId="49" fontId="81" fillId="47" borderId="0">
      <alignment horizontal="center" vertical="center"/>
    </xf>
    <xf numFmtId="174" fontId="81" fillId="47" borderId="0">
      <alignment horizontal="center" vertical="center"/>
    </xf>
    <xf numFmtId="49" fontId="81" fillId="47"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4"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4" fontId="82" fillId="0" borderId="14">
      <alignment horizontal="right"/>
    </xf>
    <xf numFmtId="49" fontId="82" fillId="0" borderId="0">
      <alignment horizontal="right"/>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81" fillId="47"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48" borderId="0">
      <alignment horizontal="center" vertical="center"/>
    </xf>
    <xf numFmtId="49" fontId="11" fillId="48" borderId="0">
      <alignment horizontal="left" vertical="center"/>
    </xf>
    <xf numFmtId="49" fontId="82" fillId="48" borderId="0">
      <alignment horizontal="center" vertical="center"/>
    </xf>
    <xf numFmtId="0" fontId="82" fillId="49" borderId="0">
      <alignment horizontal="left"/>
    </xf>
    <xf numFmtId="49" fontId="11" fillId="0" borderId="0"/>
    <xf numFmtId="0" fontId="82" fillId="49" borderId="0">
      <alignment horizontal="left"/>
    </xf>
    <xf numFmtId="40" fontId="82" fillId="0" borderId="0">
      <alignment horizontal="right"/>
    </xf>
    <xf numFmtId="49" fontId="81" fillId="47" borderId="0"/>
    <xf numFmtId="49" fontId="81" fillId="47" borderId="0"/>
    <xf numFmtId="49" fontId="11" fillId="0" borderId="0"/>
    <xf numFmtId="0" fontId="84" fillId="50"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47" borderId="0">
      <alignment horizontal="left"/>
    </xf>
    <xf numFmtId="0" fontId="86" fillId="47"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1" borderId="0">
      <alignment horizontal="left"/>
    </xf>
    <xf numFmtId="0" fontId="88" fillId="51"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4" fontId="82" fillId="0" borderId="0">
      <alignment horizontal="right"/>
    </xf>
    <xf numFmtId="49" fontId="82" fillId="0" borderId="0" applyBorder="0">
      <alignment horizontal="right"/>
    </xf>
    <xf numFmtId="0" fontId="11" fillId="0" borderId="0"/>
    <xf numFmtId="49" fontId="90" fillId="50" borderId="0">
      <alignment horizontal="left"/>
    </xf>
    <xf numFmtId="49" fontId="90" fillId="50" borderId="0">
      <alignment horizontal="left"/>
    </xf>
    <xf numFmtId="0" fontId="91" fillId="50" borderId="0">
      <alignment horizontal="left"/>
    </xf>
    <xf numFmtId="175" fontId="91" fillId="50" borderId="0">
      <alignment horizontal="left"/>
    </xf>
    <xf numFmtId="40" fontId="82" fillId="0" borderId="0">
      <alignment horizontal="right"/>
    </xf>
    <xf numFmtId="49" fontId="92" fillId="50" borderId="0">
      <alignment horizontal="left"/>
    </xf>
    <xf numFmtId="49" fontId="92" fillId="50"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4" fontId="82" fillId="0" borderId="14">
      <alignment horizontal="right"/>
    </xf>
    <xf numFmtId="49" fontId="82" fillId="0" borderId="0">
      <alignment horizontal="right"/>
    </xf>
    <xf numFmtId="40" fontId="82" fillId="0" borderId="14">
      <alignment horizontal="right"/>
    </xf>
    <xf numFmtId="0" fontId="82" fillId="49" borderId="0">
      <alignment horizontal="left"/>
    </xf>
    <xf numFmtId="49" fontId="11" fillId="0" borderId="0"/>
    <xf numFmtId="0" fontId="82" fillId="49" borderId="0">
      <alignment horizontal="left"/>
    </xf>
    <xf numFmtId="174"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6"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4"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0"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0" borderId="52" applyNumberFormat="0" applyFont="0" applyAlignment="0" applyProtection="0"/>
    <xf numFmtId="0" fontId="93" fillId="0" borderId="0" applyNumberFormat="0" applyFill="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4" fillId="52"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80" fillId="54" borderId="0" applyNumberFormat="0" applyBorder="0" applyAlignment="0" applyProtection="0"/>
    <xf numFmtId="0" fontId="94" fillId="54"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5" fillId="35" borderId="0" applyNumberFormat="0" applyBorder="0" applyAlignment="0" applyProtection="0"/>
    <xf numFmtId="0" fontId="96" fillId="38" borderId="48" applyNumberFormat="0" applyAlignment="0" applyProtection="0"/>
    <xf numFmtId="0" fontId="97" fillId="39"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4" borderId="0" applyNumberFormat="0" applyBorder="0" applyAlignment="0" applyProtection="0"/>
    <xf numFmtId="0" fontId="100" fillId="0" borderId="45" applyNumberFormat="0" applyFill="0" applyAlignment="0" applyProtection="0"/>
    <xf numFmtId="0" fontId="101"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2" fillId="0" borderId="47" applyNumberFormat="0" applyFill="0" applyAlignment="0" applyProtection="0"/>
    <xf numFmtId="0" fontId="102" fillId="0" borderId="0" applyNumberFormat="0" applyFill="0" applyBorder="0" applyAlignment="0" applyProtection="0"/>
    <xf numFmtId="0" fontId="103" fillId="37" borderId="48" applyNumberFormat="0" applyAlignment="0" applyProtection="0"/>
    <xf numFmtId="0" fontId="104" fillId="0" borderId="50" applyNumberFormat="0" applyFill="0" applyAlignment="0" applyProtection="0"/>
    <xf numFmtId="0" fontId="105" fillId="36"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0" borderId="52" applyNumberFormat="0" applyFont="0" applyAlignment="0" applyProtection="0"/>
    <xf numFmtId="0" fontId="106" fillId="38" borderId="49"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3"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5" fillId="0" borderId="0"/>
    <xf numFmtId="0" fontId="33" fillId="0" borderId="0"/>
    <xf numFmtId="0" fontId="125" fillId="0" borderId="0"/>
    <xf numFmtId="43" fontId="112" fillId="0" borderId="0" applyFont="0" applyFill="0" applyBorder="0" applyAlignment="0" applyProtection="0"/>
    <xf numFmtId="0" fontId="112" fillId="0" borderId="0"/>
    <xf numFmtId="0" fontId="112" fillId="0" borderId="0"/>
    <xf numFmtId="0" fontId="112" fillId="0" borderId="0"/>
    <xf numFmtId="0" fontId="126" fillId="0" borderId="0"/>
    <xf numFmtId="0" fontId="126" fillId="0" borderId="0"/>
    <xf numFmtId="0" fontId="127" fillId="0" borderId="0"/>
    <xf numFmtId="0" fontId="126" fillId="0" borderId="0"/>
    <xf numFmtId="0" fontId="125" fillId="0" borderId="0"/>
    <xf numFmtId="0" fontId="126" fillId="0" borderId="0"/>
    <xf numFmtId="0" fontId="125" fillId="0" borderId="0"/>
    <xf numFmtId="0" fontId="127"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6" fillId="0" borderId="0"/>
    <xf numFmtId="0" fontId="125" fillId="0" borderId="0"/>
    <xf numFmtId="0" fontId="125" fillId="0" borderId="0"/>
    <xf numFmtId="0" fontId="126" fillId="0" borderId="0"/>
    <xf numFmtId="0" fontId="125" fillId="0" borderId="0"/>
    <xf numFmtId="0" fontId="125" fillId="0" borderId="0"/>
    <xf numFmtId="0" fontId="127" fillId="0" borderId="0"/>
    <xf numFmtId="0" fontId="125" fillId="5" borderId="7" applyNumberFormat="0" applyFont="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0" borderId="0"/>
    <xf numFmtId="0" fontId="127"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5" borderId="7" applyNumberFormat="0" applyFont="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0" borderId="0"/>
    <xf numFmtId="0" fontId="127" fillId="0" borderId="0"/>
    <xf numFmtId="0" fontId="125" fillId="0" borderId="0"/>
    <xf numFmtId="0" fontId="127" fillId="0" borderId="0"/>
    <xf numFmtId="0" fontId="125" fillId="0" borderId="0"/>
    <xf numFmtId="0" fontId="128"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8"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8"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0"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0"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0"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65" fillId="0" borderId="0"/>
    <xf numFmtId="0" fontId="168" fillId="0" borderId="0"/>
    <xf numFmtId="43" fontId="168" fillId="0" borderId="0" applyFont="0" applyFill="0" applyBorder="0" applyAlignment="0" applyProtection="0"/>
    <xf numFmtId="44" fontId="168"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768">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55"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69" fillId="22" borderId="0" xfId="0" applyFont="1" applyFill="1" applyProtection="1"/>
    <xf numFmtId="0" fontId="116" fillId="22" borderId="0" xfId="0" applyFont="1" applyFill="1" applyProtection="1"/>
    <xf numFmtId="0" fontId="80" fillId="22" borderId="0" xfId="0" applyFont="1" applyFill="1" applyAlignment="1" applyProtection="1">
      <alignment vertical="center" wrapText="1"/>
    </xf>
    <xf numFmtId="0" fontId="80" fillId="22" borderId="0" xfId="0" applyFont="1" applyFill="1" applyAlignment="1" applyProtection="1">
      <alignment vertical="center"/>
      <protection locked="0"/>
    </xf>
    <xf numFmtId="0" fontId="80" fillId="22" borderId="0" xfId="0" applyFont="1" applyFill="1" applyAlignment="1" applyProtection="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80"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1" borderId="62" xfId="0" applyNumberFormat="1" applyFont="1" applyFill="1" applyBorder="1" applyAlignment="1" applyProtection="1">
      <alignment horizontal="center" vertical="center"/>
    </xf>
    <xf numFmtId="0" fontId="0" fillId="70" borderId="0" xfId="0" applyFill="1"/>
    <xf numFmtId="0" fontId="117" fillId="70" borderId="0" xfId="0" applyFont="1" applyFill="1" applyAlignment="1">
      <alignment vertical="center" wrapText="1"/>
    </xf>
    <xf numFmtId="0" fontId="46" fillId="70" borderId="0" xfId="0" applyFont="1" applyFill="1" applyAlignment="1">
      <alignment horizontal="justify" vertical="center"/>
    </xf>
    <xf numFmtId="0" fontId="122" fillId="74"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8" fillId="70" borderId="0" xfId="0" applyFont="1" applyFill="1" applyAlignment="1">
      <alignment horizontal="left" vertical="center" wrapText="1"/>
    </xf>
    <xf numFmtId="0" fontId="33" fillId="70" borderId="0" xfId="30097" applyFill="1"/>
    <xf numFmtId="0" fontId="121" fillId="74" borderId="0" xfId="30097" applyFont="1" applyFill="1" applyAlignment="1">
      <alignment horizontal="center" vertical="center" wrapText="1"/>
    </xf>
    <xf numFmtId="0" fontId="117" fillId="70" borderId="0" xfId="30097" applyFont="1" applyFill="1" applyAlignment="1">
      <alignment vertical="center" wrapText="1"/>
    </xf>
    <xf numFmtId="0" fontId="46" fillId="70" borderId="0" xfId="30097" applyFont="1" applyFill="1" applyAlignment="1">
      <alignment vertical="center" wrapText="1"/>
    </xf>
    <xf numFmtId="0" fontId="122" fillId="74"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0" fontId="39" fillId="75" borderId="70" xfId="0" applyFont="1" applyFill="1" applyBorder="1" applyAlignment="1">
      <alignment horizont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2"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2"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2"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56" fillId="75" borderId="24" xfId="0" applyNumberFormat="1" applyFont="1" applyFill="1" applyBorder="1" applyAlignment="1" applyProtection="1">
      <alignment horizontal="left" vertical="center" wrapText="1"/>
    </xf>
    <xf numFmtId="0" fontId="56" fillId="75"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5" borderId="10" xfId="0" applyNumberFormat="1" applyFont="1" applyFill="1" applyBorder="1" applyAlignment="1" applyProtection="1">
      <alignment horizontal="center" vertical="center" wrapText="1"/>
    </xf>
    <xf numFmtId="0" fontId="39" fillId="75" borderId="62" xfId="0" applyNumberFormat="1" applyFont="1" applyFill="1" applyBorder="1" applyAlignment="1" applyProtection="1">
      <alignment horizontal="center" vertical="center"/>
    </xf>
    <xf numFmtId="0" fontId="41" fillId="75"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131" fillId="0" borderId="0" xfId="682" applyFont="1" applyAlignment="1">
      <alignment vertical="center"/>
    </xf>
    <xf numFmtId="0" fontId="52" fillId="0" borderId="0" xfId="682" applyFont="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37" fontId="0" fillId="32"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0" borderId="22" xfId="0" applyFont="1" applyFill="1" applyBorder="1" applyAlignment="1">
      <alignment vertical="center" wrapText="1"/>
    </xf>
    <xf numFmtId="39" fontId="134" fillId="73"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5" borderId="24" xfId="0" applyNumberFormat="1" applyFont="1" applyFill="1" applyBorder="1" applyAlignment="1" applyProtection="1">
      <alignment horizontal="left" vertical="center" wrapText="1"/>
    </xf>
    <xf numFmtId="0" fontId="134" fillId="75" borderId="0" xfId="0" applyFont="1" applyFill="1" applyAlignment="1" applyProtection="1">
      <alignment horizontal="left" vertical="center" wrapText="1"/>
    </xf>
    <xf numFmtId="164" fontId="0" fillId="75" borderId="22" xfId="439" applyNumberFormat="1" applyFont="1" applyFill="1" applyBorder="1" applyAlignment="1" applyProtection="1">
      <alignment horizontal="center" vertical="center" wrapText="1"/>
    </xf>
    <xf numFmtId="0" fontId="0" fillId="75"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1" borderId="22" xfId="0" applyNumberFormat="1" applyFont="1" applyFill="1" applyBorder="1" applyAlignment="1" applyProtection="1">
      <alignment horizontal="left" vertical="center" wrapText="1"/>
    </xf>
    <xf numFmtId="49" fontId="0" fillId="71"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1" borderId="63"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5" borderId="0" xfId="0" applyFont="1" applyFill="1" applyBorder="1"/>
    <xf numFmtId="41" fontId="0" fillId="75" borderId="0" xfId="0" applyNumberFormat="1" applyFont="1" applyFill="1" applyBorder="1" applyAlignment="1">
      <alignment horizontal="center" vertical="center" wrapText="1"/>
    </xf>
    <xf numFmtId="14" fontId="0" fillId="75" borderId="62" xfId="439" applyNumberFormat="1" applyFont="1" applyFill="1" applyBorder="1" applyAlignment="1" applyProtection="1">
      <alignment horizontal="center" vertical="center"/>
    </xf>
    <xf numFmtId="0" fontId="0" fillId="75"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41" fontId="67" fillId="0" borderId="0" xfId="0"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0" fontId="0" fillId="0" borderId="0" xfId="0" applyFont="1" applyBorder="1"/>
    <xf numFmtId="0" fontId="0" fillId="0" borderId="54"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8"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39" fillId="0" borderId="0" xfId="0" applyFont="1" applyAlignment="1" applyProtection="1">
      <alignment horizontal="center" vertical="center" wrapText="1"/>
    </xf>
    <xf numFmtId="0" fontId="39" fillId="0" borderId="0" xfId="0" applyFont="1" applyFill="1" applyAlignment="1" applyProtection="1">
      <alignment horizontal="center" vertical="center"/>
    </xf>
    <xf numFmtId="0" fontId="39" fillId="71" borderId="0" xfId="0" applyFont="1" applyFill="1" applyAlignment="1" applyProtection="1">
      <alignment vertical="center"/>
    </xf>
    <xf numFmtId="0" fontId="0" fillId="71" borderId="0" xfId="0" applyNumberFormat="1" applyFont="1" applyFill="1" applyAlignment="1" applyProtection="1">
      <alignment horizontal="left" vertical="center" wrapText="1"/>
    </xf>
    <xf numFmtId="164" fontId="0" fillId="71" borderId="0" xfId="439" applyNumberFormat="1" applyFont="1" applyFill="1" applyAlignment="1" applyProtection="1">
      <alignment vertical="center"/>
    </xf>
    <xf numFmtId="37" fontId="0" fillId="71" borderId="0" xfId="439" applyNumberFormat="1" applyFont="1" applyFill="1" applyAlignment="1" applyProtection="1">
      <alignment horizontal="center" vertical="center"/>
      <protection locked="0"/>
    </xf>
    <xf numFmtId="41" fontId="67" fillId="71" borderId="0" xfId="439" applyNumberFormat="1" applyFont="1" applyFill="1" applyAlignment="1" applyProtection="1">
      <alignment wrapText="1"/>
    </xf>
    <xf numFmtId="0" fontId="39" fillId="71" borderId="0" xfId="0" applyNumberFormat="1" applyFont="1" applyFill="1" applyAlignment="1" applyProtection="1">
      <alignment horizontal="left" vertical="center" wrapText="1"/>
    </xf>
    <xf numFmtId="164" fontId="0" fillId="71" borderId="0" xfId="439" applyNumberFormat="1" applyFont="1" applyFill="1" applyAlignment="1" applyProtection="1">
      <alignment horizontal="center" vertical="center"/>
      <protection locked="0"/>
    </xf>
    <xf numFmtId="41" fontId="68" fillId="71" borderId="0" xfId="439" applyNumberFormat="1" applyFont="1" applyFill="1" applyAlignment="1" applyProtection="1">
      <alignment wrapText="1"/>
    </xf>
    <xf numFmtId="0" fontId="57" fillId="71" borderId="0" xfId="0" applyFont="1" applyFill="1" applyAlignment="1" applyProtection="1">
      <alignment horizontal="left" vertical="center"/>
    </xf>
    <xf numFmtId="0" fontId="44" fillId="71" borderId="0" xfId="0" applyFont="1" applyFill="1" applyAlignment="1" applyProtection="1">
      <alignment horizontal="left" vertical="center"/>
    </xf>
    <xf numFmtId="0" fontId="0" fillId="71" borderId="0" xfId="0" applyNumberFormat="1" applyFont="1" applyFill="1" applyAlignment="1" applyProtection="1">
      <alignment wrapText="1"/>
    </xf>
    <xf numFmtId="0" fontId="0" fillId="71" borderId="0" xfId="0" applyFont="1" applyFill="1" applyAlignment="1" applyProtection="1">
      <alignment vertical="center"/>
    </xf>
    <xf numFmtId="164" fontId="0" fillId="71" borderId="0" xfId="0" applyNumberFormat="1" applyFont="1" applyFill="1" applyAlignment="1" applyProtection="1">
      <alignment vertical="center"/>
    </xf>
    <xf numFmtId="164" fontId="39" fillId="71" borderId="0" xfId="439" applyNumberFormat="1" applyFont="1" applyFill="1" applyAlignment="1" applyProtection="1">
      <alignment horizontal="center" vertical="center"/>
      <protection locked="0"/>
    </xf>
    <xf numFmtId="41" fontId="68" fillId="71" borderId="0" xfId="0" applyNumberFormat="1" applyFont="1" applyFill="1" applyAlignment="1" applyProtection="1">
      <alignment wrapText="1"/>
    </xf>
    <xf numFmtId="0" fontId="39" fillId="71" borderId="0" xfId="0" applyFont="1" applyFill="1" applyAlignment="1" applyProtection="1">
      <alignment horizontal="left" vertical="center"/>
    </xf>
    <xf numFmtId="0" fontId="0" fillId="71" borderId="0" xfId="0" applyFont="1" applyFill="1" applyAlignment="1" applyProtection="1">
      <alignment horizontal="left" vertical="center"/>
    </xf>
    <xf numFmtId="0" fontId="0" fillId="71" borderId="0" xfId="0" applyNumberFormat="1" applyFont="1" applyFill="1" applyAlignment="1" applyProtection="1">
      <alignment vertical="center" wrapText="1"/>
    </xf>
    <xf numFmtId="3" fontId="39" fillId="71" borderId="0" xfId="439" applyNumberFormat="1" applyFont="1" applyFill="1" applyAlignment="1" applyProtection="1">
      <alignment horizontal="center" vertical="center"/>
      <protection locked="0"/>
    </xf>
    <xf numFmtId="38" fontId="44" fillId="71" borderId="0" xfId="439" applyNumberFormat="1" applyFont="1" applyFill="1" applyAlignment="1" applyProtection="1">
      <alignment horizontal="center" vertical="center" wrapText="1"/>
    </xf>
    <xf numFmtId="164" fontId="0" fillId="71" borderId="0" xfId="439" applyNumberFormat="1" applyFont="1" applyFill="1" applyProtection="1"/>
    <xf numFmtId="164" fontId="0" fillId="71" borderId="0" xfId="439" applyNumberFormat="1" applyFont="1" applyFill="1" applyAlignment="1" applyProtection="1">
      <alignment horizontal="center" vertical="center"/>
    </xf>
    <xf numFmtId="0" fontId="0" fillId="71" borderId="0" xfId="0" applyFont="1" applyFill="1" applyProtection="1"/>
    <xf numFmtId="0" fontId="0" fillId="71" borderId="0" xfId="0" applyFont="1" applyFill="1" applyAlignment="1" applyProtection="1">
      <alignment horizontal="center" vertical="center" wrapText="1"/>
    </xf>
    <xf numFmtId="0" fontId="39" fillId="71" borderId="0" xfId="0" applyFont="1" applyFill="1" applyAlignment="1" applyProtection="1">
      <alignment horizontal="center" vertical="center" wrapText="1"/>
    </xf>
    <xf numFmtId="41" fontId="0" fillId="71" borderId="0" xfId="439" applyNumberFormat="1" applyFont="1" applyFill="1" applyAlignment="1" applyProtection="1">
      <alignment vertical="center" wrapText="1"/>
      <protection locked="0"/>
    </xf>
    <xf numFmtId="41" fontId="0" fillId="71" borderId="0" xfId="439" applyNumberFormat="1" applyFont="1" applyFill="1" applyAlignment="1" applyProtection="1">
      <alignment vertical="center" wrapText="1"/>
    </xf>
    <xf numFmtId="0" fontId="0" fillId="71" borderId="0" xfId="0" applyFont="1" applyFill="1" applyAlignment="1" applyProtection="1">
      <alignment wrapText="1"/>
      <protection locked="0"/>
    </xf>
    <xf numFmtId="0" fontId="146" fillId="71" borderId="0" xfId="0" applyFont="1" applyFill="1" applyAlignment="1" applyProtection="1">
      <alignment horizontal="left" vertical="center"/>
    </xf>
    <xf numFmtId="0" fontId="80" fillId="71" borderId="0" xfId="0" applyFont="1" applyFill="1" applyAlignment="1" applyProtection="1">
      <alignment vertical="center"/>
    </xf>
    <xf numFmtId="0" fontId="147" fillId="71" borderId="0" xfId="0" applyFont="1" applyFill="1" applyAlignment="1" applyProtection="1">
      <alignment vertical="center"/>
      <protection locked="0"/>
    </xf>
    <xf numFmtId="0" fontId="57" fillId="71" borderId="0" xfId="0" applyFont="1" applyFill="1" applyAlignment="1">
      <alignment vertical="center" wrapText="1"/>
    </xf>
    <xf numFmtId="41" fontId="148" fillId="0" borderId="0" xfId="0" applyNumberFormat="1" applyFont="1" applyFill="1" applyAlignment="1" applyProtection="1">
      <alignment wrapText="1"/>
    </xf>
    <xf numFmtId="0" fontId="57" fillId="71"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8" xfId="0" applyBorder="1"/>
    <xf numFmtId="10" fontId="0" fillId="0" borderId="55" xfId="0" applyNumberFormat="1" applyBorder="1" applyAlignment="1">
      <alignment horizontal="center" vertical="center" wrapText="1"/>
    </xf>
    <xf numFmtId="0" fontId="39" fillId="0" borderId="55" xfId="0" applyFont="1" applyBorder="1" applyAlignment="1">
      <alignment horizontal="center"/>
    </xf>
    <xf numFmtId="0" fontId="39" fillId="75" borderId="65" xfId="0" applyFont="1" applyFill="1" applyBorder="1" applyAlignment="1">
      <alignment horizontal="center"/>
    </xf>
    <xf numFmtId="0" fontId="39" fillId="75" borderId="55" xfId="0" applyFont="1" applyFill="1" applyBorder="1" applyAlignment="1">
      <alignment horizontal="center"/>
    </xf>
    <xf numFmtId="0" fontId="0" fillId="75" borderId="55" xfId="0" applyFill="1" applyBorder="1"/>
    <xf numFmtId="0" fontId="0" fillId="75" borderId="55" xfId="0" applyFill="1" applyBorder="1" applyAlignment="1">
      <alignment horizontal="center"/>
    </xf>
    <xf numFmtId="0" fontId="0" fillId="0" borderId="71" xfId="0" applyBorder="1"/>
    <xf numFmtId="0" fontId="0" fillId="0" borderId="76" xfId="0" applyBorder="1"/>
    <xf numFmtId="0" fontId="37" fillId="75" borderId="55" xfId="0" applyFont="1" applyFill="1" applyBorder="1" applyAlignment="1">
      <alignment vertical="center" wrapText="1"/>
    </xf>
    <xf numFmtId="0" fontId="0" fillId="75" borderId="55" xfId="0" applyFill="1" applyBorder="1" applyAlignment="1">
      <alignment vertical="center"/>
    </xf>
    <xf numFmtId="0" fontId="37" fillId="75" borderId="55" xfId="0" applyFont="1" applyFill="1" applyBorder="1" applyAlignment="1">
      <alignment horizontal="justify" vertical="center"/>
    </xf>
    <xf numFmtId="0" fontId="45" fillId="75" borderId="55" xfId="0" quotePrefix="1" applyFont="1" applyFill="1" applyBorder="1" applyAlignment="1">
      <alignment horizontal="center" vertical="center" wrapText="1"/>
    </xf>
    <xf numFmtId="0" fontId="45" fillId="75" borderId="13" xfId="0" applyFont="1" applyFill="1" applyBorder="1" applyAlignment="1">
      <alignment vertical="center" wrapText="1"/>
    </xf>
    <xf numFmtId="0" fontId="40" fillId="75" borderId="13" xfId="0" applyFont="1" applyFill="1" applyBorder="1" applyAlignment="1">
      <alignment horizontal="center" vertical="center"/>
    </xf>
    <xf numFmtId="0" fontId="45" fillId="75" borderId="13" xfId="0" applyFont="1" applyFill="1" applyBorder="1" applyAlignment="1">
      <alignment vertical="center"/>
    </xf>
    <xf numFmtId="9" fontId="0" fillId="0" borderId="55" xfId="0" applyNumberFormat="1" applyBorder="1" applyAlignment="1">
      <alignment horizontal="center" vertical="center" wrapText="1"/>
    </xf>
    <xf numFmtId="0" fontId="0" fillId="0" borderId="55" xfId="0" applyBorder="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53" fillId="74" borderId="55" xfId="0" applyFont="1" applyFill="1" applyBorder="1" applyAlignment="1">
      <alignment horizontal="center" vertical="center" wrapText="1"/>
    </xf>
    <xf numFmtId="0" fontId="150" fillId="0" borderId="0" xfId="0" applyFont="1"/>
    <xf numFmtId="0" fontId="154" fillId="70" borderId="0" xfId="0" applyFont="1" applyFill="1" applyAlignment="1">
      <alignment horizontal="justify" vertical="center"/>
    </xf>
    <xf numFmtId="0" fontId="154" fillId="70" borderId="0" xfId="0" applyFont="1" applyFill="1" applyAlignment="1">
      <alignment vertical="center"/>
    </xf>
    <xf numFmtId="0" fontId="0" fillId="0" borderId="0" xfId="0" applyAlignment="1">
      <alignment vertical="center"/>
    </xf>
    <xf numFmtId="0" fontId="154" fillId="70" borderId="0" xfId="0" applyFont="1" applyFill="1" applyAlignment="1">
      <alignment vertical="center" wrapText="1"/>
    </xf>
    <xf numFmtId="0" fontId="158" fillId="70" borderId="0" xfId="611" applyFont="1" applyFill="1" applyAlignment="1">
      <alignment vertical="center"/>
    </xf>
    <xf numFmtId="0" fontId="159" fillId="70" borderId="0" xfId="0" applyFont="1" applyFill="1" applyAlignment="1">
      <alignment vertical="center"/>
    </xf>
    <xf numFmtId="0" fontId="160" fillId="70" borderId="0" xfId="611" applyFont="1" applyFill="1" applyAlignment="1" applyProtection="1">
      <alignment vertical="center"/>
      <protection locked="0"/>
    </xf>
    <xf numFmtId="0" fontId="159" fillId="70" borderId="0" xfId="0" applyFont="1" applyFill="1"/>
    <xf numFmtId="0" fontId="160" fillId="70" borderId="0" xfId="611" applyFont="1" applyFill="1" applyProtection="1">
      <protection locked="0"/>
    </xf>
    <xf numFmtId="0" fontId="117" fillId="70" borderId="0" xfId="30097" quotePrefix="1" applyFont="1" applyFill="1" applyAlignment="1">
      <alignment horizontal="left" vertical="center" wrapText="1" indent="1"/>
    </xf>
    <xf numFmtId="0" fontId="163" fillId="70" borderId="0" xfId="30097" applyFont="1" applyFill="1" applyAlignment="1">
      <alignment vertical="center" wrapText="1"/>
    </xf>
    <xf numFmtId="0" fontId="35" fillId="0" borderId="0" xfId="611"/>
    <xf numFmtId="0" fontId="154" fillId="70" borderId="0" xfId="30097" applyFont="1" applyFill="1" applyAlignment="1">
      <alignment vertical="center" wrapText="1"/>
    </xf>
    <xf numFmtId="0" fontId="160" fillId="70"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6" borderId="24" xfId="0" applyNumberFormat="1" applyFont="1" applyFill="1" applyBorder="1" applyAlignment="1" applyProtection="1">
      <alignment horizontal="left" vertical="center" wrapText="1"/>
    </xf>
    <xf numFmtId="1" fontId="0" fillId="0" borderId="0" xfId="0" applyNumberFormat="1" applyFont="1" applyFill="1" applyAlignment="1" applyProtection="1">
      <alignment horizontal="center" vertical="center"/>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77"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7" borderId="0" xfId="0" applyFill="1" applyBorder="1"/>
    <xf numFmtId="38" fontId="44" fillId="22" borderId="43" xfId="439" applyNumberFormat="1" applyFont="1" applyFill="1" applyBorder="1" applyAlignment="1" applyProtection="1">
      <alignment horizontal="center" vertical="center" wrapText="1"/>
    </xf>
    <xf numFmtId="4" fontId="0" fillId="0" borderId="0" xfId="0" applyNumberFormat="1"/>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5" borderId="80" xfId="0" applyFont="1" applyFill="1" applyBorder="1" applyAlignment="1">
      <alignment horizontal="left"/>
    </xf>
    <xf numFmtId="0" fontId="0" fillId="75" borderId="81" xfId="0" applyFill="1" applyBorder="1"/>
    <xf numFmtId="0" fontId="0" fillId="75" borderId="87" xfId="0" applyFill="1" applyBorder="1"/>
    <xf numFmtId="0" fontId="0" fillId="0" borderId="79" xfId="0" applyBorder="1"/>
    <xf numFmtId="0" fontId="152" fillId="0" borderId="66" xfId="0" applyFont="1" applyBorder="1" applyAlignment="1">
      <alignment horizontal="center" vertical="center" wrapText="1"/>
    </xf>
    <xf numFmtId="0" fontId="0" fillId="0" borderId="66" xfId="0" applyBorder="1"/>
    <xf numFmtId="0" fontId="152"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5" borderId="66" xfId="0" applyFont="1" applyFill="1" applyBorder="1" applyAlignment="1">
      <alignment vertical="center" wrapText="1"/>
    </xf>
    <xf numFmtId="0" fontId="0" fillId="75" borderId="66" xfId="0" applyFill="1" applyBorder="1" applyAlignment="1">
      <alignment vertical="center" wrapText="1"/>
    </xf>
    <xf numFmtId="37" fontId="0" fillId="0" borderId="55" xfId="0" applyNumberFormat="1" applyBorder="1" applyAlignment="1">
      <alignment horizontal="center" vertical="center" wrapText="1"/>
    </xf>
    <xf numFmtId="0" fontId="45" fillId="75" borderId="13" xfId="0" applyFont="1" applyFill="1" applyBorder="1" applyAlignment="1">
      <alignment horizontal="center" vertical="center" wrapText="1"/>
    </xf>
    <xf numFmtId="0" fontId="39" fillId="75" borderId="55" xfId="0" applyFont="1" applyFill="1" applyBorder="1" applyAlignment="1">
      <alignment horizontal="center" wrapText="1"/>
    </xf>
    <xf numFmtId="0" fontId="0" fillId="75" borderId="80" xfId="0" applyFill="1" applyBorder="1"/>
    <xf numFmtId="49" fontId="39" fillId="0" borderId="55" xfId="0" quotePrefix="1" applyNumberFormat="1" applyFont="1" applyBorder="1" applyAlignment="1">
      <alignment horizontal="center" vertical="center"/>
    </xf>
    <xf numFmtId="0" fontId="39" fillId="0" borderId="55" xfId="0" applyFont="1" applyBorder="1" applyAlignment="1">
      <alignment horizontal="center" vertical="center"/>
    </xf>
    <xf numFmtId="0" fontId="0" fillId="1" borderId="55" xfId="0" applyFill="1" applyBorder="1" applyAlignment="1">
      <alignment horizontal="center" vertical="center" wrapText="1"/>
    </xf>
    <xf numFmtId="0" fontId="45" fillId="75" borderId="84" xfId="0" applyFont="1" applyFill="1" applyBorder="1" applyAlignment="1">
      <alignment horizontal="center" vertical="center" wrapText="1"/>
    </xf>
    <xf numFmtId="37" fontId="0" fillId="0" borderId="55" xfId="0" applyNumberFormat="1" applyBorder="1" applyAlignment="1">
      <alignment horizontal="center" vertical="center"/>
    </xf>
    <xf numFmtId="0" fontId="39" fillId="0" borderId="76" xfId="0" applyFont="1" applyBorder="1" applyAlignment="1">
      <alignment horizontal="center" vertical="center"/>
    </xf>
    <xf numFmtId="178" fontId="0" fillId="0" borderId="0" xfId="0" applyNumberFormat="1"/>
    <xf numFmtId="0" fontId="0" fillId="75" borderId="11" xfId="0" applyFill="1" applyBorder="1" applyAlignment="1">
      <alignment horizontal="center"/>
    </xf>
    <xf numFmtId="0" fontId="44" fillId="0" borderId="83" xfId="0" applyFont="1" applyBorder="1"/>
    <xf numFmtId="0" fontId="44" fillId="0" borderId="0" xfId="0" applyFont="1"/>
    <xf numFmtId="0" fontId="44" fillId="0" borderId="67" xfId="0" applyFont="1" applyBorder="1"/>
    <xf numFmtId="0" fontId="44" fillId="0" borderId="68" xfId="0" applyFont="1" applyBorder="1"/>
    <xf numFmtId="0" fontId="166" fillId="0" borderId="0" xfId="0" applyFont="1" applyAlignment="1">
      <alignment vertical="center" wrapText="1"/>
    </xf>
    <xf numFmtId="0" fontId="44" fillId="0" borderId="77" xfId="0" applyFont="1" applyBorder="1" applyAlignment="1">
      <alignment wrapText="1"/>
    </xf>
    <xf numFmtId="1" fontId="44" fillId="0" borderId="0" xfId="0" applyNumberFormat="1" applyFont="1"/>
    <xf numFmtId="0" fontId="44" fillId="0" borderId="75"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7" applyFont="1" applyFill="1" applyBorder="1"/>
    <xf numFmtId="10" fontId="44" fillId="0" borderId="67" xfId="0" applyNumberFormat="1" applyFont="1" applyBorder="1"/>
    <xf numFmtId="10" fontId="44" fillId="0" borderId="0" xfId="0" applyNumberFormat="1" applyFont="1"/>
    <xf numFmtId="10" fontId="44" fillId="0" borderId="0" xfId="0" applyNumberFormat="1" applyFont="1" applyAlignment="1">
      <alignment horizontal="center" wrapText="1"/>
    </xf>
    <xf numFmtId="0" fontId="44" fillId="0" borderId="78" xfId="0" applyFont="1" applyBorder="1"/>
    <xf numFmtId="0" fontId="0" fillId="0" borderId="0" xfId="0" applyFill="1" applyAlignment="1">
      <alignment horizontal="left" vertical="center"/>
    </xf>
    <xf numFmtId="0" fontId="0" fillId="0" borderId="0" xfId="0" applyFill="1" applyAlignment="1">
      <alignment wrapText="1"/>
    </xf>
    <xf numFmtId="0" fontId="167" fillId="0" borderId="0" xfId="0" applyFont="1" applyFill="1" applyAlignment="1">
      <alignment horizontal="left" vertical="center"/>
    </xf>
    <xf numFmtId="0" fontId="80" fillId="0" borderId="39" xfId="0" applyFont="1" applyFill="1" applyBorder="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Fill="1" applyAlignment="1">
      <alignment vertical="center" wrapText="1"/>
    </xf>
    <xf numFmtId="38" fontId="44" fillId="32" borderId="0" xfId="439" applyNumberFormat="1" applyFont="1" applyFill="1" applyAlignment="1" applyProtection="1">
      <alignment horizontal="center" vertical="center" wrapText="1"/>
    </xf>
    <xf numFmtId="0" fontId="80"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3"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3"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6" xfId="439" applyNumberFormat="1" applyFont="1" applyFill="1" applyBorder="1" applyAlignment="1">
      <alignment vertical="center" wrapText="1"/>
    </xf>
    <xf numFmtId="41" fontId="68" fillId="30" borderId="74" xfId="439" applyNumberFormat="1" applyFont="1" applyFill="1" applyBorder="1" applyAlignment="1">
      <alignment vertical="center" wrapText="1"/>
    </xf>
    <xf numFmtId="0" fontId="0" fillId="32" borderId="0" xfId="0" applyFill="1" applyAlignment="1">
      <alignment horizontal="center" vertical="center" wrapText="1"/>
    </xf>
    <xf numFmtId="14" fontId="56" fillId="33" borderId="22" xfId="439" applyNumberFormat="1" applyFont="1" applyFill="1" applyBorder="1" applyAlignment="1" applyProtection="1">
      <alignment horizontal="center" vertical="center" wrapText="1"/>
    </xf>
    <xf numFmtId="0" fontId="0" fillId="32" borderId="0" xfId="0" applyFont="1" applyFill="1" applyAlignment="1" applyProtection="1">
      <alignment horizontal="center" vertical="center"/>
    </xf>
    <xf numFmtId="172" fontId="39" fillId="71" borderId="0" xfId="439" applyNumberFormat="1" applyFont="1" applyFill="1" applyAlignment="1" applyProtection="1">
      <alignment horizontal="center" vertical="center"/>
      <protection locked="0"/>
    </xf>
    <xf numFmtId="0" fontId="0" fillId="32" borderId="0" xfId="0" applyFill="1"/>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75"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5" borderId="93"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177" fontId="56" fillId="0" borderId="22" xfId="439" applyNumberFormat="1" applyFont="1" applyFill="1" applyBorder="1" applyAlignment="1" applyProtection="1">
      <alignment horizontal="center" vertical="center" wrapText="1"/>
    </xf>
    <xf numFmtId="0" fontId="0" fillId="70" borderId="66" xfId="0" applyFill="1" applyBorder="1" applyAlignment="1">
      <alignment horizontal="left" vertical="center" wrapText="1"/>
    </xf>
    <xf numFmtId="0" fontId="67" fillId="0" borderId="10" xfId="0" applyFont="1" applyFill="1" applyBorder="1" applyAlignment="1">
      <alignment vertical="center" wrapText="1"/>
    </xf>
    <xf numFmtId="0" fontId="67" fillId="0" borderId="10" xfId="0" applyFont="1" applyFill="1" applyBorder="1" applyAlignment="1">
      <alignment horizontal="left" vertical="center" wrapText="1"/>
    </xf>
    <xf numFmtId="0" fontId="49" fillId="75" borderId="66" xfId="0" applyFont="1" applyFill="1" applyBorder="1" applyAlignment="1">
      <alignment horizontal="center" wrapText="1"/>
    </xf>
    <xf numFmtId="0" fontId="0" fillId="0" borderId="34" xfId="0" applyNumberFormat="1" applyFont="1" applyFill="1" applyBorder="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21"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14" fontId="124" fillId="29" borderId="10" xfId="31721" applyNumberFormat="1" applyFont="1" applyFill="1" applyBorder="1" applyAlignment="1" applyProtection="1">
      <alignment horizontal="left" vertical="center"/>
      <protection locked="0"/>
    </xf>
    <xf numFmtId="37" fontId="56" fillId="0" borderId="22" xfId="439" applyNumberFormat="1" applyFont="1" applyFill="1" applyBorder="1" applyAlignment="1" applyProtection="1">
      <alignment horizontal="center" vertical="center" wrapText="1"/>
    </xf>
    <xf numFmtId="172" fontId="0" fillId="72" borderId="28" xfId="439" applyNumberFormat="1" applyFont="1" applyFill="1" applyBorder="1" applyAlignment="1" applyProtection="1">
      <alignment vertical="center"/>
    </xf>
    <xf numFmtId="0" fontId="41" fillId="75" borderId="0" xfId="0" applyFont="1" applyFill="1" applyBorder="1" applyAlignment="1">
      <alignment vertical="center" wrapText="1"/>
    </xf>
    <xf numFmtId="14" fontId="0" fillId="33" borderId="0" xfId="0" applyNumberFormat="1" applyFont="1" applyFill="1" applyAlignment="1" applyProtection="1">
      <alignment horizontal="center" vertical="center"/>
    </xf>
    <xf numFmtId="169" fontId="0" fillId="71" borderId="63" xfId="439" applyNumberFormat="1" applyFont="1" applyFill="1" applyBorder="1" applyAlignment="1" applyProtection="1">
      <alignment horizontal="center" vertical="center"/>
    </xf>
    <xf numFmtId="0" fontId="171" fillId="70" borderId="0" xfId="30097" applyFont="1" applyFill="1" applyAlignment="1">
      <alignment vertical="center" wrapText="1"/>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40" fillId="32"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72" fillId="0" borderId="0" xfId="682" applyFont="1" applyAlignment="1">
      <alignment vertical="center"/>
    </xf>
    <xf numFmtId="0" fontId="130" fillId="0" borderId="0" xfId="682" applyFont="1"/>
    <xf numFmtId="181" fontId="52" fillId="0" borderId="0" xfId="682" applyNumberFormat="1" applyFont="1" applyAlignment="1">
      <alignment horizontal="left"/>
    </xf>
    <xf numFmtId="42" fontId="132" fillId="26" borderId="0" xfId="546" applyNumberFormat="1" applyFont="1" applyFill="1"/>
    <xf numFmtId="0" fontId="0" fillId="0" borderId="0" xfId="0" quotePrefix="1" applyAlignment="1">
      <alignment horizontal="center"/>
    </xf>
    <xf numFmtId="41" fontId="132" fillId="26" borderId="0" xfId="546" applyNumberFormat="1" applyFont="1" applyFill="1"/>
    <xf numFmtId="0" fontId="39" fillId="0" borderId="0" xfId="682" applyFont="1" applyAlignment="1">
      <alignment horizontal="left"/>
    </xf>
    <xf numFmtId="41" fontId="132" fillId="26" borderId="0" xfId="682" applyNumberFormat="1" applyFont="1" applyFill="1"/>
    <xf numFmtId="41" fontId="52" fillId="26" borderId="0" xfId="682" applyNumberFormat="1" applyFont="1" applyFill="1"/>
    <xf numFmtId="41" fontId="52" fillId="26" borderId="17" xfId="449" applyNumberFormat="1" applyFont="1" applyFill="1" applyBorder="1"/>
    <xf numFmtId="181" fontId="39" fillId="0" borderId="0" xfId="682" applyNumberFormat="1" applyFont="1" applyAlignment="1">
      <alignment horizontal="left"/>
    </xf>
    <xf numFmtId="42" fontId="39" fillId="32"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42" fontId="39" fillId="0" borderId="0" xfId="546" applyNumberFormat="1" applyFont="1" applyFill="1" applyBorder="1"/>
    <xf numFmtId="0" fontId="133" fillId="0" borderId="0" xfId="682" applyFont="1" applyAlignment="1">
      <alignment horizontal="left" vertical="center" wrapText="1"/>
    </xf>
    <xf numFmtId="42" fontId="52" fillId="26" borderId="0" xfId="31722" applyNumberFormat="1" applyFont="1" applyFill="1"/>
    <xf numFmtId="41" fontId="132" fillId="26" borderId="0" xfId="0" applyNumberFormat="1" applyFont="1" applyFill="1"/>
    <xf numFmtId="181" fontId="49" fillId="0" borderId="0" xfId="682" applyNumberFormat="1" applyFont="1" applyAlignment="1">
      <alignment horizontal="left"/>
    </xf>
    <xf numFmtId="42" fontId="49" fillId="32" borderId="19" xfId="546" applyNumberFormat="1" applyFont="1" applyFill="1" applyBorder="1"/>
    <xf numFmtId="10" fontId="39" fillId="0" borderId="19" xfId="682" applyNumberFormat="1" applyFont="1" applyBorder="1" applyAlignment="1">
      <alignment horizontal="right" vertical="center"/>
    </xf>
    <xf numFmtId="0" fontId="0" fillId="0" borderId="0" xfId="0" applyAlignment="1">
      <alignment horizontal="left"/>
    </xf>
    <xf numFmtId="0" fontId="0" fillId="0" borderId="0" xfId="0" applyAlignment="1">
      <alignment horizontal="left" wrapText="1"/>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0" applyFont="1"/>
    <xf numFmtId="0" fontId="33" fillId="0" borderId="0" xfId="682" applyFont="1"/>
    <xf numFmtId="0" fontId="39" fillId="0" borderId="0" xfId="682" applyFont="1" applyAlignment="1">
      <alignment wrapText="1"/>
    </xf>
    <xf numFmtId="0" fontId="0" fillId="0" borderId="0" xfId="682" applyFont="1"/>
    <xf numFmtId="0" fontId="130"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31"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3" fillId="0" borderId="0" xfId="682" applyFont="1"/>
    <xf numFmtId="181" fontId="52" fillId="0" borderId="0" xfId="682" applyNumberFormat="1" applyFont="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173" fillId="0" borderId="0" xfId="682" applyFont="1" applyAlignment="1">
      <alignment vertical="center"/>
    </xf>
    <xf numFmtId="0" fontId="174" fillId="0" borderId="0" xfId="682" applyFont="1"/>
    <xf numFmtId="0" fontId="49" fillId="0" borderId="0" xfId="682" applyFont="1"/>
    <xf numFmtId="0" fontId="133"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4" fillId="0" borderId="0" xfId="0" applyFont="1" applyAlignment="1">
      <alignment horizontal="left" vertical="center" wrapText="1"/>
    </xf>
    <xf numFmtId="181" fontId="49" fillId="0" borderId="0" xfId="682" applyNumberFormat="1" applyFont="1"/>
    <xf numFmtId="0" fontId="0" fillId="0" borderId="0" xfId="0" quotePrefix="1"/>
    <xf numFmtId="10" fontId="49" fillId="0" borderId="19" xfId="682" applyNumberFormat="1" applyFont="1" applyBorder="1"/>
    <xf numFmtId="164" fontId="0" fillId="0" borderId="0" xfId="0" applyNumberFormat="1"/>
    <xf numFmtId="0" fontId="51" fillId="0" borderId="0" xfId="0" applyFont="1"/>
    <xf numFmtId="2" fontId="0" fillId="0" borderId="0" xfId="0" applyNumberFormat="1"/>
    <xf numFmtId="164" fontId="0" fillId="0" borderId="0" xfId="439" applyNumberFormat="1" applyFont="1"/>
    <xf numFmtId="0" fontId="44" fillId="0" borderId="43" xfId="0" applyFont="1" applyFill="1" applyBorder="1" applyAlignment="1" applyProtection="1">
      <alignment horizontal="center" vertical="center" wrapText="1"/>
    </xf>
    <xf numFmtId="0" fontId="39" fillId="71" borderId="0" xfId="0" applyFont="1" applyFill="1" applyAlignment="1" applyProtection="1">
      <alignment horizontal="center" vertical="center"/>
    </xf>
    <xf numFmtId="0" fontId="0" fillId="71"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28" borderId="0" xfId="0" applyFont="1" applyFill="1" applyAlignment="1" applyProtection="1">
      <alignment horizontal="center" vertical="center"/>
    </xf>
    <xf numFmtId="0" fontId="0" fillId="29" borderId="69" xfId="0" applyFill="1" applyBorder="1" applyAlignment="1" applyProtection="1">
      <alignment horizontal="center" vertical="center"/>
      <protection locked="0"/>
    </xf>
    <xf numFmtId="1" fontId="0" fillId="29" borderId="69" xfId="0" applyNumberFormat="1"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0" fillId="0" borderId="69" xfId="0" applyFill="1" applyBorder="1" applyAlignment="1"/>
    <xf numFmtId="0" fontId="0" fillId="0" borderId="0" xfId="0" applyFill="1" applyAlignment="1"/>
    <xf numFmtId="0" fontId="0" fillId="0" borderId="95" xfId="0" applyBorder="1" applyAlignment="1">
      <alignment horizontal="center"/>
    </xf>
    <xf numFmtId="0" fontId="0" fillId="0" borderId="96" xfId="0" applyFill="1" applyBorder="1"/>
    <xf numFmtId="2" fontId="0" fillId="0" borderId="96" xfId="0" applyNumberFormat="1" applyFill="1" applyBorder="1" applyAlignment="1">
      <alignment wrapText="1"/>
    </xf>
    <xf numFmtId="0" fontId="0" fillId="0" borderId="97" xfId="0" applyBorder="1" applyAlignment="1">
      <alignment wrapText="1"/>
    </xf>
    <xf numFmtId="0" fontId="0" fillId="0" borderId="98"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9" xfId="0" applyBorder="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4" xfId="546" applyNumberFormat="1" applyFont="1" applyBorder="1"/>
    <xf numFmtId="42" fontId="52" fillId="0" borderId="19" xfId="546" applyNumberFormat="1" applyFont="1" applyBorder="1"/>
    <xf numFmtId="0" fontId="39" fillId="28" borderId="0" xfId="0" applyFont="1" applyFill="1" applyAlignment="1" applyProtection="1">
      <alignment horizontal="left" vertical="center"/>
    </xf>
    <xf numFmtId="0" fontId="0" fillId="0" borderId="0" xfId="0" applyNumberFormat="1"/>
    <xf numFmtId="0" fontId="0" fillId="0" borderId="0" xfId="0" applyAlignment="1">
      <alignment horizontal="center" vertical="center"/>
    </xf>
    <xf numFmtId="0" fontId="39" fillId="32" borderId="100" xfId="0" applyFont="1" applyFill="1" applyBorder="1" applyAlignment="1">
      <alignment vertical="center"/>
    </xf>
    <xf numFmtId="0" fontId="39" fillId="32" borderId="101" xfId="0" applyFont="1" applyFill="1" applyBorder="1" applyAlignment="1">
      <alignment vertical="center"/>
    </xf>
    <xf numFmtId="0" fontId="39" fillId="32" borderId="102" xfId="0" applyFont="1" applyFill="1" applyBorder="1" applyAlignment="1">
      <alignment vertical="center"/>
    </xf>
    <xf numFmtId="0" fontId="0" fillId="32" borderId="35" xfId="0" applyFill="1" applyBorder="1" applyAlignment="1">
      <alignment vertical="center"/>
    </xf>
    <xf numFmtId="0" fontId="0" fillId="32" borderId="36" xfId="0" applyFill="1" applyBorder="1" applyAlignment="1">
      <alignment vertical="center"/>
    </xf>
    <xf numFmtId="41" fontId="68" fillId="32" borderId="37" xfId="0" applyNumberFormat="1" applyFont="1" applyFill="1" applyBorder="1" applyAlignment="1">
      <alignment wrapText="1"/>
    </xf>
    <xf numFmtId="0" fontId="0" fillId="32" borderId="15" xfId="0" applyFill="1" applyBorder="1" applyAlignment="1">
      <alignment vertical="center"/>
    </xf>
    <xf numFmtId="0" fontId="0" fillId="32" borderId="0" xfId="0" applyFill="1" applyAlignment="1">
      <alignment vertical="center"/>
    </xf>
    <xf numFmtId="41" fontId="68" fillId="32" borderId="58" xfId="0" applyNumberFormat="1" applyFont="1" applyFill="1" applyBorder="1" applyAlignment="1">
      <alignment wrapText="1"/>
    </xf>
    <xf numFmtId="0" fontId="0" fillId="32" borderId="15" xfId="0" applyFill="1" applyBorder="1"/>
    <xf numFmtId="0" fontId="0" fillId="32" borderId="38" xfId="0" applyFill="1" applyBorder="1" applyAlignment="1">
      <alignment vertical="center"/>
    </xf>
    <xf numFmtId="0" fontId="0" fillId="32" borderId="39" xfId="0" applyFill="1" applyBorder="1" applyAlignment="1">
      <alignment vertical="center"/>
    </xf>
    <xf numFmtId="41" fontId="68" fillId="32" borderId="40" xfId="0" applyNumberFormat="1" applyFont="1" applyFill="1" applyBorder="1" applyAlignment="1">
      <alignment wrapText="1"/>
    </xf>
    <xf numFmtId="0" fontId="0" fillId="0" borderId="0" xfId="0" applyAlignment="1">
      <alignment horizontal="center" vertical="center" wrapText="1"/>
    </xf>
    <xf numFmtId="0" fontId="53" fillId="32" borderId="0" xfId="0" applyFont="1" applyFill="1" applyAlignment="1">
      <alignment horizontal="left" vertical="center" wrapText="1"/>
    </xf>
    <xf numFmtId="41" fontId="68" fillId="0" borderId="0" xfId="0" applyNumberFormat="1" applyFont="1" applyAlignment="1">
      <alignment wrapText="1"/>
    </xf>
    <xf numFmtId="0" fontId="60" fillId="32"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38" fontId="0" fillId="20" borderId="0" xfId="0" applyNumberFormat="1" applyFont="1" applyFill="1" applyAlignment="1" applyProtection="1">
      <alignment wrapText="1"/>
      <protection locked="0"/>
    </xf>
    <xf numFmtId="164" fontId="0" fillId="20" borderId="0" xfId="0" applyNumberFormat="1" applyFont="1" applyFill="1" applyAlignment="1" applyProtection="1">
      <alignment wrapText="1"/>
      <protection locked="0"/>
    </xf>
    <xf numFmtId="0" fontId="68" fillId="32" borderId="65" xfId="0" applyFont="1" applyFill="1" applyBorder="1" applyAlignment="1" applyProtection="1">
      <alignment wrapText="1"/>
      <protection locked="0"/>
    </xf>
    <xf numFmtId="0" fontId="0" fillId="75" borderId="0" xfId="0" applyFill="1" applyAlignment="1">
      <alignment vertical="center" wrapText="1"/>
    </xf>
    <xf numFmtId="0" fontId="0" fillId="29" borderId="10" xfId="0" applyFill="1" applyBorder="1" applyAlignment="1" applyProtection="1">
      <alignment horizontal="center" vertical="center"/>
      <protection locked="0"/>
    </xf>
    <xf numFmtId="3" fontId="0" fillId="29" borderId="69" xfId="0" applyNumberFormat="1" applyFill="1" applyBorder="1" applyAlignment="1" applyProtection="1">
      <alignment horizontal="center" vertical="center"/>
      <protection locked="0"/>
    </xf>
    <xf numFmtId="0" fontId="67" fillId="75" borderId="10" xfId="0" applyFont="1" applyFill="1" applyBorder="1" applyAlignment="1">
      <alignment vertical="center" wrapText="1"/>
    </xf>
    <xf numFmtId="0" fontId="0" fillId="75" borderId="0" xfId="0" applyFill="1" applyAlignment="1" applyProtection="1">
      <alignment horizontal="center" vertical="center"/>
      <protection locked="0"/>
    </xf>
    <xf numFmtId="0" fontId="0" fillId="0" borderId="10" xfId="0" applyBorder="1" applyProtection="1">
      <protection locked="0"/>
    </xf>
    <xf numFmtId="0" fontId="0" fillId="30" borderId="0" xfId="0" applyFill="1" applyAlignment="1">
      <alignment horizontal="center"/>
    </xf>
    <xf numFmtId="0" fontId="0" fillId="30" borderId="0" xfId="0" applyFill="1" applyAlignment="1">
      <alignment wrapText="1"/>
    </xf>
    <xf numFmtId="0" fontId="0" fillId="30" borderId="0" xfId="0" applyFill="1"/>
    <xf numFmtId="0" fontId="39" fillId="32" borderId="24" xfId="0" applyFont="1" applyFill="1" applyBorder="1" applyAlignment="1">
      <alignment horizontal="center" vertical="center"/>
    </xf>
    <xf numFmtId="0" fontId="0" fillId="32" borderId="22" xfId="0" applyFill="1" applyBorder="1" applyAlignment="1">
      <alignment vertical="center" wrapText="1"/>
    </xf>
    <xf numFmtId="0" fontId="56" fillId="32" borderId="0" xfId="0" applyNumberFormat="1" applyFont="1" applyFill="1" applyBorder="1" applyAlignment="1" applyProtection="1">
      <alignment horizontal="left" vertical="center" wrapText="1"/>
    </xf>
    <xf numFmtId="0" fontId="0" fillId="32" borderId="24" xfId="0" applyFill="1" applyBorder="1" applyAlignment="1">
      <alignment horizontal="left" vertical="center" wrapText="1"/>
    </xf>
    <xf numFmtId="0" fontId="39" fillId="32" borderId="41" xfId="0" applyFont="1" applyFill="1" applyBorder="1" applyAlignment="1">
      <alignment horizontal="center" vertical="center"/>
    </xf>
    <xf numFmtId="0" fontId="0" fillId="32" borderId="0" xfId="0" applyFill="1" applyAlignment="1" applyProtection="1">
      <alignment vertical="center" wrapText="1"/>
      <protection locked="0"/>
    </xf>
    <xf numFmtId="0" fontId="0" fillId="75" borderId="0" xfId="0" applyFont="1" applyFill="1" applyBorder="1" applyAlignment="1">
      <alignment vertical="center"/>
    </xf>
    <xf numFmtId="14" fontId="41" fillId="75" borderId="0" xfId="0" applyNumberFormat="1" applyFont="1" applyFill="1" applyBorder="1" applyAlignment="1">
      <alignment vertical="center" wrapText="1"/>
    </xf>
    <xf numFmtId="14" fontId="44" fillId="0" borderId="0" xfId="0" applyNumberFormat="1" applyFont="1"/>
    <xf numFmtId="14" fontId="0" fillId="0" borderId="55" xfId="0" applyNumberFormat="1" applyBorder="1" applyAlignment="1">
      <alignment horizontal="center" vertical="center" wrapText="1"/>
    </xf>
    <xf numFmtId="0" fontId="45" fillId="32" borderId="13" xfId="0" applyFont="1" applyFill="1" applyBorder="1" applyAlignment="1">
      <alignment horizontal="center" vertical="center" wrapText="1"/>
    </xf>
    <xf numFmtId="0" fontId="0" fillId="0" borderId="10" xfId="0" applyBorder="1" applyAlignment="1">
      <alignment horizontal="center" vertical="center"/>
    </xf>
    <xf numFmtId="0" fontId="0" fillId="79"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8" fillId="79" borderId="69" xfId="0" applyFont="1" applyFill="1" applyBorder="1" applyAlignment="1">
      <alignment vertical="center" wrapText="1"/>
    </xf>
    <xf numFmtId="0" fontId="67" fillId="0" borderId="69" xfId="0" applyFont="1" applyBorder="1" applyAlignment="1">
      <alignment vertical="center" wrapText="1"/>
    </xf>
    <xf numFmtId="14" fontId="44" fillId="0" borderId="95" xfId="0" applyNumberFormat="1" applyFont="1" applyBorder="1"/>
    <xf numFmtId="14" fontId="44" fillId="32" borderId="96" xfId="0" applyNumberFormat="1" applyFont="1" applyFill="1" applyBorder="1"/>
    <xf numFmtId="14" fontId="44" fillId="32" borderId="97" xfId="0" applyNumberFormat="1" applyFont="1" applyFill="1" applyBorder="1"/>
    <xf numFmtId="0" fontId="44" fillId="0" borderId="21" xfId="0" applyFont="1" applyBorder="1"/>
    <xf numFmtId="0" fontId="44" fillId="0" borderId="54" xfId="0" applyFont="1" applyBorder="1"/>
    <xf numFmtId="14" fontId="44" fillId="0" borderId="54" xfId="0" applyNumberFormat="1" applyFont="1" applyBorder="1"/>
    <xf numFmtId="0" fontId="44" fillId="0" borderId="98" xfId="0" applyFont="1" applyBorder="1"/>
    <xf numFmtId="14" fontId="44" fillId="0" borderId="17" xfId="0" applyNumberFormat="1" applyFont="1" applyBorder="1"/>
    <xf numFmtId="14" fontId="44" fillId="0" borderId="99" xfId="0" applyNumberFormat="1" applyFont="1" applyBorder="1"/>
    <xf numFmtId="37" fontId="56" fillId="80" borderId="27" xfId="439" applyNumberFormat="1" applyFont="1" applyFill="1" applyBorder="1" applyAlignment="1" applyProtection="1">
      <alignment horizontal="center" vertical="center" wrapText="1"/>
    </xf>
    <xf numFmtId="3" fontId="0" fillId="0" borderId="24" xfId="0"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protection locked="0"/>
    </xf>
    <xf numFmtId="168" fontId="0" fillId="0" borderId="0" xfId="0" applyNumberFormat="1" applyFont="1" applyProtection="1">
      <protection locked="0"/>
    </xf>
    <xf numFmtId="0" fontId="0" fillId="0" borderId="0" xfId="0" applyNumberFormat="1" applyFont="1" applyFill="1" applyAlignment="1" applyProtection="1">
      <alignment horizontal="center" vertical="center"/>
      <protection locked="0"/>
    </xf>
    <xf numFmtId="14" fontId="0" fillId="0" borderId="0" xfId="0" applyNumberFormat="1" applyFont="1" applyProtection="1">
      <protection locked="0"/>
    </xf>
    <xf numFmtId="14" fontId="0" fillId="0" borderId="0" xfId="0" applyNumberFormat="1" applyFont="1" applyFill="1" applyAlignment="1" applyProtection="1">
      <alignment horizontal="center" vertical="center"/>
      <protection locked="0"/>
    </xf>
    <xf numFmtId="38" fontId="67" fillId="20" borderId="0" xfId="0" applyNumberFormat="1" applyFont="1" applyFill="1" applyAlignment="1" applyProtection="1">
      <alignment vertical="center" wrapText="1"/>
    </xf>
    <xf numFmtId="0" fontId="39" fillId="75" borderId="0" xfId="0" applyFont="1" applyFill="1" applyAlignment="1">
      <alignment horizontal="left" vertical="center"/>
    </xf>
    <xf numFmtId="0" fontId="0" fillId="0" borderId="55" xfId="0" applyBorder="1" applyAlignment="1" applyProtection="1">
      <alignment vertical="center" wrapText="1"/>
      <protection locked="0"/>
    </xf>
    <xf numFmtId="0" fontId="39" fillId="75" borderId="65" xfId="0" applyFont="1" applyFill="1" applyBorder="1" applyAlignment="1" applyProtection="1">
      <alignment horizontal="center"/>
      <protection locked="0"/>
    </xf>
    <xf numFmtId="0" fontId="0" fillId="0" borderId="55" xfId="0" applyBorder="1" applyAlignment="1" applyProtection="1">
      <alignment horizontal="justify" vertical="center"/>
      <protection locked="0"/>
    </xf>
    <xf numFmtId="0" fontId="0" fillId="75" borderId="79" xfId="0" applyFill="1" applyBorder="1" applyProtection="1">
      <protection locked="0"/>
    </xf>
    <xf numFmtId="0" fontId="0" fillId="75" borderId="25" xfId="0" applyFont="1" applyFill="1" applyBorder="1" applyAlignment="1" applyProtection="1">
      <alignment horizontal="center" vertical="center" wrapText="1"/>
    </xf>
    <xf numFmtId="14" fontId="39" fillId="29" borderId="0" xfId="439" applyNumberFormat="1" applyFont="1" applyFill="1" applyAlignment="1" applyProtection="1">
      <alignment horizontal="center" vertical="center" wrapText="1"/>
      <protection locked="0"/>
    </xf>
    <xf numFmtId="49" fontId="39" fillId="29" borderId="0" xfId="0" applyNumberFormat="1" applyFont="1" applyFill="1" applyAlignment="1" applyProtection="1">
      <alignment horizontal="center" vertical="center"/>
      <protection locked="0"/>
    </xf>
    <xf numFmtId="49" fontId="39" fillId="30" borderId="13" xfId="0" applyNumberFormat="1" applyFont="1" applyFill="1" applyBorder="1" applyAlignment="1" applyProtection="1">
      <alignment horizontal="center"/>
      <protection locked="0"/>
    </xf>
    <xf numFmtId="14" fontId="39" fillId="30" borderId="13" xfId="0" applyNumberFormat="1" applyFont="1" applyFill="1" applyBorder="1" applyAlignment="1" applyProtection="1">
      <alignment horizontal="center"/>
      <protection locked="0"/>
    </xf>
    <xf numFmtId="180" fontId="39" fillId="30" borderId="13" xfId="0" applyNumberFormat="1" applyFont="1" applyFill="1" applyBorder="1" applyAlignment="1" applyProtection="1">
      <alignment horizontal="center"/>
      <protection locked="0"/>
    </xf>
    <xf numFmtId="49" fontId="179" fillId="30" borderId="13" xfId="611" applyNumberFormat="1" applyFont="1" applyFill="1" applyBorder="1" applyAlignment="1" applyProtection="1">
      <alignment horizontal="center"/>
      <protection locked="0"/>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1" borderId="72" xfId="0" applyFont="1" applyFill="1" applyBorder="1" applyAlignment="1">
      <alignment horizontal="center" vertical="center" wrapText="1"/>
    </xf>
    <xf numFmtId="0" fontId="0" fillId="0" borderId="36" xfId="0" applyFont="1" applyBorder="1" applyAlignment="1">
      <alignment horizontal="left" wrapText="1"/>
    </xf>
    <xf numFmtId="0" fontId="0" fillId="32" borderId="13" xfId="0" applyFont="1" applyFill="1" applyBorder="1" applyAlignment="1">
      <alignment horizontal="left" wrapText="1"/>
    </xf>
    <xf numFmtId="0" fontId="0" fillId="32"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69" fillId="78" borderId="13" xfId="0" applyFont="1" applyFill="1" applyBorder="1" applyAlignment="1">
      <alignment horizontal="center" vertical="center"/>
    </xf>
    <xf numFmtId="0" fontId="169"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5" borderId="16" xfId="0" applyFont="1" applyFill="1" applyBorder="1" applyAlignment="1">
      <alignment horizontal="left" wrapText="1"/>
    </xf>
    <xf numFmtId="0" fontId="57" fillId="75" borderId="82" xfId="0" applyFont="1" applyFill="1" applyBorder="1" applyAlignment="1">
      <alignment horizontal="left" wrapText="1"/>
    </xf>
    <xf numFmtId="0" fontId="39" fillId="75" borderId="16" xfId="0" applyFont="1" applyFill="1" applyBorder="1" applyAlignment="1">
      <alignment horizontal="center" wrapText="1"/>
    </xf>
    <xf numFmtId="0" fontId="39" fillId="75" borderId="11" xfId="0" applyFont="1" applyFill="1" applyBorder="1" applyAlignment="1">
      <alignment horizontal="center" wrapText="1"/>
    </xf>
    <xf numFmtId="0" fontId="57" fillId="0" borderId="11" xfId="0" applyFont="1" applyFill="1" applyBorder="1" applyAlignment="1">
      <alignment horizontal="left" vertical="center" wrapText="1"/>
    </xf>
    <xf numFmtId="0" fontId="57" fillId="0" borderId="55" xfId="0" applyFont="1" applyFill="1" applyBorder="1" applyAlignment="1">
      <alignment horizontal="left" vertical="center" wrapText="1"/>
    </xf>
    <xf numFmtId="0" fontId="40" fillId="0" borderId="13" xfId="682" applyFont="1" applyBorder="1" applyAlignment="1">
      <alignment horizontal="justify" vertical="justify" wrapText="1"/>
    </xf>
    <xf numFmtId="0" fontId="40" fillId="0" borderId="16" xfId="682" applyFont="1" applyBorder="1" applyAlignment="1">
      <alignment horizontal="justify" vertical="justify" wrapText="1"/>
    </xf>
    <xf numFmtId="0" fontId="40" fillId="0" borderId="11" xfId="682" applyFont="1" applyBorder="1" applyAlignment="1">
      <alignment horizontal="justify" vertical="justify" wrapText="1"/>
    </xf>
    <xf numFmtId="0" fontId="57" fillId="32" borderId="40" xfId="0" applyFont="1" applyFill="1" applyBorder="1" applyAlignment="1">
      <alignment horizontal="justify" vertical="center" wrapText="1"/>
    </xf>
    <xf numFmtId="0" fontId="57" fillId="32" borderId="66" xfId="0" applyFont="1" applyFill="1" applyBorder="1" applyAlignment="1">
      <alignment horizontal="justify" vertical="center" wrapText="1"/>
    </xf>
    <xf numFmtId="0" fontId="57" fillId="75" borderId="40" xfId="0" applyFont="1" applyFill="1" applyBorder="1" applyAlignment="1">
      <alignment horizontal="left" wrapText="1"/>
    </xf>
    <xf numFmtId="0" fontId="57" fillId="75" borderId="66" xfId="0" applyFont="1" applyFill="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57" fillId="75" borderId="13" xfId="0" applyFont="1" applyFill="1" applyBorder="1" applyAlignment="1">
      <alignment horizontal="left" wrapText="1"/>
    </xf>
    <xf numFmtId="0" fontId="57" fillId="75" borderId="11" xfId="0" applyFont="1" applyFill="1" applyBorder="1" applyAlignment="1">
      <alignment horizontal="left" wrapText="1"/>
    </xf>
    <xf numFmtId="0" fontId="57" fillId="75" borderId="16" xfId="0" applyFont="1" applyFill="1" applyBorder="1" applyAlignment="1">
      <alignment horizontal="justify" vertical="center" wrapText="1"/>
    </xf>
    <xf numFmtId="0" fontId="57" fillId="75" borderId="11" xfId="0" applyFont="1" applyFill="1" applyBorder="1" applyAlignment="1">
      <alignment horizontal="justify" vertical="center" wrapText="1"/>
    </xf>
    <xf numFmtId="0" fontId="151" fillId="0" borderId="38" xfId="0" applyFont="1" applyBorder="1" applyAlignment="1">
      <alignment horizontal="center" vertical="center"/>
    </xf>
    <xf numFmtId="0" fontId="151" fillId="0" borderId="39" xfId="0" applyFont="1" applyBorder="1" applyAlignment="1">
      <alignment horizontal="center" vertical="center"/>
    </xf>
    <xf numFmtId="0" fontId="151" fillId="0" borderId="16" xfId="0" applyFont="1" applyBorder="1" applyAlignment="1">
      <alignment horizontal="center" vertical="center"/>
    </xf>
    <xf numFmtId="0" fontId="151"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9" xfId="0" applyFont="1" applyBorder="1" applyAlignment="1">
      <alignment horizontal="center" vertical="center" wrapText="1"/>
    </xf>
    <xf numFmtId="0" fontId="39" fillId="0" borderId="66" xfId="0" applyFont="1" applyBorder="1" applyAlignment="1">
      <alignment horizontal="center" vertic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9" fillId="70" borderId="65" xfId="0" applyFont="1" applyFill="1" applyBorder="1" applyAlignment="1">
      <alignment horizontal="center" vertical="center" wrapText="1"/>
    </xf>
    <xf numFmtId="0" fontId="129" fillId="70" borderId="79" xfId="0" applyFont="1" applyFill="1" applyBorder="1" applyAlignment="1">
      <alignment horizontal="center" vertical="center" wrapText="1"/>
    </xf>
    <xf numFmtId="0" fontId="57" fillId="75" borderId="65" xfId="0" applyFont="1" applyFill="1" applyBorder="1" applyAlignment="1">
      <alignment horizontal="center" vertical="center" wrapText="1"/>
    </xf>
    <xf numFmtId="0" fontId="57" fillId="75" borderId="79" xfId="0" applyFont="1" applyFill="1" applyBorder="1" applyAlignment="1">
      <alignment horizontal="center"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32">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5050"/>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31"/>
      <tableStyleElement type="headerRow" dxfId="30"/>
      <tableStyleElement type="firstRowStripe" dxfId="29"/>
    </tableStyle>
  </tableStyles>
  <colors>
    <mruColors>
      <color rgb="FFFFFFCC"/>
      <color rgb="FFFFC7CE"/>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layout>
        <c:manualLayout>
          <c:xMode val="edge"/>
          <c:yMode val="edge"/>
          <c:x val="0.21725937833574013"/>
          <c:y val="5.146913011727389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Print'!$L$7</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Print'!$L$8</c:f>
              <c:numCache>
                <c:formatCode>0.00%</c:formatCode>
                <c:ptCount val="1"/>
                <c:pt idx="0">
                  <c:v>#N/A</c:v>
                </c:pt>
              </c:numCache>
            </c:numRef>
          </c:val>
          <c:extLst>
            <c:ext xmlns:c16="http://schemas.microsoft.com/office/drawing/2014/chart" uri="{C3380CC4-5D6E-409C-BE32-E72D297353CC}">
              <c16:uniqueId val="{00000000-3BDA-4B2F-886A-101880DC2707}"/>
            </c:ext>
          </c:extLst>
        </c:ser>
        <c:ser>
          <c:idx val="1"/>
          <c:order val="1"/>
          <c:tx>
            <c:strRef>
              <c:f>'Performance  Indicators Print'!$M$7</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Print'!$M$8</c:f>
              <c:numCache>
                <c:formatCode>0.00%</c:formatCode>
                <c:ptCount val="1"/>
                <c:pt idx="0">
                  <c:v>#N/A</c:v>
                </c:pt>
              </c:numCache>
            </c:numRef>
          </c:val>
          <c:extLst>
            <c:ext xmlns:c16="http://schemas.microsoft.com/office/drawing/2014/chart" uri="{C3380CC4-5D6E-409C-BE32-E72D297353CC}">
              <c16:uniqueId val="{00000001-3BDA-4B2F-886A-101880DC2707}"/>
            </c:ext>
          </c:extLst>
        </c:ser>
        <c:ser>
          <c:idx val="2"/>
          <c:order val="2"/>
          <c:tx>
            <c:strRef>
              <c:f>'Performance  Indicators Print'!$N$7</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Print'!$N$8</c:f>
              <c:numCache>
                <c:formatCode>0.00%</c:formatCode>
                <c:ptCount val="1"/>
                <c:pt idx="0">
                  <c:v>0</c:v>
                </c:pt>
              </c:numCache>
            </c:numRef>
          </c:val>
          <c:extLst>
            <c:ext xmlns:c16="http://schemas.microsoft.com/office/drawing/2014/chart" uri="{C3380CC4-5D6E-409C-BE32-E72D297353CC}">
              <c16:uniqueId val="{00000002-3BDA-4B2F-886A-101880DC2707}"/>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4848225</xdr:colOff>
      <xdr:row>17</xdr:row>
      <xdr:rowOff>24765</xdr:rowOff>
    </xdr:from>
    <xdr:to>
      <xdr:col>1</xdr:col>
      <xdr:colOff>6909434</xdr:colOff>
      <xdr:row>17</xdr:row>
      <xdr:rowOff>468630</xdr:rowOff>
    </xdr:to>
    <xdr:sp macro="" textlink="">
      <xdr:nvSpPr>
        <xdr:cNvPr id="3" name="Hexagon 2">
          <a:extLst>
            <a:ext uri="{FF2B5EF4-FFF2-40B4-BE49-F238E27FC236}">
              <a16:creationId xmlns:a16="http://schemas.microsoft.com/office/drawing/2014/main" id="{53EC09CB-C6A1-43DF-808E-DF7FFAB52B0B}"/>
            </a:ext>
          </a:extLst>
        </xdr:cNvPr>
        <xdr:cNvSpPr/>
      </xdr:nvSpPr>
      <xdr:spPr>
        <a:xfrm>
          <a:off x="5372100" y="6673215"/>
          <a:ext cx="2061209"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a:t>
          </a:r>
          <a:r>
            <a:rPr lang="en-US" sz="800" baseline="0">
              <a:solidFill>
                <a:sysClr val="windowText" lastClr="000000"/>
              </a:solidFill>
            </a:rPr>
            <a:t> from this number</a:t>
          </a:r>
          <a:endParaRPr lang="en-US" sz="800">
            <a:solidFill>
              <a:sysClr val="windowText" lastClr="000000"/>
            </a:solidFill>
          </a:endParaRPr>
        </a:p>
      </xdr:txBody>
    </xdr:sp>
    <xdr:clientData/>
  </xdr:twoCellAnchor>
  <xdr:twoCellAnchor>
    <xdr:from>
      <xdr:col>1</xdr:col>
      <xdr:colOff>4850130</xdr:colOff>
      <xdr:row>16</xdr:row>
      <xdr:rowOff>30480</xdr:rowOff>
    </xdr:from>
    <xdr:to>
      <xdr:col>1</xdr:col>
      <xdr:colOff>6913244</xdr:colOff>
      <xdr:row>16</xdr:row>
      <xdr:rowOff>481965</xdr:rowOff>
    </xdr:to>
    <xdr:sp macro="" textlink="">
      <xdr:nvSpPr>
        <xdr:cNvPr id="4" name="Hexagon 3">
          <a:extLst>
            <a:ext uri="{FF2B5EF4-FFF2-40B4-BE49-F238E27FC236}">
              <a16:creationId xmlns:a16="http://schemas.microsoft.com/office/drawing/2014/main" id="{C359BF47-2A97-4F4A-A2E7-812633310ED2}"/>
            </a:ext>
          </a:extLst>
        </xdr:cNvPr>
        <xdr:cNvSpPr/>
      </xdr:nvSpPr>
      <xdr:spPr>
        <a:xfrm>
          <a:off x="5374005" y="6164580"/>
          <a:ext cx="2063114" cy="45148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a:t>
          </a:r>
          <a:r>
            <a:rPr lang="en-US" sz="800" baseline="0">
              <a:solidFill>
                <a:sysClr val="windowText" lastClr="000000"/>
              </a:solidFill>
            </a:rPr>
            <a:t> from this number</a:t>
          </a:r>
          <a:endParaRPr lang="en-US" sz="8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355689</xdr:colOff>
      <xdr:row>7</xdr:row>
      <xdr:rowOff>173083</xdr:rowOff>
    </xdr:from>
    <xdr:to>
      <xdr:col>4</xdr:col>
      <xdr:colOff>797719</xdr:colOff>
      <xdr:row>7</xdr:row>
      <xdr:rowOff>2286000</xdr:rowOff>
    </xdr:to>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DCC2-9049-46DE-B197-E19F87DACC11}">
  <dimension ref="B1:N59"/>
  <sheetViews>
    <sheetView tabSelected="1" workbookViewId="0">
      <selection activeCell="B2" sqref="B2"/>
    </sheetView>
  </sheetViews>
  <sheetFormatPr defaultColWidth="9.109375" defaultRowHeight="14.4" x14ac:dyDescent="0.3"/>
  <cols>
    <col min="1" max="1" width="1.6640625" style="129" customWidth="1"/>
    <col min="2" max="2" width="187.109375" style="129" customWidth="1"/>
    <col min="3" max="4" width="9.109375" style="129" hidden="1" customWidth="1"/>
    <col min="5" max="5" width="2.33203125" style="129" customWidth="1"/>
    <col min="6" max="6" width="16.44140625" style="129" customWidth="1"/>
    <col min="7" max="16384" width="9.109375" style="129"/>
  </cols>
  <sheetData>
    <row r="1" spans="2:14" ht="9.6" customHeight="1" thickBot="1" x14ac:dyDescent="0.35">
      <c r="B1" s="112"/>
    </row>
    <row r="2" spans="2:14" ht="91.95" customHeight="1" thickBot="1" x14ac:dyDescent="0.35">
      <c r="B2" s="392" t="s">
        <v>837</v>
      </c>
    </row>
    <row r="3" spans="2:14" ht="61.2" customHeight="1" x14ac:dyDescent="0.3">
      <c r="B3" s="123" t="s">
        <v>719</v>
      </c>
    </row>
    <row r="4" spans="2:14" ht="83.4" customHeight="1" x14ac:dyDescent="0.4">
      <c r="B4" s="123" t="s">
        <v>382</v>
      </c>
      <c r="F4" s="393"/>
      <c r="G4" s="393"/>
      <c r="H4" s="393"/>
      <c r="I4" s="393"/>
      <c r="J4" s="393"/>
      <c r="K4" s="393"/>
      <c r="L4" s="393"/>
      <c r="M4" s="393"/>
      <c r="N4" s="393"/>
    </row>
    <row r="5" spans="2:14" ht="58.2" customHeight="1" x14ac:dyDescent="0.3">
      <c r="B5" s="123" t="s">
        <v>383</v>
      </c>
    </row>
    <row r="6" spans="2:14" ht="117.6" customHeight="1" x14ac:dyDescent="0.3">
      <c r="B6" s="113" t="s">
        <v>384</v>
      </c>
    </row>
    <row r="7" spans="2:14" ht="25.95" customHeight="1" x14ac:dyDescent="0.3">
      <c r="B7" s="125" t="s">
        <v>287</v>
      </c>
    </row>
    <row r="8" spans="2:14" ht="49.2" customHeight="1" x14ac:dyDescent="0.3">
      <c r="B8" s="394" t="s">
        <v>385</v>
      </c>
    </row>
    <row r="9" spans="2:14" ht="42.6" customHeight="1" x14ac:dyDescent="0.3">
      <c r="B9" s="394" t="s">
        <v>288</v>
      </c>
    </row>
    <row r="10" spans="2:14" s="396" customFormat="1" ht="34.200000000000003" customHeight="1" x14ac:dyDescent="0.3">
      <c r="B10" s="395" t="s">
        <v>710</v>
      </c>
    </row>
    <row r="11" spans="2:14" s="396" customFormat="1" ht="55.95" customHeight="1" x14ac:dyDescent="0.3">
      <c r="B11" s="397" t="s">
        <v>386</v>
      </c>
    </row>
    <row r="12" spans="2:14" ht="36" customHeight="1" x14ac:dyDescent="0.3">
      <c r="B12" s="397" t="s">
        <v>387</v>
      </c>
    </row>
    <row r="13" spans="2:14" ht="39" customHeight="1" x14ac:dyDescent="0.3">
      <c r="B13" s="398" t="s">
        <v>388</v>
      </c>
    </row>
    <row r="14" spans="2:14" ht="25.95" customHeight="1" x14ac:dyDescent="0.3">
      <c r="B14" s="125" t="s">
        <v>289</v>
      </c>
    </row>
    <row r="15" spans="2:14" x14ac:dyDescent="0.3">
      <c r="B15" s="112"/>
    </row>
    <row r="16" spans="2:14" x14ac:dyDescent="0.3">
      <c r="B16" s="399" t="s">
        <v>8</v>
      </c>
    </row>
    <row r="17" spans="2:2" ht="15.6" customHeight="1" x14ac:dyDescent="0.3">
      <c r="B17" s="400" t="s">
        <v>389</v>
      </c>
    </row>
    <row r="18" spans="2:2" x14ac:dyDescent="0.3">
      <c r="B18" s="401"/>
    </row>
    <row r="19" spans="2:2" x14ac:dyDescent="0.3">
      <c r="B19" s="399" t="s">
        <v>9</v>
      </c>
    </row>
    <row r="20" spans="2:2" ht="15.6" customHeight="1" x14ac:dyDescent="0.3">
      <c r="B20" s="402" t="s">
        <v>222</v>
      </c>
    </row>
    <row r="21" spans="2:2" ht="13.2" customHeight="1" x14ac:dyDescent="0.3">
      <c r="B21" s="112"/>
    </row>
    <row r="22" spans="2:2" ht="25.95" customHeight="1" x14ac:dyDescent="0.3">
      <c r="B22" s="125" t="s">
        <v>290</v>
      </c>
    </row>
    <row r="23" spans="2:2" s="396" customFormat="1" ht="72.599999999999994" customHeight="1" x14ac:dyDescent="0.3">
      <c r="B23" s="394" t="s">
        <v>720</v>
      </c>
    </row>
    <row r="24" spans="2:2" s="396" customFormat="1" ht="84.6" customHeight="1" x14ac:dyDescent="0.3">
      <c r="B24" s="394" t="s">
        <v>390</v>
      </c>
    </row>
    <row r="25" spans="2:2" s="396" customFormat="1" ht="78.599999999999994" customHeight="1" x14ac:dyDescent="0.3">
      <c r="B25" s="394" t="s">
        <v>291</v>
      </c>
    </row>
    <row r="26" spans="2:2" ht="15" x14ac:dyDescent="0.3">
      <c r="B26" s="115" t="s">
        <v>391</v>
      </c>
    </row>
    <row r="27" spans="2:2" ht="8.4" customHeight="1" x14ac:dyDescent="0.3">
      <c r="B27" s="114"/>
    </row>
    <row r="28" spans="2:2" ht="25.95" customHeight="1" x14ac:dyDescent="0.3">
      <c r="B28" s="125" t="s">
        <v>392</v>
      </c>
    </row>
    <row r="29" spans="2:2" ht="28.95" customHeight="1" x14ac:dyDescent="0.3">
      <c r="B29" s="126" t="s">
        <v>711</v>
      </c>
    </row>
    <row r="30" spans="2:2" ht="31.95" customHeight="1" x14ac:dyDescent="0.3">
      <c r="B30" s="126" t="s">
        <v>712</v>
      </c>
    </row>
    <row r="31" spans="2:2" ht="30.6" customHeight="1" x14ac:dyDescent="0.3">
      <c r="B31" s="403" t="s">
        <v>713</v>
      </c>
    </row>
    <row r="32" spans="2:2" ht="25.2" customHeight="1" x14ac:dyDescent="0.3">
      <c r="B32" s="403" t="s">
        <v>714</v>
      </c>
    </row>
    <row r="33" spans="2:7" ht="27.6" customHeight="1" x14ac:dyDescent="0.3">
      <c r="B33" s="403" t="s">
        <v>715</v>
      </c>
    </row>
    <row r="34" spans="2:7" ht="31.95" customHeight="1" x14ac:dyDescent="0.3">
      <c r="B34" s="404" t="s">
        <v>393</v>
      </c>
    </row>
    <row r="35" spans="2:7" ht="60" customHeight="1" x14ac:dyDescent="0.3">
      <c r="B35" s="126" t="s">
        <v>721</v>
      </c>
    </row>
    <row r="36" spans="2:7" ht="60" customHeight="1" x14ac:dyDescent="0.3">
      <c r="B36" s="529" t="s">
        <v>716</v>
      </c>
    </row>
    <row r="37" spans="2:7" ht="25.95" customHeight="1" x14ac:dyDescent="0.3">
      <c r="B37" s="126" t="s">
        <v>394</v>
      </c>
    </row>
    <row r="38" spans="2:7" ht="12" customHeight="1" x14ac:dyDescent="0.3">
      <c r="B38" s="126"/>
    </row>
    <row r="39" spans="2:7" ht="25.95" customHeight="1" x14ac:dyDescent="0.3">
      <c r="B39" s="125" t="s">
        <v>717</v>
      </c>
    </row>
    <row r="40" spans="2:7" x14ac:dyDescent="0.3">
      <c r="B40" s="124"/>
      <c r="G40" s="405"/>
    </row>
    <row r="41" spans="2:7" ht="43.2" customHeight="1" x14ac:dyDescent="0.3">
      <c r="B41" s="406" t="s">
        <v>395</v>
      </c>
    </row>
    <row r="42" spans="2:7" ht="19.95" customHeight="1" x14ac:dyDescent="0.3">
      <c r="B42" s="407" t="s">
        <v>388</v>
      </c>
    </row>
    <row r="43" spans="2:7" ht="11.4" customHeight="1" x14ac:dyDescent="0.3">
      <c r="B43" s="127"/>
    </row>
    <row r="44" spans="2:7" ht="15" x14ac:dyDescent="0.3">
      <c r="B44" s="128"/>
    </row>
    <row r="45" spans="2:7" ht="7.2" customHeight="1" x14ac:dyDescent="0.3">
      <c r="B45" s="126"/>
    </row>
    <row r="46" spans="2:7" ht="25.95" customHeight="1" x14ac:dyDescent="0.3">
      <c r="B46" s="125" t="s">
        <v>718</v>
      </c>
    </row>
    <row r="47" spans="2:7" ht="35.4" customHeight="1" x14ac:dyDescent="0.3">
      <c r="B47" s="406" t="s">
        <v>722</v>
      </c>
    </row>
    <row r="48" spans="2:7" ht="15" x14ac:dyDescent="0.3">
      <c r="B48" s="128"/>
    </row>
    <row r="59" ht="44.25" customHeight="1" x14ac:dyDescent="0.3"/>
  </sheetData>
  <sheetProtection algorithmName="SHA-512" hashValue="9YpC/qj/sTue7SRxXS+oAGypcl45YCNdPDVMIlwVPzvJrAPtpeYRQNHVued2OfAE78zlgRIzQlU44bxzSb5v9g==" saltValue="ZFEYUh4/nHsrohL75Mqgeg==" spinCount="100000" sheet="1" objects="1" scenarios="1"/>
  <hyperlinks>
    <hyperlink ref="B17" r:id="rId1" xr:uid="{59435960-B99A-465A-9F0A-8F923A5B6F15}"/>
    <hyperlink ref="B20" r:id="rId2" xr:uid="{78A35C00-9C12-41E5-B397-4D70C30E3E18}"/>
    <hyperlink ref="B42" r:id="rId3" xr:uid="{40720274-9679-4F23-AF3C-A0AD573850D9}"/>
    <hyperlink ref="B13" r:id="rId4" xr:uid="{8B5DF09C-9E07-46BA-8ACC-3C734CFC4B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8920-AF4A-4FAF-B317-7DC48BB84108}">
  <dimension ref="A1:J72"/>
  <sheetViews>
    <sheetView workbookViewId="0">
      <selection activeCell="C1" sqref="C1"/>
    </sheetView>
  </sheetViews>
  <sheetFormatPr defaultRowHeight="14.4" x14ac:dyDescent="0.3"/>
  <cols>
    <col min="2" max="2" width="13.44140625" customWidth="1"/>
    <col min="4" max="10" width="20.77734375" customWidth="1"/>
  </cols>
  <sheetData>
    <row r="1" spans="1:10" x14ac:dyDescent="0.3">
      <c r="D1" t="s">
        <v>552</v>
      </c>
      <c r="E1" t="s">
        <v>553</v>
      </c>
      <c r="F1" t="s">
        <v>554</v>
      </c>
      <c r="G1" t="s">
        <v>555</v>
      </c>
      <c r="H1" t="s">
        <v>556</v>
      </c>
      <c r="I1" t="s">
        <v>557</v>
      </c>
      <c r="J1" t="s">
        <v>558</v>
      </c>
    </row>
    <row r="2" spans="1:10" x14ac:dyDescent="0.3">
      <c r="D2" s="623">
        <v>561205</v>
      </c>
      <c r="E2" s="623">
        <v>561200</v>
      </c>
      <c r="F2" s="623">
        <v>561208</v>
      </c>
      <c r="G2" s="623">
        <v>561206</v>
      </c>
      <c r="H2" s="623">
        <v>561202</v>
      </c>
      <c r="I2" s="623">
        <v>561204</v>
      </c>
      <c r="J2" s="623">
        <v>561207</v>
      </c>
    </row>
    <row r="3" spans="1:10" x14ac:dyDescent="0.3">
      <c r="A3">
        <v>333</v>
      </c>
      <c r="D3" cm="1">
        <f t="array" ref="D3">_xlfn.XLOOKUP(D$1,'PY1 Data(H)'!$A$1:$CZ$1,_xlfn.XLOOKUP($A3,'PY1 Data(H)'!$A$1:$A$122,'PY1 Data(H)'!$A$1:$CZ$122))</f>
        <v>11861164</v>
      </c>
      <c r="E3" s="129" cm="1">
        <f t="array" ref="E3">_xlfn.XLOOKUP(E$1,'PY1 Data(H)'!$A$1:$CZ$1,_xlfn.XLOOKUP($A3,'PY1 Data(H)'!$A$1:$A$122,'PY1 Data(H)'!$A$1:$CZ$122))</f>
        <v>8535072</v>
      </c>
      <c r="F3" s="129" cm="1">
        <f t="array" ref="F3">_xlfn.XLOOKUP(F$1,'PY1 Data(H)'!$A$1:$CZ$1,_xlfn.XLOOKUP($A3,'PY1 Data(H)'!$A$1:$A$122,'PY1 Data(H)'!$A$1:$CZ$122))</f>
        <v>7961363</v>
      </c>
      <c r="G3" s="129" cm="1">
        <f t="array" ref="G3">_xlfn.XLOOKUP(G$1,'PY1 Data(H)'!$A$1:$CZ$1,_xlfn.XLOOKUP($A3,'PY1 Data(H)'!$A$1:$A$122,'PY1 Data(H)'!$A$1:$CZ$122))</f>
        <v>1876195</v>
      </c>
      <c r="H3" s="129" cm="1">
        <f t="array" ref="H3">_xlfn.XLOOKUP(H$1,'PY1 Data(H)'!$A$1:$CZ$1,_xlfn.XLOOKUP($A3,'PY1 Data(H)'!$A$1:$A$122,'PY1 Data(H)'!$A$1:$CZ$122))</f>
        <v>2656586</v>
      </c>
      <c r="I3" s="129" cm="1">
        <f t="array" ref="I3">_xlfn.XLOOKUP(I$1,'PY1 Data(H)'!$A$1:$CZ$1,_xlfn.XLOOKUP($A3,'PY1 Data(H)'!$A$1:$A$122,'PY1 Data(H)'!$A$1:$CZ$122))</f>
        <v>2340276</v>
      </c>
      <c r="J3" s="129" cm="1">
        <f t="array" ref="J3">_xlfn.XLOOKUP(J$1,'PY1 Data(H)'!$A$1:$CZ$1,_xlfn.XLOOKUP($A3,'PY1 Data(H)'!$A$1:$A$122,'PY1 Data(H)'!$A$1:$CZ$122))</f>
        <v>6343228</v>
      </c>
    </row>
    <row r="4" spans="1:10" x14ac:dyDescent="0.3">
      <c r="A4">
        <v>500</v>
      </c>
      <c r="D4" s="129" cm="1">
        <f t="array" ref="D4">_xlfn.XLOOKUP(D$1,'PY1 Data(H)'!$A$1:$CZ$1,_xlfn.XLOOKUP($A4,'PY1 Data(H)'!$A$1:$A$122,'PY1 Data(H)'!$A$1:$CZ$122))</f>
        <v>0</v>
      </c>
      <c r="E4" s="129" cm="1">
        <f t="array" ref="E4">_xlfn.XLOOKUP(E$1,'PY1 Data(H)'!$A$1:$CZ$1,_xlfn.XLOOKUP($A4,'PY1 Data(H)'!$A$1:$A$122,'PY1 Data(H)'!$A$1:$CZ$122))</f>
        <v>0</v>
      </c>
      <c r="F4" s="129" cm="1">
        <f t="array" ref="F4">_xlfn.XLOOKUP(F$1,'PY1 Data(H)'!$A$1:$CZ$1,_xlfn.XLOOKUP($A4,'PY1 Data(H)'!$A$1:$A$122,'PY1 Data(H)'!$A$1:$CZ$122))</f>
        <v>433264</v>
      </c>
      <c r="G4" s="129" cm="1">
        <f t="array" ref="G4">_xlfn.XLOOKUP(G$1,'PY1 Data(H)'!$A$1:$CZ$1,_xlfn.XLOOKUP($A4,'PY1 Data(H)'!$A$1:$A$122,'PY1 Data(H)'!$A$1:$CZ$122))</f>
        <v>0</v>
      </c>
      <c r="H4" s="129" cm="1">
        <f t="array" ref="H4">_xlfn.XLOOKUP(H$1,'PY1 Data(H)'!$A$1:$CZ$1,_xlfn.XLOOKUP($A4,'PY1 Data(H)'!$A$1:$A$122,'PY1 Data(H)'!$A$1:$CZ$122))</f>
        <v>668079</v>
      </c>
      <c r="I4" s="129" cm="1">
        <f t="array" ref="I4">_xlfn.XLOOKUP(I$1,'PY1 Data(H)'!$A$1:$CZ$1,_xlfn.XLOOKUP($A4,'PY1 Data(H)'!$A$1:$A$122,'PY1 Data(H)'!$A$1:$CZ$122))</f>
        <v>0</v>
      </c>
      <c r="J4" s="129" cm="1">
        <f t="array" ref="J4">_xlfn.XLOOKUP(J$1,'PY1 Data(H)'!$A$1:$CZ$1,_xlfn.XLOOKUP($A4,'PY1 Data(H)'!$A$1:$A$122,'PY1 Data(H)'!$A$1:$CZ$122))</f>
        <v>0</v>
      </c>
    </row>
    <row r="5" spans="1:10" x14ac:dyDescent="0.3">
      <c r="A5">
        <v>385</v>
      </c>
      <c r="D5" s="129" cm="1">
        <f t="array" ref="D5">_xlfn.XLOOKUP(D$1,'PY1 Data(H)'!$A$1:$CZ$1,_xlfn.XLOOKUP($A5,'PY1 Data(H)'!$A$1:$A$122,'PY1 Data(H)'!$A$1:$CZ$122))</f>
        <v>23728285</v>
      </c>
      <c r="E5" s="129" cm="1">
        <f t="array" ref="E5">_xlfn.XLOOKUP(E$1,'PY1 Data(H)'!$A$1:$CZ$1,_xlfn.XLOOKUP($A5,'PY1 Data(H)'!$A$1:$A$122,'PY1 Data(H)'!$A$1:$CZ$122))</f>
        <v>13003505</v>
      </c>
      <c r="F5" s="129" cm="1">
        <f t="array" ref="F5">_xlfn.XLOOKUP(F$1,'PY1 Data(H)'!$A$1:$CZ$1,_xlfn.XLOOKUP($A5,'PY1 Data(H)'!$A$1:$A$122,'PY1 Data(H)'!$A$1:$CZ$122))</f>
        <v>20611416</v>
      </c>
      <c r="G5" s="129" cm="1">
        <f t="array" ref="G5">_xlfn.XLOOKUP(G$1,'PY1 Data(H)'!$A$1:$CZ$1,_xlfn.XLOOKUP($A5,'PY1 Data(H)'!$A$1:$A$122,'PY1 Data(H)'!$A$1:$CZ$122))</f>
        <v>6254254</v>
      </c>
      <c r="H5" s="129" cm="1">
        <f t="array" ref="H5">_xlfn.XLOOKUP(H$1,'PY1 Data(H)'!$A$1:$CZ$1,_xlfn.XLOOKUP($A5,'PY1 Data(H)'!$A$1:$A$122,'PY1 Data(H)'!$A$1:$CZ$122))</f>
        <v>7323699</v>
      </c>
      <c r="I5" s="129" cm="1">
        <f t="array" ref="I5">_xlfn.XLOOKUP(I$1,'PY1 Data(H)'!$A$1:$CZ$1,_xlfn.XLOOKUP($A5,'PY1 Data(H)'!$A$1:$A$122,'PY1 Data(H)'!$A$1:$CZ$122))</f>
        <v>5396486</v>
      </c>
      <c r="J5" s="129" cm="1">
        <f t="array" ref="J5">_xlfn.XLOOKUP(J$1,'PY1 Data(H)'!$A$1:$CZ$1,_xlfn.XLOOKUP($A5,'PY1 Data(H)'!$A$1:$A$122,'PY1 Data(H)'!$A$1:$CZ$122))</f>
        <v>7261835</v>
      </c>
    </row>
    <row r="6" spans="1:10" x14ac:dyDescent="0.3">
      <c r="A6">
        <v>575</v>
      </c>
      <c r="D6" s="129" cm="1">
        <f t="array" ref="D6">_xlfn.XLOOKUP(D$1,'PY1 Data(H)'!$A$1:$CZ$1,_xlfn.XLOOKUP($A6,'PY1 Data(H)'!$A$1:$A$122,'PY1 Data(H)'!$A$1:$CZ$122))</f>
        <v>0</v>
      </c>
      <c r="E6" s="129" cm="1">
        <f t="array" ref="E6">_xlfn.XLOOKUP(E$1,'PY1 Data(H)'!$A$1:$CZ$1,_xlfn.XLOOKUP($A6,'PY1 Data(H)'!$A$1:$A$122,'PY1 Data(H)'!$A$1:$CZ$122))</f>
        <v>0</v>
      </c>
      <c r="F6" s="129" cm="1">
        <f t="array" ref="F6">_xlfn.XLOOKUP(F$1,'PY1 Data(H)'!$A$1:$CZ$1,_xlfn.XLOOKUP($A6,'PY1 Data(H)'!$A$1:$A$122,'PY1 Data(H)'!$A$1:$CZ$122))</f>
        <v>0</v>
      </c>
      <c r="G6" s="129" cm="1">
        <f t="array" ref="G6">_xlfn.XLOOKUP(G$1,'PY1 Data(H)'!$A$1:$CZ$1,_xlfn.XLOOKUP($A6,'PY1 Data(H)'!$A$1:$A$122,'PY1 Data(H)'!$A$1:$CZ$122))</f>
        <v>0</v>
      </c>
      <c r="H6" s="129" cm="1">
        <f t="array" ref="H6">_xlfn.XLOOKUP(H$1,'PY1 Data(H)'!$A$1:$CZ$1,_xlfn.XLOOKUP($A6,'PY1 Data(H)'!$A$1:$A$122,'PY1 Data(H)'!$A$1:$CZ$122))</f>
        <v>0</v>
      </c>
      <c r="I6" s="129" cm="1">
        <f t="array" ref="I6">_xlfn.XLOOKUP(I$1,'PY1 Data(H)'!$A$1:$CZ$1,_xlfn.XLOOKUP($A6,'PY1 Data(H)'!$A$1:$A$122,'PY1 Data(H)'!$A$1:$CZ$122))</f>
        <v>0</v>
      </c>
      <c r="J6" s="129" cm="1">
        <f t="array" ref="J6">_xlfn.XLOOKUP(J$1,'PY1 Data(H)'!$A$1:$CZ$1,_xlfn.XLOOKUP($A6,'PY1 Data(H)'!$A$1:$A$122,'PY1 Data(H)'!$A$1:$CZ$122))</f>
        <v>0</v>
      </c>
    </row>
    <row r="7" spans="1:10" x14ac:dyDescent="0.3">
      <c r="A7">
        <v>576</v>
      </c>
      <c r="D7" s="129" cm="1">
        <f t="array" ref="D7">_xlfn.XLOOKUP(D$1,'PY1 Data(H)'!$A$1:$CZ$1,_xlfn.XLOOKUP($A7,'PY1 Data(H)'!$A$1:$A$122,'PY1 Data(H)'!$A$1:$CZ$122))</f>
        <v>0</v>
      </c>
      <c r="E7" s="129" cm="1">
        <f t="array" ref="E7">_xlfn.XLOOKUP(E$1,'PY1 Data(H)'!$A$1:$CZ$1,_xlfn.XLOOKUP($A7,'PY1 Data(H)'!$A$1:$A$122,'PY1 Data(H)'!$A$1:$CZ$122))</f>
        <v>0</v>
      </c>
      <c r="F7" s="129" cm="1">
        <f t="array" ref="F7">_xlfn.XLOOKUP(F$1,'PY1 Data(H)'!$A$1:$CZ$1,_xlfn.XLOOKUP($A7,'PY1 Data(H)'!$A$1:$A$122,'PY1 Data(H)'!$A$1:$CZ$122))</f>
        <v>0</v>
      </c>
      <c r="G7" s="129" cm="1">
        <f t="array" ref="G7">_xlfn.XLOOKUP(G$1,'PY1 Data(H)'!$A$1:$CZ$1,_xlfn.XLOOKUP($A7,'PY1 Data(H)'!$A$1:$A$122,'PY1 Data(H)'!$A$1:$CZ$122))</f>
        <v>0</v>
      </c>
      <c r="H7" s="129" cm="1">
        <f t="array" ref="H7">_xlfn.XLOOKUP(H$1,'PY1 Data(H)'!$A$1:$CZ$1,_xlfn.XLOOKUP($A7,'PY1 Data(H)'!$A$1:$A$122,'PY1 Data(H)'!$A$1:$CZ$122))</f>
        <v>0</v>
      </c>
      <c r="I7" s="129" cm="1">
        <f t="array" ref="I7">_xlfn.XLOOKUP(I$1,'PY1 Data(H)'!$A$1:$CZ$1,_xlfn.XLOOKUP($A7,'PY1 Data(H)'!$A$1:$A$122,'PY1 Data(H)'!$A$1:$CZ$122))</f>
        <v>0</v>
      </c>
      <c r="J7" s="129" cm="1">
        <f t="array" ref="J7">_xlfn.XLOOKUP(J$1,'PY1 Data(H)'!$A$1:$CZ$1,_xlfn.XLOOKUP($A7,'PY1 Data(H)'!$A$1:$A$122,'PY1 Data(H)'!$A$1:$CZ$122))</f>
        <v>0</v>
      </c>
    </row>
    <row r="8" spans="1:10" x14ac:dyDescent="0.3">
      <c r="A8">
        <v>626</v>
      </c>
      <c r="D8" s="129" cm="1">
        <f t="array" ref="D8">_xlfn.XLOOKUP(D$1,'PY1 Data(H)'!$A$1:$CZ$1,_xlfn.XLOOKUP($A8,'PY1 Data(H)'!$A$1:$A$122,'PY1 Data(H)'!$A$1:$CZ$122))</f>
        <v>1509213</v>
      </c>
      <c r="E8" s="129" cm="1">
        <f t="array" ref="E8">_xlfn.XLOOKUP(E$1,'PY1 Data(H)'!$A$1:$CZ$1,_xlfn.XLOOKUP($A8,'PY1 Data(H)'!$A$1:$A$122,'PY1 Data(H)'!$A$1:$CZ$122))</f>
        <v>284118</v>
      </c>
      <c r="F8" s="129" cm="1">
        <f t="array" ref="F8">_xlfn.XLOOKUP(F$1,'PY1 Data(H)'!$A$1:$CZ$1,_xlfn.XLOOKUP($A8,'PY1 Data(H)'!$A$1:$A$122,'PY1 Data(H)'!$A$1:$CZ$122))</f>
        <v>8159884</v>
      </c>
      <c r="G8" s="129" cm="1">
        <f t="array" ref="G8">_xlfn.XLOOKUP(G$1,'PY1 Data(H)'!$A$1:$CZ$1,_xlfn.XLOOKUP($A8,'PY1 Data(H)'!$A$1:$A$122,'PY1 Data(H)'!$A$1:$CZ$122))</f>
        <v>218846</v>
      </c>
      <c r="H8" s="129" cm="1">
        <f t="array" ref="H8">_xlfn.XLOOKUP(H$1,'PY1 Data(H)'!$A$1:$CZ$1,_xlfn.XLOOKUP($A8,'PY1 Data(H)'!$A$1:$A$122,'PY1 Data(H)'!$A$1:$CZ$122))</f>
        <v>858416</v>
      </c>
      <c r="I8" s="129" cm="1">
        <f t="array" ref="I8">_xlfn.XLOOKUP(I$1,'PY1 Data(H)'!$A$1:$CZ$1,_xlfn.XLOOKUP($A8,'PY1 Data(H)'!$A$1:$A$122,'PY1 Data(H)'!$A$1:$CZ$122))</f>
        <v>845323</v>
      </c>
      <c r="J8" s="129" cm="1">
        <f t="array" ref="J8">_xlfn.XLOOKUP(J$1,'PY1 Data(H)'!$A$1:$CZ$1,_xlfn.XLOOKUP($A8,'PY1 Data(H)'!$A$1:$A$122,'PY1 Data(H)'!$A$1:$CZ$122))</f>
        <v>936882</v>
      </c>
    </row>
    <row r="9" spans="1:10" x14ac:dyDescent="0.3">
      <c r="A9">
        <v>627</v>
      </c>
      <c r="D9" s="129" cm="1">
        <f t="array" ref="D9">_xlfn.XLOOKUP(D$1,'PY1 Data(H)'!$A$1:$CZ$1,_xlfn.XLOOKUP($A9,'PY1 Data(H)'!$A$1:$A$122,'PY1 Data(H)'!$A$1:$CZ$122))</f>
        <v>0</v>
      </c>
      <c r="E9" s="129" cm="1">
        <f t="array" ref="E9">_xlfn.XLOOKUP(E$1,'PY1 Data(H)'!$A$1:$CZ$1,_xlfn.XLOOKUP($A9,'PY1 Data(H)'!$A$1:$A$122,'PY1 Data(H)'!$A$1:$CZ$122))</f>
        <v>0</v>
      </c>
      <c r="F9" s="129" cm="1">
        <f t="array" ref="F9">_xlfn.XLOOKUP(F$1,'PY1 Data(H)'!$A$1:$CZ$1,_xlfn.XLOOKUP($A9,'PY1 Data(H)'!$A$1:$A$122,'PY1 Data(H)'!$A$1:$CZ$122))</f>
        <v>0</v>
      </c>
      <c r="G9" s="129" cm="1">
        <f t="array" ref="G9">_xlfn.XLOOKUP(G$1,'PY1 Data(H)'!$A$1:$CZ$1,_xlfn.XLOOKUP($A9,'PY1 Data(H)'!$A$1:$A$122,'PY1 Data(H)'!$A$1:$CZ$122))</f>
        <v>0</v>
      </c>
      <c r="H9" s="129" cm="1">
        <f t="array" ref="H9">_xlfn.XLOOKUP(H$1,'PY1 Data(H)'!$A$1:$CZ$1,_xlfn.XLOOKUP($A9,'PY1 Data(H)'!$A$1:$A$122,'PY1 Data(H)'!$A$1:$CZ$122))</f>
        <v>0</v>
      </c>
      <c r="I9" s="129" cm="1">
        <f t="array" ref="I9">_xlfn.XLOOKUP(I$1,'PY1 Data(H)'!$A$1:$CZ$1,_xlfn.XLOOKUP($A9,'PY1 Data(H)'!$A$1:$A$122,'PY1 Data(H)'!$A$1:$CZ$122))</f>
        <v>0</v>
      </c>
      <c r="J9" s="129" cm="1">
        <f t="array" ref="J9">_xlfn.XLOOKUP(J$1,'PY1 Data(H)'!$A$1:$CZ$1,_xlfn.XLOOKUP($A9,'PY1 Data(H)'!$A$1:$A$122,'PY1 Data(H)'!$A$1:$CZ$122))</f>
        <v>0</v>
      </c>
    </row>
    <row r="10" spans="1:10" x14ac:dyDescent="0.3">
      <c r="A10">
        <v>628</v>
      </c>
      <c r="D10" s="129" cm="1">
        <f t="array" ref="D10">_xlfn.XLOOKUP(D$1,'PY1 Data(H)'!$A$1:$CZ$1,_xlfn.XLOOKUP($A10,'PY1 Data(H)'!$A$1:$A$122,'PY1 Data(H)'!$A$1:$CZ$122))</f>
        <v>0</v>
      </c>
      <c r="E10" s="129" cm="1">
        <f t="array" ref="E10">_xlfn.XLOOKUP(E$1,'PY1 Data(H)'!$A$1:$CZ$1,_xlfn.XLOOKUP($A10,'PY1 Data(H)'!$A$1:$A$122,'PY1 Data(H)'!$A$1:$CZ$122))</f>
        <v>48311</v>
      </c>
      <c r="F10" s="129" cm="1">
        <f t="array" ref="F10">_xlfn.XLOOKUP(F$1,'PY1 Data(H)'!$A$1:$CZ$1,_xlfn.XLOOKUP($A10,'PY1 Data(H)'!$A$1:$A$122,'PY1 Data(H)'!$A$1:$CZ$122))</f>
        <v>999045</v>
      </c>
      <c r="G10" s="129" cm="1">
        <f t="array" ref="G10">_xlfn.XLOOKUP(G$1,'PY1 Data(H)'!$A$1:$CZ$1,_xlfn.XLOOKUP($A10,'PY1 Data(H)'!$A$1:$A$122,'PY1 Data(H)'!$A$1:$CZ$122))</f>
        <v>0</v>
      </c>
      <c r="H10" s="129" cm="1">
        <f t="array" ref="H10">_xlfn.XLOOKUP(H$1,'PY1 Data(H)'!$A$1:$CZ$1,_xlfn.XLOOKUP($A10,'PY1 Data(H)'!$A$1:$A$122,'PY1 Data(H)'!$A$1:$CZ$122))</f>
        <v>433278</v>
      </c>
      <c r="I10" s="129" cm="1">
        <f t="array" ref="I10">_xlfn.XLOOKUP(I$1,'PY1 Data(H)'!$A$1:$CZ$1,_xlfn.XLOOKUP($A10,'PY1 Data(H)'!$A$1:$A$122,'PY1 Data(H)'!$A$1:$CZ$122))</f>
        <v>127599</v>
      </c>
      <c r="J10" s="129" cm="1">
        <f t="array" ref="J10">_xlfn.XLOOKUP(J$1,'PY1 Data(H)'!$A$1:$CZ$1,_xlfn.XLOOKUP($A10,'PY1 Data(H)'!$A$1:$A$122,'PY1 Data(H)'!$A$1:$CZ$122))</f>
        <v>0</v>
      </c>
    </row>
    <row r="11" spans="1:10" x14ac:dyDescent="0.3">
      <c r="A11">
        <v>629</v>
      </c>
      <c r="D11" s="129" cm="1">
        <f t="array" ref="D11">_xlfn.XLOOKUP(D$1,'PY1 Data(H)'!$A$1:$CZ$1,_xlfn.XLOOKUP($A11,'PY1 Data(H)'!$A$1:$A$122,'PY1 Data(H)'!$A$1:$CZ$122))</f>
        <v>0</v>
      </c>
      <c r="E11" s="129" cm="1">
        <f t="array" ref="E11">_xlfn.XLOOKUP(E$1,'PY1 Data(H)'!$A$1:$CZ$1,_xlfn.XLOOKUP($A11,'PY1 Data(H)'!$A$1:$A$122,'PY1 Data(H)'!$A$1:$CZ$122))</f>
        <v>0</v>
      </c>
      <c r="F11" s="129" cm="1">
        <f t="array" ref="F11">_xlfn.XLOOKUP(F$1,'PY1 Data(H)'!$A$1:$CZ$1,_xlfn.XLOOKUP($A11,'PY1 Data(H)'!$A$1:$A$122,'PY1 Data(H)'!$A$1:$CZ$122))</f>
        <v>2920274</v>
      </c>
      <c r="G11" s="129" cm="1">
        <f t="array" ref="G11">_xlfn.XLOOKUP(G$1,'PY1 Data(H)'!$A$1:$CZ$1,_xlfn.XLOOKUP($A11,'PY1 Data(H)'!$A$1:$A$122,'PY1 Data(H)'!$A$1:$CZ$122))</f>
        <v>0</v>
      </c>
      <c r="H11" s="129" cm="1">
        <f t="array" ref="H11">_xlfn.XLOOKUP(H$1,'PY1 Data(H)'!$A$1:$CZ$1,_xlfn.XLOOKUP($A11,'PY1 Data(H)'!$A$1:$A$122,'PY1 Data(H)'!$A$1:$CZ$122))</f>
        <v>0</v>
      </c>
      <c r="I11" s="129" cm="1">
        <f t="array" ref="I11">_xlfn.XLOOKUP(I$1,'PY1 Data(H)'!$A$1:$CZ$1,_xlfn.XLOOKUP($A11,'PY1 Data(H)'!$A$1:$A$122,'PY1 Data(H)'!$A$1:$CZ$122))</f>
        <v>0</v>
      </c>
      <c r="J11" s="129" cm="1">
        <f t="array" ref="J11">_xlfn.XLOOKUP(J$1,'PY1 Data(H)'!$A$1:$CZ$1,_xlfn.XLOOKUP($A11,'PY1 Data(H)'!$A$1:$A$122,'PY1 Data(H)'!$A$1:$CZ$122))</f>
        <v>0</v>
      </c>
    </row>
    <row r="12" spans="1:10" x14ac:dyDescent="0.3">
      <c r="A12">
        <v>630</v>
      </c>
      <c r="D12" s="129" cm="1">
        <f t="array" ref="D12">_xlfn.XLOOKUP(D$1,'PY1 Data(H)'!$A$1:$CZ$1,_xlfn.XLOOKUP($A12,'PY1 Data(H)'!$A$1:$A$122,'PY1 Data(H)'!$A$1:$CZ$122))</f>
        <v>0</v>
      </c>
      <c r="E12" s="129" cm="1">
        <f t="array" ref="E12">_xlfn.XLOOKUP(E$1,'PY1 Data(H)'!$A$1:$CZ$1,_xlfn.XLOOKUP($A12,'PY1 Data(H)'!$A$1:$A$122,'PY1 Data(H)'!$A$1:$CZ$122))</f>
        <v>0</v>
      </c>
      <c r="F12" s="129" cm="1">
        <f t="array" ref="F12">_xlfn.XLOOKUP(F$1,'PY1 Data(H)'!$A$1:$CZ$1,_xlfn.XLOOKUP($A12,'PY1 Data(H)'!$A$1:$A$122,'PY1 Data(H)'!$A$1:$CZ$122))</f>
        <v>433264</v>
      </c>
      <c r="G12" s="129" cm="1">
        <f t="array" ref="G12">_xlfn.XLOOKUP(G$1,'PY1 Data(H)'!$A$1:$CZ$1,_xlfn.XLOOKUP($A12,'PY1 Data(H)'!$A$1:$A$122,'PY1 Data(H)'!$A$1:$CZ$122))</f>
        <v>0</v>
      </c>
      <c r="H12" s="129" cm="1">
        <f t="array" ref="H12">_xlfn.XLOOKUP(H$1,'PY1 Data(H)'!$A$1:$CZ$1,_xlfn.XLOOKUP($A12,'PY1 Data(H)'!$A$1:$A$122,'PY1 Data(H)'!$A$1:$CZ$122))</f>
        <v>344434</v>
      </c>
      <c r="I12" s="129" cm="1">
        <f t="array" ref="I12">_xlfn.XLOOKUP(I$1,'PY1 Data(H)'!$A$1:$CZ$1,_xlfn.XLOOKUP($A12,'PY1 Data(H)'!$A$1:$A$122,'PY1 Data(H)'!$A$1:$CZ$122))</f>
        <v>0</v>
      </c>
      <c r="J12" s="129" cm="1">
        <f t="array" ref="J12">_xlfn.XLOOKUP(J$1,'PY1 Data(H)'!$A$1:$CZ$1,_xlfn.XLOOKUP($A12,'PY1 Data(H)'!$A$1:$A$122,'PY1 Data(H)'!$A$1:$CZ$122))</f>
        <v>0</v>
      </c>
    </row>
    <row r="13" spans="1:10" x14ac:dyDescent="0.3">
      <c r="A13">
        <v>631</v>
      </c>
      <c r="D13" s="129" cm="1">
        <f t="array" ref="D13">_xlfn.XLOOKUP(D$1,'PY1 Data(H)'!$A$1:$CZ$1,_xlfn.XLOOKUP($A13,'PY1 Data(H)'!$A$1:$A$122,'PY1 Data(H)'!$A$1:$CZ$122))</f>
        <v>0</v>
      </c>
      <c r="E13" s="129" cm="1">
        <f t="array" ref="E13">_xlfn.XLOOKUP(E$1,'PY1 Data(H)'!$A$1:$CZ$1,_xlfn.XLOOKUP($A13,'PY1 Data(H)'!$A$1:$A$122,'PY1 Data(H)'!$A$1:$CZ$122))</f>
        <v>0</v>
      </c>
      <c r="F13" s="129" cm="1">
        <f t="array" ref="F13">_xlfn.XLOOKUP(F$1,'PY1 Data(H)'!$A$1:$CZ$1,_xlfn.XLOOKUP($A13,'PY1 Data(H)'!$A$1:$A$122,'PY1 Data(H)'!$A$1:$CZ$122))</f>
        <v>2080532</v>
      </c>
      <c r="G13" s="129" cm="1">
        <f t="array" ref="G13">_xlfn.XLOOKUP(G$1,'PY1 Data(H)'!$A$1:$CZ$1,_xlfn.XLOOKUP($A13,'PY1 Data(H)'!$A$1:$A$122,'PY1 Data(H)'!$A$1:$CZ$122))</f>
        <v>0</v>
      </c>
      <c r="H13" s="129" cm="1">
        <f t="array" ref="H13">_xlfn.XLOOKUP(H$1,'PY1 Data(H)'!$A$1:$CZ$1,_xlfn.XLOOKUP($A13,'PY1 Data(H)'!$A$1:$A$122,'PY1 Data(H)'!$A$1:$CZ$122))</f>
        <v>0</v>
      </c>
      <c r="I13" s="129" cm="1">
        <f t="array" ref="I13">_xlfn.XLOOKUP(I$1,'PY1 Data(H)'!$A$1:$CZ$1,_xlfn.XLOOKUP($A13,'PY1 Data(H)'!$A$1:$A$122,'PY1 Data(H)'!$A$1:$CZ$122))</f>
        <v>0</v>
      </c>
      <c r="J13" s="129" cm="1">
        <f t="array" ref="J13">_xlfn.XLOOKUP(J$1,'PY1 Data(H)'!$A$1:$CZ$1,_xlfn.XLOOKUP($A13,'PY1 Data(H)'!$A$1:$A$122,'PY1 Data(H)'!$A$1:$CZ$122))</f>
        <v>0</v>
      </c>
    </row>
    <row r="14" spans="1:10" x14ac:dyDescent="0.3">
      <c r="A14">
        <v>338</v>
      </c>
      <c r="D14" s="129" cm="1">
        <f t="array" ref="D14">_xlfn.XLOOKUP(D$1,'PY1 Data(H)'!$A$1:$CZ$1,_xlfn.XLOOKUP($A14,'PY1 Data(H)'!$A$1:$A$122,'PY1 Data(H)'!$A$1:$CZ$122))</f>
        <v>22386970</v>
      </c>
      <c r="E14" s="129" cm="1">
        <f t="array" ref="E14">_xlfn.XLOOKUP(E$1,'PY1 Data(H)'!$A$1:$CZ$1,_xlfn.XLOOKUP($A14,'PY1 Data(H)'!$A$1:$A$122,'PY1 Data(H)'!$A$1:$CZ$122))</f>
        <v>3847708</v>
      </c>
      <c r="F14" s="129" cm="1">
        <f t="array" ref="F14">_xlfn.XLOOKUP(F$1,'PY1 Data(H)'!$A$1:$CZ$1,_xlfn.XLOOKUP($A14,'PY1 Data(H)'!$A$1:$A$122,'PY1 Data(H)'!$A$1:$CZ$122))</f>
        <v>12359994</v>
      </c>
      <c r="G14" s="129" cm="1">
        <f t="array" ref="G14">_xlfn.XLOOKUP(G$1,'PY1 Data(H)'!$A$1:$CZ$1,_xlfn.XLOOKUP($A14,'PY1 Data(H)'!$A$1:$A$122,'PY1 Data(H)'!$A$1:$CZ$122))</f>
        <v>10463963</v>
      </c>
      <c r="H14" s="129" cm="1">
        <f t="array" ref="H14">_xlfn.XLOOKUP(H$1,'PY1 Data(H)'!$A$1:$CZ$1,_xlfn.XLOOKUP($A14,'PY1 Data(H)'!$A$1:$A$122,'PY1 Data(H)'!$A$1:$CZ$122))</f>
        <v>8842516</v>
      </c>
      <c r="I14" s="129" cm="1">
        <f t="array" ref="I14">_xlfn.XLOOKUP(I$1,'PY1 Data(H)'!$A$1:$CZ$1,_xlfn.XLOOKUP($A14,'PY1 Data(H)'!$A$1:$A$122,'PY1 Data(H)'!$A$1:$CZ$122))</f>
        <v>5028323</v>
      </c>
      <c r="J14" s="129" cm="1">
        <f t="array" ref="J14">_xlfn.XLOOKUP(J$1,'PY1 Data(H)'!$A$1:$CZ$1,_xlfn.XLOOKUP($A14,'PY1 Data(H)'!$A$1:$A$122,'PY1 Data(H)'!$A$1:$CZ$122))</f>
        <v>2468215</v>
      </c>
    </row>
    <row r="15" spans="1:10" x14ac:dyDescent="0.3">
      <c r="A15">
        <v>335</v>
      </c>
      <c r="D15" s="129" cm="1">
        <f t="array" ref="D15">_xlfn.XLOOKUP(D$1,'PY1 Data(H)'!$A$1:$CZ$1,_xlfn.XLOOKUP($A15,'PY1 Data(H)'!$A$1:$A$122,'PY1 Data(H)'!$A$1:$CZ$122))</f>
        <v>0</v>
      </c>
      <c r="E15" s="129" cm="1">
        <f t="array" ref="E15">_xlfn.XLOOKUP(E$1,'PY1 Data(H)'!$A$1:$CZ$1,_xlfn.XLOOKUP($A15,'PY1 Data(H)'!$A$1:$A$122,'PY1 Data(H)'!$A$1:$CZ$122))</f>
        <v>0</v>
      </c>
      <c r="F15" s="129" cm="1">
        <f t="array" ref="F15">_xlfn.XLOOKUP(F$1,'PY1 Data(H)'!$A$1:$CZ$1,_xlfn.XLOOKUP($A15,'PY1 Data(H)'!$A$1:$A$122,'PY1 Data(H)'!$A$1:$CZ$122))</f>
        <v>0</v>
      </c>
      <c r="G15" s="129" cm="1">
        <f t="array" ref="G15">_xlfn.XLOOKUP(G$1,'PY1 Data(H)'!$A$1:$CZ$1,_xlfn.XLOOKUP($A15,'PY1 Data(H)'!$A$1:$A$122,'PY1 Data(H)'!$A$1:$CZ$122))</f>
        <v>0</v>
      </c>
      <c r="H15" s="129" cm="1">
        <f t="array" ref="H15">_xlfn.XLOOKUP(H$1,'PY1 Data(H)'!$A$1:$CZ$1,_xlfn.XLOOKUP($A15,'PY1 Data(H)'!$A$1:$A$122,'PY1 Data(H)'!$A$1:$CZ$122))</f>
        <v>0</v>
      </c>
      <c r="I15" s="129" cm="1">
        <f t="array" ref="I15">_xlfn.XLOOKUP(I$1,'PY1 Data(H)'!$A$1:$CZ$1,_xlfn.XLOOKUP($A15,'PY1 Data(H)'!$A$1:$A$122,'PY1 Data(H)'!$A$1:$CZ$122))</f>
        <v>268440</v>
      </c>
      <c r="J15" s="129" cm="1">
        <f t="array" ref="J15">_xlfn.XLOOKUP(J$1,'PY1 Data(H)'!$A$1:$CZ$1,_xlfn.XLOOKUP($A15,'PY1 Data(H)'!$A$1:$A$122,'PY1 Data(H)'!$A$1:$CZ$122))</f>
        <v>939876</v>
      </c>
    </row>
    <row r="16" spans="1:10" x14ac:dyDescent="0.3">
      <c r="A16">
        <v>252</v>
      </c>
      <c r="D16" s="129" cm="1">
        <f t="array" ref="D16">_xlfn.XLOOKUP(D$1,'PY1 Data(H)'!$A$1:$CZ$1,_xlfn.XLOOKUP($A16,'PY1 Data(H)'!$A$1:$A$122,'PY1 Data(H)'!$A$1:$CZ$122))</f>
        <v>3737494</v>
      </c>
      <c r="E16" s="129" cm="1">
        <f t="array" ref="E16">_xlfn.XLOOKUP(E$1,'PY1 Data(H)'!$A$1:$CZ$1,_xlfn.XLOOKUP($A16,'PY1 Data(H)'!$A$1:$A$122,'PY1 Data(H)'!$A$1:$CZ$122))</f>
        <v>650531</v>
      </c>
      <c r="F16" s="129" cm="1">
        <f t="array" ref="F16">_xlfn.XLOOKUP(F$1,'PY1 Data(H)'!$A$1:$CZ$1,_xlfn.XLOOKUP($A16,'PY1 Data(H)'!$A$1:$A$122,'PY1 Data(H)'!$A$1:$CZ$122))</f>
        <v>748536</v>
      </c>
      <c r="G16" s="129" cm="1">
        <f t="array" ref="G16">_xlfn.XLOOKUP(G$1,'PY1 Data(H)'!$A$1:$CZ$1,_xlfn.XLOOKUP($A16,'PY1 Data(H)'!$A$1:$A$122,'PY1 Data(H)'!$A$1:$CZ$122))</f>
        <v>1087893</v>
      </c>
      <c r="H16" s="129" cm="1">
        <f t="array" ref="H16">_xlfn.XLOOKUP(H$1,'PY1 Data(H)'!$A$1:$CZ$1,_xlfn.XLOOKUP($A16,'PY1 Data(H)'!$A$1:$A$122,'PY1 Data(H)'!$A$1:$CZ$122))</f>
        <v>756253</v>
      </c>
      <c r="I16" s="129" cm="1">
        <f t="array" ref="I16">_xlfn.XLOOKUP(I$1,'PY1 Data(H)'!$A$1:$CZ$1,_xlfn.XLOOKUP($A16,'PY1 Data(H)'!$A$1:$A$122,'PY1 Data(H)'!$A$1:$CZ$122))</f>
        <v>554832</v>
      </c>
      <c r="J16" s="129" cm="1">
        <f t="array" ref="J16">_xlfn.XLOOKUP(J$1,'PY1 Data(H)'!$A$1:$CZ$1,_xlfn.XLOOKUP($A16,'PY1 Data(H)'!$A$1:$A$122,'PY1 Data(H)'!$A$1:$CZ$122))</f>
        <v>172226</v>
      </c>
    </row>
    <row r="17" spans="1:10" x14ac:dyDescent="0.3">
      <c r="A17">
        <v>253</v>
      </c>
      <c r="D17" s="129" cm="1">
        <f t="array" ref="D17">_xlfn.XLOOKUP(D$1,'PY1 Data(H)'!$A$1:$CZ$1,_xlfn.XLOOKUP($A17,'PY1 Data(H)'!$A$1:$A$122,'PY1 Data(H)'!$A$1:$CZ$122))</f>
        <v>3348004</v>
      </c>
      <c r="E17" s="129" cm="1">
        <f t="array" ref="E17">_xlfn.XLOOKUP(E$1,'PY1 Data(H)'!$A$1:$CZ$1,_xlfn.XLOOKUP($A17,'PY1 Data(H)'!$A$1:$A$122,'PY1 Data(H)'!$A$1:$CZ$122))</f>
        <v>1307692</v>
      </c>
      <c r="F17" s="129" cm="1">
        <f t="array" ref="F17">_xlfn.XLOOKUP(F$1,'PY1 Data(H)'!$A$1:$CZ$1,_xlfn.XLOOKUP($A17,'PY1 Data(H)'!$A$1:$A$122,'PY1 Data(H)'!$A$1:$CZ$122))</f>
        <v>3136129</v>
      </c>
      <c r="G17" s="129" cm="1">
        <f t="array" ref="G17">_xlfn.XLOOKUP(G$1,'PY1 Data(H)'!$A$1:$CZ$1,_xlfn.XLOOKUP($A17,'PY1 Data(H)'!$A$1:$A$122,'PY1 Data(H)'!$A$1:$CZ$122))</f>
        <v>619069</v>
      </c>
      <c r="H17" s="129" cm="1">
        <f t="array" ref="H17">_xlfn.XLOOKUP(H$1,'PY1 Data(H)'!$A$1:$CZ$1,_xlfn.XLOOKUP($A17,'PY1 Data(H)'!$A$1:$A$122,'PY1 Data(H)'!$A$1:$CZ$122))</f>
        <v>1930362</v>
      </c>
      <c r="I17" s="129" cm="1">
        <f t="array" ref="I17">_xlfn.XLOOKUP(I$1,'PY1 Data(H)'!$A$1:$CZ$1,_xlfn.XLOOKUP($A17,'PY1 Data(H)'!$A$1:$A$122,'PY1 Data(H)'!$A$1:$CZ$122))</f>
        <v>1075424</v>
      </c>
      <c r="J17" s="129" cm="1">
        <f t="array" ref="J17">_xlfn.XLOOKUP(J$1,'PY1 Data(H)'!$A$1:$CZ$1,_xlfn.XLOOKUP($A17,'PY1 Data(H)'!$A$1:$A$122,'PY1 Data(H)'!$A$1:$CZ$122))</f>
        <v>57828</v>
      </c>
    </row>
    <row r="18" spans="1:10" x14ac:dyDescent="0.3">
      <c r="A18">
        <v>254</v>
      </c>
      <c r="D18" s="129" cm="1">
        <f t="array" ref="D18">_xlfn.XLOOKUP(D$1,'PY1 Data(H)'!$A$1:$CZ$1,_xlfn.XLOOKUP($A18,'PY1 Data(H)'!$A$1:$A$122,'PY1 Data(H)'!$A$1:$CZ$122))</f>
        <v>-5744183</v>
      </c>
      <c r="E18" s="129" cm="1">
        <f t="array" ref="E18">_xlfn.XLOOKUP(E$1,'PY1 Data(H)'!$A$1:$CZ$1,_xlfn.XLOOKUP($A18,'PY1 Data(H)'!$A$1:$A$122,'PY1 Data(H)'!$A$1:$CZ$122))</f>
        <v>7197574</v>
      </c>
      <c r="F18" s="129" cm="1">
        <f t="array" ref="F18">_xlfn.XLOOKUP(F$1,'PY1 Data(H)'!$A$1:$CZ$1,_xlfn.XLOOKUP($A18,'PY1 Data(H)'!$A$1:$A$122,'PY1 Data(H)'!$A$1:$CZ$122))</f>
        <v>4366757</v>
      </c>
      <c r="G18" s="129" cm="1">
        <f t="array" ref="G18">_xlfn.XLOOKUP(G$1,'PY1 Data(H)'!$A$1:$CZ$1,_xlfn.XLOOKUP($A18,'PY1 Data(H)'!$A$1:$A$122,'PY1 Data(H)'!$A$1:$CZ$122))</f>
        <v>-5916671</v>
      </c>
      <c r="H18" s="129" cm="1">
        <f t="array" ref="H18">_xlfn.XLOOKUP(H$1,'PY1 Data(H)'!$A$1:$CZ$1,_xlfn.XLOOKUP($A18,'PY1 Data(H)'!$A$1:$A$122,'PY1 Data(H)'!$A$1:$CZ$122))</f>
        <v>-4205432</v>
      </c>
      <c r="I18" s="129" cm="1">
        <f t="array" ref="I18">_xlfn.XLOOKUP(I$1,'PY1 Data(H)'!$A$1:$CZ$1,_xlfn.XLOOKUP($A18,'PY1 Data(H)'!$A$1:$A$122,'PY1 Data(H)'!$A$1:$CZ$122))</f>
        <v>-1262093</v>
      </c>
      <c r="J18" s="129" cm="1">
        <f t="array" ref="J18">_xlfn.XLOOKUP(J$1,'PY1 Data(H)'!$A$1:$CZ$1,_xlfn.XLOOKUP($A18,'PY1 Data(H)'!$A$1:$A$122,'PY1 Data(H)'!$A$1:$CZ$122))</f>
        <v>4563566</v>
      </c>
    </row>
    <row r="19" spans="1:10" x14ac:dyDescent="0.3">
      <c r="D19" s="129" cm="1">
        <f t="array" ref="D19">_xlfn.XLOOKUP(D$1,'PY1 Data(H)'!$A$1:$CZ$1,_xlfn.XLOOKUP($A19,'PY1 Data(H)'!$A$1:$A$122,'PY1 Data(H)'!$A$1:$CZ$122))</f>
        <v>0</v>
      </c>
      <c r="E19" s="129" cm="1">
        <f t="array" ref="E19">_xlfn.XLOOKUP(E$1,'PY1 Data(H)'!$A$1:$CZ$1,_xlfn.XLOOKUP($A19,'PY1 Data(H)'!$A$1:$A$122,'PY1 Data(H)'!$A$1:$CZ$122))</f>
        <v>0</v>
      </c>
      <c r="F19" s="129" cm="1">
        <f t="array" ref="F19">_xlfn.XLOOKUP(F$1,'PY1 Data(H)'!$A$1:$CZ$1,_xlfn.XLOOKUP($A19,'PY1 Data(H)'!$A$1:$A$122,'PY1 Data(H)'!$A$1:$CZ$122))</f>
        <v>0</v>
      </c>
      <c r="G19" s="129" cm="1">
        <f t="array" ref="G19">_xlfn.XLOOKUP(G$1,'PY1 Data(H)'!$A$1:$CZ$1,_xlfn.XLOOKUP($A19,'PY1 Data(H)'!$A$1:$A$122,'PY1 Data(H)'!$A$1:$CZ$122))</f>
        <v>0</v>
      </c>
      <c r="H19" s="129" cm="1">
        <f t="array" ref="H19">_xlfn.XLOOKUP(H$1,'PY1 Data(H)'!$A$1:$CZ$1,_xlfn.XLOOKUP($A19,'PY1 Data(H)'!$A$1:$A$122,'PY1 Data(H)'!$A$1:$CZ$122))</f>
        <v>0</v>
      </c>
      <c r="I19" s="129" cm="1">
        <f t="array" ref="I19">_xlfn.XLOOKUP(I$1,'PY1 Data(H)'!$A$1:$CZ$1,_xlfn.XLOOKUP($A19,'PY1 Data(H)'!$A$1:$A$122,'PY1 Data(H)'!$A$1:$CZ$122))</f>
        <v>0</v>
      </c>
      <c r="J19" s="129" cm="1">
        <f t="array" ref="J19">_xlfn.XLOOKUP(J$1,'PY1 Data(H)'!$A$1:$CZ$1,_xlfn.XLOOKUP($A19,'PY1 Data(H)'!$A$1:$A$122,'PY1 Data(H)'!$A$1:$CZ$122))</f>
        <v>0</v>
      </c>
    </row>
    <row r="20" spans="1:10" x14ac:dyDescent="0.3">
      <c r="A20">
        <v>502</v>
      </c>
      <c r="D20" s="129" cm="1">
        <f t="array" ref="D20">_xlfn.XLOOKUP(D$1,'PY1 Data(H)'!$A$1:$CZ$1,_xlfn.XLOOKUP($A20,'PY1 Data(H)'!$A$1:$A$122,'PY1 Data(H)'!$A$1:$CZ$122))</f>
        <v>0</v>
      </c>
      <c r="E20" s="129" cm="1">
        <f t="array" ref="E20">_xlfn.XLOOKUP(E$1,'PY1 Data(H)'!$A$1:$CZ$1,_xlfn.XLOOKUP($A20,'PY1 Data(H)'!$A$1:$A$122,'PY1 Data(H)'!$A$1:$CZ$122))</f>
        <v>0</v>
      </c>
      <c r="F20" s="129" cm="1">
        <f t="array" ref="F20">_xlfn.XLOOKUP(F$1,'PY1 Data(H)'!$A$1:$CZ$1,_xlfn.XLOOKUP($A20,'PY1 Data(H)'!$A$1:$A$122,'PY1 Data(H)'!$A$1:$CZ$122))</f>
        <v>0</v>
      </c>
      <c r="G20" s="129" cm="1">
        <f t="array" ref="G20">_xlfn.XLOOKUP(G$1,'PY1 Data(H)'!$A$1:$CZ$1,_xlfn.XLOOKUP($A20,'PY1 Data(H)'!$A$1:$A$122,'PY1 Data(H)'!$A$1:$CZ$122))</f>
        <v>0</v>
      </c>
      <c r="H20" s="129" cm="1">
        <f t="array" ref="H20">_xlfn.XLOOKUP(H$1,'PY1 Data(H)'!$A$1:$CZ$1,_xlfn.XLOOKUP($A20,'PY1 Data(H)'!$A$1:$A$122,'PY1 Data(H)'!$A$1:$CZ$122))</f>
        <v>0</v>
      </c>
      <c r="I20" s="129" cm="1">
        <f t="array" ref="I20">_xlfn.XLOOKUP(I$1,'PY1 Data(H)'!$A$1:$CZ$1,_xlfn.XLOOKUP($A20,'PY1 Data(H)'!$A$1:$A$122,'PY1 Data(H)'!$A$1:$CZ$122))</f>
        <v>0</v>
      </c>
      <c r="J20" s="129" cm="1">
        <f t="array" ref="J20">_xlfn.XLOOKUP(J$1,'PY1 Data(H)'!$A$1:$CZ$1,_xlfn.XLOOKUP($A20,'PY1 Data(H)'!$A$1:$A$122,'PY1 Data(H)'!$A$1:$CZ$122))</f>
        <v>0</v>
      </c>
    </row>
    <row r="21" spans="1:10" x14ac:dyDescent="0.3">
      <c r="A21">
        <v>503</v>
      </c>
      <c r="D21" s="129" cm="1">
        <f t="array" ref="D21">_xlfn.XLOOKUP(D$1,'PY1 Data(H)'!$A$1:$CZ$1,_xlfn.XLOOKUP($A21,'PY1 Data(H)'!$A$1:$A$122,'PY1 Data(H)'!$A$1:$CZ$122))</f>
        <v>0</v>
      </c>
      <c r="E21" s="129" cm="1">
        <f t="array" ref="E21">_xlfn.XLOOKUP(E$1,'PY1 Data(H)'!$A$1:$CZ$1,_xlfn.XLOOKUP($A21,'PY1 Data(H)'!$A$1:$A$122,'PY1 Data(H)'!$A$1:$CZ$122))</f>
        <v>0</v>
      </c>
      <c r="F21" s="129" cm="1">
        <f t="array" ref="F21">_xlfn.XLOOKUP(F$1,'PY1 Data(H)'!$A$1:$CZ$1,_xlfn.XLOOKUP($A21,'PY1 Data(H)'!$A$1:$A$122,'PY1 Data(H)'!$A$1:$CZ$122))</f>
        <v>0</v>
      </c>
      <c r="G21" s="129" cm="1">
        <f t="array" ref="G21">_xlfn.XLOOKUP(G$1,'PY1 Data(H)'!$A$1:$CZ$1,_xlfn.XLOOKUP($A21,'PY1 Data(H)'!$A$1:$A$122,'PY1 Data(H)'!$A$1:$CZ$122))</f>
        <v>0</v>
      </c>
      <c r="H21" s="129" cm="1">
        <f t="array" ref="H21">_xlfn.XLOOKUP(H$1,'PY1 Data(H)'!$A$1:$CZ$1,_xlfn.XLOOKUP($A21,'PY1 Data(H)'!$A$1:$A$122,'PY1 Data(H)'!$A$1:$CZ$122))</f>
        <v>0</v>
      </c>
      <c r="I21" s="129" cm="1">
        <f t="array" ref="I21">_xlfn.XLOOKUP(I$1,'PY1 Data(H)'!$A$1:$CZ$1,_xlfn.XLOOKUP($A21,'PY1 Data(H)'!$A$1:$A$122,'PY1 Data(H)'!$A$1:$CZ$122))</f>
        <v>0</v>
      </c>
      <c r="J21" s="129" cm="1">
        <f t="array" ref="J21">_xlfn.XLOOKUP(J$1,'PY1 Data(H)'!$A$1:$CZ$1,_xlfn.XLOOKUP($A21,'PY1 Data(H)'!$A$1:$A$122,'PY1 Data(H)'!$A$1:$CZ$122))</f>
        <v>0</v>
      </c>
    </row>
    <row r="22" spans="1:10" x14ac:dyDescent="0.3">
      <c r="D22" s="129" cm="1">
        <f t="array" ref="D22">_xlfn.XLOOKUP(D$1,'PY1 Data(H)'!$A$1:$CZ$1,_xlfn.XLOOKUP($A22,'PY1 Data(H)'!$A$1:$A$122,'PY1 Data(H)'!$A$1:$CZ$122))</f>
        <v>0</v>
      </c>
      <c r="E22" s="129" cm="1">
        <f t="array" ref="E22">_xlfn.XLOOKUP(E$1,'PY1 Data(H)'!$A$1:$CZ$1,_xlfn.XLOOKUP($A22,'PY1 Data(H)'!$A$1:$A$122,'PY1 Data(H)'!$A$1:$CZ$122))</f>
        <v>0</v>
      </c>
      <c r="F22" s="129" cm="1">
        <f t="array" ref="F22">_xlfn.XLOOKUP(F$1,'PY1 Data(H)'!$A$1:$CZ$1,_xlfn.XLOOKUP($A22,'PY1 Data(H)'!$A$1:$A$122,'PY1 Data(H)'!$A$1:$CZ$122))</f>
        <v>0</v>
      </c>
      <c r="G22" s="129" cm="1">
        <f t="array" ref="G22">_xlfn.XLOOKUP(G$1,'PY1 Data(H)'!$A$1:$CZ$1,_xlfn.XLOOKUP($A22,'PY1 Data(H)'!$A$1:$A$122,'PY1 Data(H)'!$A$1:$CZ$122))</f>
        <v>0</v>
      </c>
      <c r="H22" s="129" cm="1">
        <f t="array" ref="H22">_xlfn.XLOOKUP(H$1,'PY1 Data(H)'!$A$1:$CZ$1,_xlfn.XLOOKUP($A22,'PY1 Data(H)'!$A$1:$A$122,'PY1 Data(H)'!$A$1:$CZ$122))</f>
        <v>0</v>
      </c>
      <c r="I22" s="129" cm="1">
        <f t="array" ref="I22">_xlfn.XLOOKUP(I$1,'PY1 Data(H)'!$A$1:$CZ$1,_xlfn.XLOOKUP($A22,'PY1 Data(H)'!$A$1:$A$122,'PY1 Data(H)'!$A$1:$CZ$122))</f>
        <v>0</v>
      </c>
      <c r="J22" s="129" cm="1">
        <f t="array" ref="J22">_xlfn.XLOOKUP(J$1,'PY1 Data(H)'!$A$1:$CZ$1,_xlfn.XLOOKUP($A22,'PY1 Data(H)'!$A$1:$A$122,'PY1 Data(H)'!$A$1:$CZ$122))</f>
        <v>0</v>
      </c>
    </row>
    <row r="23" spans="1:10" x14ac:dyDescent="0.3">
      <c r="A23">
        <v>388</v>
      </c>
      <c r="D23" s="129" cm="1">
        <f t="array" ref="D23">_xlfn.XLOOKUP(D$1,'PY1 Data(H)'!$A$1:$CZ$1,_xlfn.XLOOKUP($A23,'PY1 Data(H)'!$A$1:$A$122,'PY1 Data(H)'!$A$1:$CZ$122))</f>
        <v>22082013</v>
      </c>
      <c r="E23" s="129" cm="1">
        <f t="array" ref="E23">_xlfn.XLOOKUP(E$1,'PY1 Data(H)'!$A$1:$CZ$1,_xlfn.XLOOKUP($A23,'PY1 Data(H)'!$A$1:$A$122,'PY1 Data(H)'!$A$1:$CZ$122))</f>
        <v>12392510</v>
      </c>
      <c r="F23" s="129" cm="1">
        <f t="array" ref="F23">_xlfn.XLOOKUP(F$1,'PY1 Data(H)'!$A$1:$CZ$1,_xlfn.XLOOKUP($A23,'PY1 Data(H)'!$A$1:$A$122,'PY1 Data(H)'!$A$1:$CZ$122))</f>
        <v>28601445</v>
      </c>
      <c r="G23" s="129" cm="1">
        <f t="array" ref="G23">_xlfn.XLOOKUP(G$1,'PY1 Data(H)'!$A$1:$CZ$1,_xlfn.XLOOKUP($A23,'PY1 Data(H)'!$A$1:$A$122,'PY1 Data(H)'!$A$1:$CZ$122))</f>
        <v>7179410</v>
      </c>
      <c r="H23" s="129" cm="1">
        <f t="array" ref="H23">_xlfn.XLOOKUP(H$1,'PY1 Data(H)'!$A$1:$CZ$1,_xlfn.XLOOKUP($A23,'PY1 Data(H)'!$A$1:$A$122,'PY1 Data(H)'!$A$1:$CZ$122))</f>
        <v>8070235</v>
      </c>
      <c r="I23" s="129" cm="1">
        <f t="array" ref="I23">_xlfn.XLOOKUP(I$1,'PY1 Data(H)'!$A$1:$CZ$1,_xlfn.XLOOKUP($A23,'PY1 Data(H)'!$A$1:$A$122,'PY1 Data(H)'!$A$1:$CZ$122))</f>
        <v>7564841</v>
      </c>
      <c r="J23" s="129" cm="1">
        <f t="array" ref="J23">_xlfn.XLOOKUP(J$1,'PY1 Data(H)'!$A$1:$CZ$1,_xlfn.XLOOKUP($A23,'PY1 Data(H)'!$A$1:$A$122,'PY1 Data(H)'!$A$1:$CZ$122))</f>
        <v>4645110</v>
      </c>
    </row>
    <row r="24" spans="1:10" x14ac:dyDescent="0.3">
      <c r="A24">
        <v>339</v>
      </c>
      <c r="D24" s="129" cm="1">
        <f t="array" ref="D24">_xlfn.XLOOKUP(D$1,'PY1 Data(H)'!$A$1:$CZ$1,_xlfn.XLOOKUP($A24,'PY1 Data(H)'!$A$1:$A$122,'PY1 Data(H)'!$A$1:$CZ$122))</f>
        <v>10680500</v>
      </c>
      <c r="E24" s="129" cm="1">
        <f t="array" ref="E24">_xlfn.XLOOKUP(E$1,'PY1 Data(H)'!$A$1:$CZ$1,_xlfn.XLOOKUP($A24,'PY1 Data(H)'!$A$1:$A$122,'PY1 Data(H)'!$A$1:$CZ$122))</f>
        <v>6606493</v>
      </c>
      <c r="F24" s="129" cm="1">
        <f t="array" ref="F24">_xlfn.XLOOKUP(F$1,'PY1 Data(H)'!$A$1:$CZ$1,_xlfn.XLOOKUP($A24,'PY1 Data(H)'!$A$1:$A$122,'PY1 Data(H)'!$A$1:$CZ$122))</f>
        <v>9513438</v>
      </c>
      <c r="G24" s="129" cm="1">
        <f t="array" ref="G24">_xlfn.XLOOKUP(G$1,'PY1 Data(H)'!$A$1:$CZ$1,_xlfn.XLOOKUP($A24,'PY1 Data(H)'!$A$1:$A$122,'PY1 Data(H)'!$A$1:$CZ$122))</f>
        <v>2488016</v>
      </c>
      <c r="H24" s="129" cm="1">
        <f t="array" ref="H24">_xlfn.XLOOKUP(H$1,'PY1 Data(H)'!$A$1:$CZ$1,_xlfn.XLOOKUP($A24,'PY1 Data(H)'!$A$1:$A$122,'PY1 Data(H)'!$A$1:$CZ$122))</f>
        <v>3261965</v>
      </c>
      <c r="I24" s="129" cm="1">
        <f t="array" ref="I24">_xlfn.XLOOKUP(I$1,'PY1 Data(H)'!$A$1:$CZ$1,_xlfn.XLOOKUP($A24,'PY1 Data(H)'!$A$1:$A$122,'PY1 Data(H)'!$A$1:$CZ$122))</f>
        <v>3923550</v>
      </c>
      <c r="J24" s="129" cm="1">
        <f t="array" ref="J24">_xlfn.XLOOKUP(J$1,'PY1 Data(H)'!$A$1:$CZ$1,_xlfn.XLOOKUP($A24,'PY1 Data(H)'!$A$1:$A$122,'PY1 Data(H)'!$A$1:$CZ$122))</f>
        <v>1027701</v>
      </c>
    </row>
    <row r="25" spans="1:10" x14ac:dyDescent="0.3">
      <c r="A25">
        <v>504</v>
      </c>
      <c r="D25" s="129" cm="1">
        <f t="array" ref="D25">_xlfn.XLOOKUP(D$1,'PY1 Data(H)'!$A$1:$CZ$1,_xlfn.XLOOKUP($A25,'PY1 Data(H)'!$A$1:$A$122,'PY1 Data(H)'!$A$1:$CZ$122))</f>
        <v>15562649</v>
      </c>
      <c r="E25" s="129" cm="1">
        <f t="array" ref="E25">_xlfn.XLOOKUP(E$1,'PY1 Data(H)'!$A$1:$CZ$1,_xlfn.XLOOKUP($A25,'PY1 Data(H)'!$A$1:$A$122,'PY1 Data(H)'!$A$1:$CZ$122))</f>
        <v>6583651</v>
      </c>
      <c r="F25" s="129" cm="1">
        <f t="array" ref="F25">_xlfn.XLOOKUP(F$1,'PY1 Data(H)'!$A$1:$CZ$1,_xlfn.XLOOKUP($A25,'PY1 Data(H)'!$A$1:$A$122,'PY1 Data(H)'!$A$1:$CZ$122))</f>
        <v>20060871</v>
      </c>
      <c r="G25" s="129" cm="1">
        <f t="array" ref="G25">_xlfn.XLOOKUP(G$1,'PY1 Data(H)'!$A$1:$CZ$1,_xlfn.XLOOKUP($A25,'PY1 Data(H)'!$A$1:$A$122,'PY1 Data(H)'!$A$1:$CZ$122))</f>
        <v>5330745</v>
      </c>
      <c r="H25" s="129" cm="1">
        <f t="array" ref="H25">_xlfn.XLOOKUP(H$1,'PY1 Data(H)'!$A$1:$CZ$1,_xlfn.XLOOKUP($A25,'PY1 Data(H)'!$A$1:$A$122,'PY1 Data(H)'!$A$1:$CZ$122))</f>
        <v>4901261</v>
      </c>
      <c r="I25" s="129" cm="1">
        <f t="array" ref="I25">_xlfn.XLOOKUP(I$1,'PY1 Data(H)'!$A$1:$CZ$1,_xlfn.XLOOKUP($A25,'PY1 Data(H)'!$A$1:$A$122,'PY1 Data(H)'!$A$1:$CZ$122))</f>
        <v>2869210</v>
      </c>
      <c r="J25" s="129" cm="1">
        <f t="array" ref="J25">_xlfn.XLOOKUP(J$1,'PY1 Data(H)'!$A$1:$CZ$1,_xlfn.XLOOKUP($A25,'PY1 Data(H)'!$A$1:$A$122,'PY1 Data(H)'!$A$1:$CZ$122))</f>
        <v>4183196</v>
      </c>
    </row>
    <row r="26" spans="1:10" x14ac:dyDescent="0.3">
      <c r="A26">
        <v>505</v>
      </c>
      <c r="D26" s="129" cm="1">
        <f t="array" ref="D26">_xlfn.XLOOKUP(D$1,'PY1 Data(H)'!$A$1:$CZ$1,_xlfn.XLOOKUP($A26,'PY1 Data(H)'!$A$1:$A$122,'PY1 Data(H)'!$A$1:$CZ$122))</f>
        <v>0</v>
      </c>
      <c r="E26" s="129" cm="1">
        <f t="array" ref="E26">_xlfn.XLOOKUP(E$1,'PY1 Data(H)'!$A$1:$CZ$1,_xlfn.XLOOKUP($A26,'PY1 Data(H)'!$A$1:$A$122,'PY1 Data(H)'!$A$1:$CZ$122))</f>
        <v>0</v>
      </c>
      <c r="F26" s="129" cm="1">
        <f t="array" ref="F26">_xlfn.XLOOKUP(F$1,'PY1 Data(H)'!$A$1:$CZ$1,_xlfn.XLOOKUP($A26,'PY1 Data(H)'!$A$1:$A$122,'PY1 Data(H)'!$A$1:$CZ$122))</f>
        <v>0</v>
      </c>
      <c r="G26" s="129" cm="1">
        <f t="array" ref="G26">_xlfn.XLOOKUP(G$1,'PY1 Data(H)'!$A$1:$CZ$1,_xlfn.XLOOKUP($A26,'PY1 Data(H)'!$A$1:$A$122,'PY1 Data(H)'!$A$1:$CZ$122))</f>
        <v>0</v>
      </c>
      <c r="H26" s="129" cm="1">
        <f t="array" ref="H26">_xlfn.XLOOKUP(H$1,'PY1 Data(H)'!$A$1:$CZ$1,_xlfn.XLOOKUP($A26,'PY1 Data(H)'!$A$1:$A$122,'PY1 Data(H)'!$A$1:$CZ$122))</f>
        <v>0</v>
      </c>
      <c r="I26" s="129" cm="1">
        <f t="array" ref="I26">_xlfn.XLOOKUP(I$1,'PY1 Data(H)'!$A$1:$CZ$1,_xlfn.XLOOKUP($A26,'PY1 Data(H)'!$A$1:$A$122,'PY1 Data(H)'!$A$1:$CZ$122))</f>
        <v>0</v>
      </c>
      <c r="J26" s="129" cm="1">
        <f t="array" ref="J26">_xlfn.XLOOKUP(J$1,'PY1 Data(H)'!$A$1:$CZ$1,_xlfn.XLOOKUP($A26,'PY1 Data(H)'!$A$1:$A$122,'PY1 Data(H)'!$A$1:$CZ$122))</f>
        <v>0</v>
      </c>
    </row>
    <row r="27" spans="1:10" x14ac:dyDescent="0.3">
      <c r="A27">
        <v>341</v>
      </c>
      <c r="D27" s="129" cm="1">
        <f t="array" ref="D27">_xlfn.XLOOKUP(D$1,'PY1 Data(H)'!$A$1:$CZ$1,_xlfn.XLOOKUP($A27,'PY1 Data(H)'!$A$1:$A$122,'PY1 Data(H)'!$A$1:$CZ$122))</f>
        <v>107801</v>
      </c>
      <c r="E27" s="129" cm="1">
        <f t="array" ref="E27">_xlfn.XLOOKUP(E$1,'PY1 Data(H)'!$A$1:$CZ$1,_xlfn.XLOOKUP($A27,'PY1 Data(H)'!$A$1:$A$122,'PY1 Data(H)'!$A$1:$CZ$122))</f>
        <v>13309</v>
      </c>
      <c r="F27" s="129" cm="1">
        <f t="array" ref="F27">_xlfn.XLOOKUP(F$1,'PY1 Data(H)'!$A$1:$CZ$1,_xlfn.XLOOKUP($A27,'PY1 Data(H)'!$A$1:$A$122,'PY1 Data(H)'!$A$1:$CZ$122))</f>
        <v>57765</v>
      </c>
      <c r="G27" s="129" cm="1">
        <f t="array" ref="G27">_xlfn.XLOOKUP(G$1,'PY1 Data(H)'!$A$1:$CZ$1,_xlfn.XLOOKUP($A27,'PY1 Data(H)'!$A$1:$A$122,'PY1 Data(H)'!$A$1:$CZ$122))</f>
        <v>76546</v>
      </c>
      <c r="H27" s="129" cm="1">
        <f t="array" ref="H27">_xlfn.XLOOKUP(H$1,'PY1 Data(H)'!$A$1:$CZ$1,_xlfn.XLOOKUP($A27,'PY1 Data(H)'!$A$1:$A$122,'PY1 Data(H)'!$A$1:$CZ$122))</f>
        <v>1625618</v>
      </c>
      <c r="I27" s="129" cm="1">
        <f t="array" ref="I27">_xlfn.XLOOKUP(I$1,'PY1 Data(H)'!$A$1:$CZ$1,_xlfn.XLOOKUP($A27,'PY1 Data(H)'!$A$1:$A$122,'PY1 Data(H)'!$A$1:$CZ$122))</f>
        <v>1035442</v>
      </c>
      <c r="J27" s="129" cm="1">
        <f t="array" ref="J27">_xlfn.XLOOKUP(J$1,'PY1 Data(H)'!$A$1:$CZ$1,_xlfn.XLOOKUP($A27,'PY1 Data(H)'!$A$1:$A$122,'PY1 Data(H)'!$A$1:$CZ$122))</f>
        <v>2705</v>
      </c>
    </row>
    <row r="28" spans="1:10" x14ac:dyDescent="0.3">
      <c r="A28">
        <v>386</v>
      </c>
      <c r="D28" s="129" cm="1">
        <f t="array" ref="D28">_xlfn.XLOOKUP(D$1,'PY1 Data(H)'!$A$1:$CZ$1,_xlfn.XLOOKUP($A28,'PY1 Data(H)'!$A$1:$A$122,'PY1 Data(H)'!$A$1:$CZ$122))</f>
        <v>0</v>
      </c>
      <c r="E28" s="129" cm="1">
        <f t="array" ref="E28">_xlfn.XLOOKUP(E$1,'PY1 Data(H)'!$A$1:$CZ$1,_xlfn.XLOOKUP($A28,'PY1 Data(H)'!$A$1:$A$122,'PY1 Data(H)'!$A$1:$CZ$122))</f>
        <v>0</v>
      </c>
      <c r="F28" s="129" cm="1">
        <f t="array" ref="F28">_xlfn.XLOOKUP(F$1,'PY1 Data(H)'!$A$1:$CZ$1,_xlfn.XLOOKUP($A28,'PY1 Data(H)'!$A$1:$A$122,'PY1 Data(H)'!$A$1:$CZ$122))</f>
        <v>0</v>
      </c>
      <c r="G28" s="129" cm="1">
        <f t="array" ref="G28">_xlfn.XLOOKUP(G$1,'PY1 Data(H)'!$A$1:$CZ$1,_xlfn.XLOOKUP($A28,'PY1 Data(H)'!$A$1:$A$122,'PY1 Data(H)'!$A$1:$CZ$122))</f>
        <v>0</v>
      </c>
      <c r="H28" s="129" cm="1">
        <f t="array" ref="H28">_xlfn.XLOOKUP(H$1,'PY1 Data(H)'!$A$1:$CZ$1,_xlfn.XLOOKUP($A28,'PY1 Data(H)'!$A$1:$A$122,'PY1 Data(H)'!$A$1:$CZ$122))</f>
        <v>0</v>
      </c>
      <c r="I28" s="129" cm="1">
        <f t="array" ref="I28">_xlfn.XLOOKUP(I$1,'PY1 Data(H)'!$A$1:$CZ$1,_xlfn.XLOOKUP($A28,'PY1 Data(H)'!$A$1:$A$122,'PY1 Data(H)'!$A$1:$CZ$122))</f>
        <v>0</v>
      </c>
      <c r="J28" s="129" cm="1">
        <f t="array" ref="J28">_xlfn.XLOOKUP(J$1,'PY1 Data(H)'!$A$1:$CZ$1,_xlfn.XLOOKUP($A28,'PY1 Data(H)'!$A$1:$A$122,'PY1 Data(H)'!$A$1:$CZ$122))</f>
        <v>0</v>
      </c>
    </row>
    <row r="29" spans="1:10" x14ac:dyDescent="0.3">
      <c r="A29">
        <v>387</v>
      </c>
      <c r="D29" s="129" cm="1">
        <f t="array" ref="D29">_xlfn.XLOOKUP(D$1,'PY1 Data(H)'!$A$1:$CZ$1,_xlfn.XLOOKUP($A29,'PY1 Data(H)'!$A$1:$A$122,'PY1 Data(H)'!$A$1:$CZ$122))</f>
        <v>0</v>
      </c>
      <c r="E29" s="129" cm="1">
        <f t="array" ref="E29">_xlfn.XLOOKUP(E$1,'PY1 Data(H)'!$A$1:$CZ$1,_xlfn.XLOOKUP($A29,'PY1 Data(H)'!$A$1:$A$122,'PY1 Data(H)'!$A$1:$CZ$122))</f>
        <v>0</v>
      </c>
      <c r="F29" s="129" cm="1">
        <f t="array" ref="F29">_xlfn.XLOOKUP(F$1,'PY1 Data(H)'!$A$1:$CZ$1,_xlfn.XLOOKUP($A29,'PY1 Data(H)'!$A$1:$A$122,'PY1 Data(H)'!$A$1:$CZ$122))</f>
        <v>0</v>
      </c>
      <c r="G29" s="129" cm="1">
        <f t="array" ref="G29">_xlfn.XLOOKUP(G$1,'PY1 Data(H)'!$A$1:$CZ$1,_xlfn.XLOOKUP($A29,'PY1 Data(H)'!$A$1:$A$122,'PY1 Data(H)'!$A$1:$CZ$122))</f>
        <v>0</v>
      </c>
      <c r="H29" s="129" cm="1">
        <f t="array" ref="H29">_xlfn.XLOOKUP(H$1,'PY1 Data(H)'!$A$1:$CZ$1,_xlfn.XLOOKUP($A29,'PY1 Data(H)'!$A$1:$A$122,'PY1 Data(H)'!$A$1:$CZ$122))</f>
        <v>0</v>
      </c>
      <c r="I29" s="129" cm="1">
        <f t="array" ref="I29">_xlfn.XLOOKUP(I$1,'PY1 Data(H)'!$A$1:$CZ$1,_xlfn.XLOOKUP($A29,'PY1 Data(H)'!$A$1:$A$122,'PY1 Data(H)'!$A$1:$CZ$122))</f>
        <v>0</v>
      </c>
      <c r="J29" s="129" cm="1">
        <f t="array" ref="J29">_xlfn.XLOOKUP(J$1,'PY1 Data(H)'!$A$1:$CZ$1,_xlfn.XLOOKUP($A29,'PY1 Data(H)'!$A$1:$A$122,'PY1 Data(H)'!$A$1:$CZ$122))</f>
        <v>0</v>
      </c>
    </row>
    <row r="30" spans="1:10" x14ac:dyDescent="0.3">
      <c r="A30">
        <v>389</v>
      </c>
      <c r="D30" s="129" cm="1">
        <f t="array" ref="D30">_xlfn.XLOOKUP(D$1,'PY1 Data(H)'!$A$1:$CZ$1,_xlfn.XLOOKUP($A30,'PY1 Data(H)'!$A$1:$A$122,'PY1 Data(H)'!$A$1:$CZ$122))</f>
        <v>141432</v>
      </c>
      <c r="E30" s="129" cm="1">
        <f t="array" ref="E30">_xlfn.XLOOKUP(E$1,'PY1 Data(H)'!$A$1:$CZ$1,_xlfn.XLOOKUP($A30,'PY1 Data(H)'!$A$1:$A$122,'PY1 Data(H)'!$A$1:$CZ$122))</f>
        <v>0</v>
      </c>
      <c r="F30" s="129" cm="1">
        <f t="array" ref="F30">_xlfn.XLOOKUP(F$1,'PY1 Data(H)'!$A$1:$CZ$1,_xlfn.XLOOKUP($A30,'PY1 Data(H)'!$A$1:$A$122,'PY1 Data(H)'!$A$1:$CZ$122))</f>
        <v>0</v>
      </c>
      <c r="G30" s="129" cm="1">
        <f t="array" ref="G30">_xlfn.XLOOKUP(G$1,'PY1 Data(H)'!$A$1:$CZ$1,_xlfn.XLOOKUP($A30,'PY1 Data(H)'!$A$1:$A$122,'PY1 Data(H)'!$A$1:$CZ$122))</f>
        <v>0</v>
      </c>
      <c r="H30" s="129" cm="1">
        <f t="array" ref="H30">_xlfn.XLOOKUP(H$1,'PY1 Data(H)'!$A$1:$CZ$1,_xlfn.XLOOKUP($A30,'PY1 Data(H)'!$A$1:$A$122,'PY1 Data(H)'!$A$1:$CZ$122))</f>
        <v>0</v>
      </c>
      <c r="I30" s="129" cm="1">
        <f t="array" ref="I30">_xlfn.XLOOKUP(I$1,'PY1 Data(H)'!$A$1:$CZ$1,_xlfn.XLOOKUP($A30,'PY1 Data(H)'!$A$1:$A$122,'PY1 Data(H)'!$A$1:$CZ$122))</f>
        <v>0</v>
      </c>
      <c r="J30" s="129" cm="1">
        <f t="array" ref="J30">_xlfn.XLOOKUP(J$1,'PY1 Data(H)'!$A$1:$CZ$1,_xlfn.XLOOKUP($A30,'PY1 Data(H)'!$A$1:$A$122,'PY1 Data(H)'!$A$1:$CZ$122))</f>
        <v>-36162</v>
      </c>
    </row>
    <row r="31" spans="1:10" x14ac:dyDescent="0.3">
      <c r="A31">
        <v>255</v>
      </c>
      <c r="D31" s="129" cm="1">
        <f t="array" ref="D31">_xlfn.XLOOKUP(D$1,'PY1 Data(H)'!$A$1:$CZ$1,_xlfn.XLOOKUP($A31,'PY1 Data(H)'!$A$1:$A$122,'PY1 Data(H)'!$A$1:$CZ$122))</f>
        <v>4410369</v>
      </c>
      <c r="E31" s="129" cm="1">
        <f t="array" ref="E31">_xlfn.XLOOKUP(E$1,'PY1 Data(H)'!$A$1:$CZ$1,_xlfn.XLOOKUP($A31,'PY1 Data(H)'!$A$1:$A$122,'PY1 Data(H)'!$A$1:$CZ$122))</f>
        <v>810943</v>
      </c>
      <c r="F31" s="129" cm="1">
        <f t="array" ref="F31">_xlfn.XLOOKUP(F$1,'PY1 Data(H)'!$A$1:$CZ$1,_xlfn.XLOOKUP($A31,'PY1 Data(H)'!$A$1:$A$122,'PY1 Data(H)'!$A$1:$CZ$122))</f>
        <v>1030629</v>
      </c>
      <c r="G31" s="129" cm="1">
        <f t="array" ref="G31">_xlfn.XLOOKUP(G$1,'PY1 Data(H)'!$A$1:$CZ$1,_xlfn.XLOOKUP($A31,'PY1 Data(H)'!$A$1:$A$122,'PY1 Data(H)'!$A$1:$CZ$122))</f>
        <v>715897</v>
      </c>
      <c r="H31" s="129" cm="1">
        <f t="array" ref="H31">_xlfn.XLOOKUP(H$1,'PY1 Data(H)'!$A$1:$CZ$1,_xlfn.XLOOKUP($A31,'PY1 Data(H)'!$A$1:$A$122,'PY1 Data(H)'!$A$1:$CZ$122))</f>
        <v>1718609</v>
      </c>
      <c r="I31" s="129" cm="1">
        <f t="array" ref="I31">_xlfn.XLOOKUP(I$1,'PY1 Data(H)'!$A$1:$CZ$1,_xlfn.XLOOKUP($A31,'PY1 Data(H)'!$A$1:$A$122,'PY1 Data(H)'!$A$1:$CZ$122))</f>
        <v>263361</v>
      </c>
      <c r="J31" s="129" cm="1">
        <f t="array" ref="J31">_xlfn.XLOOKUP(J$1,'PY1 Data(H)'!$A$1:$CZ$1,_xlfn.XLOOKUP($A31,'PY1 Data(H)'!$A$1:$A$122,'PY1 Data(H)'!$A$1:$CZ$122))</f>
        <v>532330</v>
      </c>
    </row>
    <row r="32" spans="1:10" x14ac:dyDescent="0.3">
      <c r="A32">
        <v>376</v>
      </c>
      <c r="D32" s="129" cm="1">
        <f t="array" ref="D32">_xlfn.XLOOKUP(D$1,'PY1 Data(H)'!$A$1:$CZ$1,_xlfn.XLOOKUP($A32,'PY1 Data(H)'!$A$1:$A$122,'PY1 Data(H)'!$A$1:$CZ$122))</f>
        <v>0</v>
      </c>
      <c r="E32" s="129" cm="1">
        <f t="array" ref="E32">_xlfn.XLOOKUP(E$1,'PY1 Data(H)'!$A$1:$CZ$1,_xlfn.XLOOKUP($A32,'PY1 Data(H)'!$A$1:$A$122,'PY1 Data(H)'!$A$1:$CZ$122))</f>
        <v>0</v>
      </c>
      <c r="F32" s="129" cm="1">
        <f t="array" ref="F32">_xlfn.XLOOKUP(F$1,'PY1 Data(H)'!$A$1:$CZ$1,_xlfn.XLOOKUP($A32,'PY1 Data(H)'!$A$1:$A$122,'PY1 Data(H)'!$A$1:$CZ$122))</f>
        <v>0</v>
      </c>
      <c r="G32" s="129" cm="1">
        <f t="array" ref="G32">_xlfn.XLOOKUP(G$1,'PY1 Data(H)'!$A$1:$CZ$1,_xlfn.XLOOKUP($A32,'PY1 Data(H)'!$A$1:$A$122,'PY1 Data(H)'!$A$1:$CZ$122))</f>
        <v>0</v>
      </c>
      <c r="H32" s="129" cm="1">
        <f t="array" ref="H32">_xlfn.XLOOKUP(H$1,'PY1 Data(H)'!$A$1:$CZ$1,_xlfn.XLOOKUP($A32,'PY1 Data(H)'!$A$1:$A$122,'PY1 Data(H)'!$A$1:$CZ$122))</f>
        <v>0</v>
      </c>
      <c r="I32" s="129" cm="1">
        <f t="array" ref="I32">_xlfn.XLOOKUP(I$1,'PY1 Data(H)'!$A$1:$CZ$1,_xlfn.XLOOKUP($A32,'PY1 Data(H)'!$A$1:$A$122,'PY1 Data(H)'!$A$1:$CZ$122))</f>
        <v>0</v>
      </c>
      <c r="J32" s="129" cm="1">
        <f t="array" ref="J32">_xlfn.XLOOKUP(J$1,'PY1 Data(H)'!$A$1:$CZ$1,_xlfn.XLOOKUP($A32,'PY1 Data(H)'!$A$1:$A$122,'PY1 Data(H)'!$A$1:$CZ$122))</f>
        <v>0</v>
      </c>
    </row>
    <row r="33" spans="1:10" x14ac:dyDescent="0.3">
      <c r="D33" s="129" cm="1">
        <f t="array" ref="D33">_xlfn.XLOOKUP(D$1,'PY1 Data(H)'!$A$1:$CZ$1,_xlfn.XLOOKUP($A33,'PY1 Data(H)'!$A$1:$A$122,'PY1 Data(H)'!$A$1:$CZ$122))</f>
        <v>0</v>
      </c>
      <c r="E33" s="129" cm="1">
        <f t="array" ref="E33">_xlfn.XLOOKUP(E$1,'PY1 Data(H)'!$A$1:$CZ$1,_xlfn.XLOOKUP($A33,'PY1 Data(H)'!$A$1:$A$122,'PY1 Data(H)'!$A$1:$CZ$122))</f>
        <v>0</v>
      </c>
      <c r="F33" s="129" cm="1">
        <f t="array" ref="F33">_xlfn.XLOOKUP(F$1,'PY1 Data(H)'!$A$1:$CZ$1,_xlfn.XLOOKUP($A33,'PY1 Data(H)'!$A$1:$A$122,'PY1 Data(H)'!$A$1:$CZ$122))</f>
        <v>0</v>
      </c>
      <c r="G33" s="129" cm="1">
        <f t="array" ref="G33">_xlfn.XLOOKUP(G$1,'PY1 Data(H)'!$A$1:$CZ$1,_xlfn.XLOOKUP($A33,'PY1 Data(H)'!$A$1:$A$122,'PY1 Data(H)'!$A$1:$CZ$122))</f>
        <v>0</v>
      </c>
      <c r="H33" s="129" cm="1">
        <f t="array" ref="H33">_xlfn.XLOOKUP(H$1,'PY1 Data(H)'!$A$1:$CZ$1,_xlfn.XLOOKUP($A33,'PY1 Data(H)'!$A$1:$A$122,'PY1 Data(H)'!$A$1:$CZ$122))</f>
        <v>0</v>
      </c>
      <c r="I33" s="129" cm="1">
        <f t="array" ref="I33">_xlfn.XLOOKUP(I$1,'PY1 Data(H)'!$A$1:$CZ$1,_xlfn.XLOOKUP($A33,'PY1 Data(H)'!$A$1:$A$122,'PY1 Data(H)'!$A$1:$CZ$122))</f>
        <v>0</v>
      </c>
      <c r="J33" s="129" cm="1">
        <f t="array" ref="J33">_xlfn.XLOOKUP(J$1,'PY1 Data(H)'!$A$1:$CZ$1,_xlfn.XLOOKUP($A33,'PY1 Data(H)'!$A$1:$A$122,'PY1 Data(H)'!$A$1:$CZ$122))</f>
        <v>0</v>
      </c>
    </row>
    <row r="34" spans="1:10" x14ac:dyDescent="0.3">
      <c r="A34">
        <v>592</v>
      </c>
      <c r="D34" s="129" cm="1">
        <f t="array" ref="D34">_xlfn.XLOOKUP(D$1,'PY1 Data(H)'!$A$1:$CZ$1,_xlfn.XLOOKUP($A34,'PY1 Data(H)'!$A$1:$A$122,'PY1 Data(H)'!$A$1:$CZ$122))</f>
        <v>0</v>
      </c>
      <c r="E34" s="129" cm="1">
        <f t="array" ref="E34">_xlfn.XLOOKUP(E$1,'PY1 Data(H)'!$A$1:$CZ$1,_xlfn.XLOOKUP($A34,'PY1 Data(H)'!$A$1:$A$122,'PY1 Data(H)'!$A$1:$CZ$122))</f>
        <v>0</v>
      </c>
      <c r="F34" s="129" cm="1">
        <f t="array" ref="F34">_xlfn.XLOOKUP(F$1,'PY1 Data(H)'!$A$1:$CZ$1,_xlfn.XLOOKUP($A34,'PY1 Data(H)'!$A$1:$A$122,'PY1 Data(H)'!$A$1:$CZ$122))</f>
        <v>0</v>
      </c>
      <c r="G34" s="129" cm="1">
        <f t="array" ref="G34">_xlfn.XLOOKUP(G$1,'PY1 Data(H)'!$A$1:$CZ$1,_xlfn.XLOOKUP($A34,'PY1 Data(H)'!$A$1:$A$122,'PY1 Data(H)'!$A$1:$CZ$122))</f>
        <v>0</v>
      </c>
      <c r="H34" s="129" cm="1">
        <f t="array" ref="H34">_xlfn.XLOOKUP(H$1,'PY1 Data(H)'!$A$1:$CZ$1,_xlfn.XLOOKUP($A34,'PY1 Data(H)'!$A$1:$A$122,'PY1 Data(H)'!$A$1:$CZ$122))</f>
        <v>0</v>
      </c>
      <c r="I34" s="129" cm="1">
        <f t="array" ref="I34">_xlfn.XLOOKUP(I$1,'PY1 Data(H)'!$A$1:$CZ$1,_xlfn.XLOOKUP($A34,'PY1 Data(H)'!$A$1:$A$122,'PY1 Data(H)'!$A$1:$CZ$122))</f>
        <v>0</v>
      </c>
      <c r="J34" s="129" cm="1">
        <f t="array" ref="J34">_xlfn.XLOOKUP(J$1,'PY1 Data(H)'!$A$1:$CZ$1,_xlfn.XLOOKUP($A34,'PY1 Data(H)'!$A$1:$A$122,'PY1 Data(H)'!$A$1:$CZ$122))</f>
        <v>0</v>
      </c>
    </row>
    <row r="35" spans="1:10" x14ac:dyDescent="0.3">
      <c r="A35">
        <v>591</v>
      </c>
      <c r="D35" s="129" cm="1">
        <f t="array" ref="D35">_xlfn.XLOOKUP(D$1,'PY1 Data(H)'!$A$1:$CZ$1,_xlfn.XLOOKUP($A35,'PY1 Data(H)'!$A$1:$A$122,'PY1 Data(H)'!$A$1:$CZ$122))</f>
        <v>0</v>
      </c>
      <c r="E35" s="129" cm="1">
        <f t="array" ref="E35">_xlfn.XLOOKUP(E$1,'PY1 Data(H)'!$A$1:$CZ$1,_xlfn.XLOOKUP($A35,'PY1 Data(H)'!$A$1:$A$122,'PY1 Data(H)'!$A$1:$CZ$122))</f>
        <v>0</v>
      </c>
      <c r="F35" s="129" cm="1">
        <f t="array" ref="F35">_xlfn.XLOOKUP(F$1,'PY1 Data(H)'!$A$1:$CZ$1,_xlfn.XLOOKUP($A35,'PY1 Data(H)'!$A$1:$A$122,'PY1 Data(H)'!$A$1:$CZ$122))</f>
        <v>0</v>
      </c>
      <c r="G35" s="129" cm="1">
        <f t="array" ref="G35">_xlfn.XLOOKUP(G$1,'PY1 Data(H)'!$A$1:$CZ$1,_xlfn.XLOOKUP($A35,'PY1 Data(H)'!$A$1:$A$122,'PY1 Data(H)'!$A$1:$CZ$122))</f>
        <v>0</v>
      </c>
      <c r="H35" s="129" cm="1">
        <f t="array" ref="H35">_xlfn.XLOOKUP(H$1,'PY1 Data(H)'!$A$1:$CZ$1,_xlfn.XLOOKUP($A35,'PY1 Data(H)'!$A$1:$A$122,'PY1 Data(H)'!$A$1:$CZ$122))</f>
        <v>0</v>
      </c>
      <c r="I35" s="129" cm="1">
        <f t="array" ref="I35">_xlfn.XLOOKUP(I$1,'PY1 Data(H)'!$A$1:$CZ$1,_xlfn.XLOOKUP($A35,'PY1 Data(H)'!$A$1:$A$122,'PY1 Data(H)'!$A$1:$CZ$122))</f>
        <v>0</v>
      </c>
      <c r="J35" s="129" cm="1">
        <f t="array" ref="J35">_xlfn.XLOOKUP(J$1,'PY1 Data(H)'!$A$1:$CZ$1,_xlfn.XLOOKUP($A35,'PY1 Data(H)'!$A$1:$A$122,'PY1 Data(H)'!$A$1:$CZ$122))</f>
        <v>0</v>
      </c>
    </row>
    <row r="36" spans="1:10" x14ac:dyDescent="0.3">
      <c r="D36" s="129" cm="1">
        <f t="array" ref="D36">_xlfn.XLOOKUP(D$1,'PY1 Data(H)'!$A$1:$CZ$1,_xlfn.XLOOKUP($A36,'PY1 Data(H)'!$A$1:$A$122,'PY1 Data(H)'!$A$1:$CZ$122))</f>
        <v>0</v>
      </c>
      <c r="E36" s="129" cm="1">
        <f t="array" ref="E36">_xlfn.XLOOKUP(E$1,'PY1 Data(H)'!$A$1:$CZ$1,_xlfn.XLOOKUP($A36,'PY1 Data(H)'!$A$1:$A$122,'PY1 Data(H)'!$A$1:$CZ$122))</f>
        <v>0</v>
      </c>
      <c r="F36" s="129" cm="1">
        <f t="array" ref="F36">_xlfn.XLOOKUP(F$1,'PY1 Data(H)'!$A$1:$CZ$1,_xlfn.XLOOKUP($A36,'PY1 Data(H)'!$A$1:$A$122,'PY1 Data(H)'!$A$1:$CZ$122))</f>
        <v>0</v>
      </c>
      <c r="G36" s="129" cm="1">
        <f t="array" ref="G36">_xlfn.XLOOKUP(G$1,'PY1 Data(H)'!$A$1:$CZ$1,_xlfn.XLOOKUP($A36,'PY1 Data(H)'!$A$1:$A$122,'PY1 Data(H)'!$A$1:$CZ$122))</f>
        <v>0</v>
      </c>
      <c r="H36" s="129" cm="1">
        <f t="array" ref="H36">_xlfn.XLOOKUP(H$1,'PY1 Data(H)'!$A$1:$CZ$1,_xlfn.XLOOKUP($A36,'PY1 Data(H)'!$A$1:$A$122,'PY1 Data(H)'!$A$1:$CZ$122))</f>
        <v>0</v>
      </c>
      <c r="I36" s="129" cm="1">
        <f t="array" ref="I36">_xlfn.XLOOKUP(I$1,'PY1 Data(H)'!$A$1:$CZ$1,_xlfn.XLOOKUP($A36,'PY1 Data(H)'!$A$1:$A$122,'PY1 Data(H)'!$A$1:$CZ$122))</f>
        <v>0</v>
      </c>
      <c r="J36" s="129" cm="1">
        <f t="array" ref="J36">_xlfn.XLOOKUP(J$1,'PY1 Data(H)'!$A$1:$CZ$1,_xlfn.XLOOKUP($A36,'PY1 Data(H)'!$A$1:$A$122,'PY1 Data(H)'!$A$1:$CZ$122))</f>
        <v>0</v>
      </c>
    </row>
    <row r="37" spans="1:10" x14ac:dyDescent="0.3">
      <c r="A37">
        <v>506</v>
      </c>
      <c r="D37" s="129" cm="1">
        <f t="array" ref="D37">_xlfn.XLOOKUP(D$1,'PY1 Data(H)'!$A$1:$CZ$1,_xlfn.XLOOKUP($A37,'PY1 Data(H)'!$A$1:$A$122,'PY1 Data(H)'!$A$1:$CZ$122))</f>
        <v>9232096</v>
      </c>
      <c r="E37" s="129" cm="1">
        <f t="array" ref="E37">_xlfn.XLOOKUP(E$1,'PY1 Data(H)'!$A$1:$CZ$1,_xlfn.XLOOKUP($A37,'PY1 Data(H)'!$A$1:$A$122,'PY1 Data(H)'!$A$1:$CZ$122))</f>
        <v>8535074</v>
      </c>
      <c r="F37" s="129" cm="1">
        <f t="array" ref="F37">_xlfn.XLOOKUP(F$1,'PY1 Data(H)'!$A$1:$CZ$1,_xlfn.XLOOKUP($A37,'PY1 Data(H)'!$A$1:$A$122,'PY1 Data(H)'!$A$1:$CZ$122))</f>
        <v>7961363</v>
      </c>
      <c r="G37" s="129" cm="1">
        <f t="array" ref="G37">_xlfn.XLOOKUP(G$1,'PY1 Data(H)'!$A$1:$CZ$1,_xlfn.XLOOKUP($A37,'PY1 Data(H)'!$A$1:$A$122,'PY1 Data(H)'!$A$1:$CZ$122))</f>
        <v>1876198</v>
      </c>
      <c r="H37" s="129" cm="1">
        <f t="array" ref="H37">_xlfn.XLOOKUP(H$1,'PY1 Data(H)'!$A$1:$CZ$1,_xlfn.XLOOKUP($A37,'PY1 Data(H)'!$A$1:$A$122,'PY1 Data(H)'!$A$1:$CZ$122))</f>
        <v>2656586</v>
      </c>
      <c r="I37" s="129" cm="1">
        <f t="array" ref="I37">_xlfn.XLOOKUP(I$1,'PY1 Data(H)'!$A$1:$CZ$1,_xlfn.XLOOKUP($A37,'PY1 Data(H)'!$A$1:$A$122,'PY1 Data(H)'!$A$1:$CZ$122))</f>
        <v>2340276</v>
      </c>
      <c r="J37" s="129" cm="1">
        <f t="array" ref="J37">_xlfn.XLOOKUP(J$1,'PY1 Data(H)'!$A$1:$CZ$1,_xlfn.XLOOKUP($A37,'PY1 Data(H)'!$A$1:$A$122,'PY1 Data(H)'!$A$1:$CZ$122))</f>
        <v>6343228</v>
      </c>
    </row>
    <row r="38" spans="1:10" x14ac:dyDescent="0.3">
      <c r="A38">
        <v>536</v>
      </c>
      <c r="D38" s="129" cm="1">
        <f t="array" ref="D38">_xlfn.XLOOKUP(D$1,'PY1 Data(H)'!$A$1:$CZ$1,_xlfn.XLOOKUP($A38,'PY1 Data(H)'!$A$1:$A$122,'PY1 Data(H)'!$A$1:$CZ$122))</f>
        <v>377592</v>
      </c>
      <c r="E38" s="129" cm="1">
        <f t="array" ref="E38">_xlfn.XLOOKUP(E$1,'PY1 Data(H)'!$A$1:$CZ$1,_xlfn.XLOOKUP($A38,'PY1 Data(H)'!$A$1:$A$122,'PY1 Data(H)'!$A$1:$CZ$122))</f>
        <v>0</v>
      </c>
      <c r="F38" s="129" cm="1">
        <f t="array" ref="F38">_xlfn.XLOOKUP(F$1,'PY1 Data(H)'!$A$1:$CZ$1,_xlfn.XLOOKUP($A38,'PY1 Data(H)'!$A$1:$A$122,'PY1 Data(H)'!$A$1:$CZ$122))</f>
        <v>433264</v>
      </c>
      <c r="G38" s="129" cm="1">
        <f t="array" ref="G38">_xlfn.XLOOKUP(G$1,'PY1 Data(H)'!$A$1:$CZ$1,_xlfn.XLOOKUP($A38,'PY1 Data(H)'!$A$1:$A$122,'PY1 Data(H)'!$A$1:$CZ$122))</f>
        <v>0</v>
      </c>
      <c r="H38" s="129" cm="1">
        <f t="array" ref="H38">_xlfn.XLOOKUP(H$1,'PY1 Data(H)'!$A$1:$CZ$1,_xlfn.XLOOKUP($A38,'PY1 Data(H)'!$A$1:$A$122,'PY1 Data(H)'!$A$1:$CZ$122))</f>
        <v>668079</v>
      </c>
      <c r="I38" s="129" cm="1">
        <f t="array" ref="I38">_xlfn.XLOOKUP(I$1,'PY1 Data(H)'!$A$1:$CZ$1,_xlfn.XLOOKUP($A38,'PY1 Data(H)'!$A$1:$A$122,'PY1 Data(H)'!$A$1:$CZ$122))</f>
        <v>0</v>
      </c>
      <c r="J38" s="129" cm="1">
        <f t="array" ref="J38">_xlfn.XLOOKUP(J$1,'PY1 Data(H)'!$A$1:$CZ$1,_xlfn.XLOOKUP($A38,'PY1 Data(H)'!$A$1:$A$122,'PY1 Data(H)'!$A$1:$CZ$122))</f>
        <v>0</v>
      </c>
    </row>
    <row r="39" spans="1:10" x14ac:dyDescent="0.3">
      <c r="A39">
        <v>586</v>
      </c>
      <c r="D39" s="129" cm="1">
        <f t="array" ref="D39">_xlfn.XLOOKUP(D$1,'PY1 Data(H)'!$A$1:$CZ$1,_xlfn.XLOOKUP($A39,'PY1 Data(H)'!$A$1:$A$122,'PY1 Data(H)'!$A$1:$CZ$122))</f>
        <v>0</v>
      </c>
      <c r="E39" s="129" cm="1">
        <f t="array" ref="E39">_xlfn.XLOOKUP(E$1,'PY1 Data(H)'!$A$1:$CZ$1,_xlfn.XLOOKUP($A39,'PY1 Data(H)'!$A$1:$A$122,'PY1 Data(H)'!$A$1:$CZ$122))</f>
        <v>0</v>
      </c>
      <c r="F39" s="129" cm="1">
        <f t="array" ref="F39">_xlfn.XLOOKUP(F$1,'PY1 Data(H)'!$A$1:$CZ$1,_xlfn.XLOOKUP($A39,'PY1 Data(H)'!$A$1:$A$122,'PY1 Data(H)'!$A$1:$CZ$122))</f>
        <v>0</v>
      </c>
      <c r="G39" s="129" cm="1">
        <f t="array" ref="G39">_xlfn.XLOOKUP(G$1,'PY1 Data(H)'!$A$1:$CZ$1,_xlfn.XLOOKUP($A39,'PY1 Data(H)'!$A$1:$A$122,'PY1 Data(H)'!$A$1:$CZ$122))</f>
        <v>0</v>
      </c>
      <c r="H39" s="129" cm="1">
        <f t="array" ref="H39">_xlfn.XLOOKUP(H$1,'PY1 Data(H)'!$A$1:$CZ$1,_xlfn.XLOOKUP($A39,'PY1 Data(H)'!$A$1:$A$122,'PY1 Data(H)'!$A$1:$CZ$122))</f>
        <v>0</v>
      </c>
      <c r="I39" s="129" cm="1">
        <f t="array" ref="I39">_xlfn.XLOOKUP(I$1,'PY1 Data(H)'!$A$1:$CZ$1,_xlfn.XLOOKUP($A39,'PY1 Data(H)'!$A$1:$A$122,'PY1 Data(H)'!$A$1:$CZ$122))</f>
        <v>0</v>
      </c>
      <c r="J39" s="129" cm="1">
        <f t="array" ref="J39">_xlfn.XLOOKUP(J$1,'PY1 Data(H)'!$A$1:$CZ$1,_xlfn.XLOOKUP($A39,'PY1 Data(H)'!$A$1:$A$122,'PY1 Data(H)'!$A$1:$CZ$122))</f>
        <v>0</v>
      </c>
    </row>
    <row r="40" spans="1:10" x14ac:dyDescent="0.3">
      <c r="A40">
        <v>379</v>
      </c>
      <c r="D40" s="129" cm="1">
        <f t="array" ref="D40">_xlfn.XLOOKUP(D$1,'PY1 Data(H)'!$A$1:$CZ$1,_xlfn.XLOOKUP($A40,'PY1 Data(H)'!$A$1:$A$122,'PY1 Data(H)'!$A$1:$CZ$122))</f>
        <v>11429148</v>
      </c>
      <c r="E40" s="129" cm="1">
        <f t="array" ref="E40">_xlfn.XLOOKUP(E$1,'PY1 Data(H)'!$A$1:$CZ$1,_xlfn.XLOOKUP($A40,'PY1 Data(H)'!$A$1:$A$122,'PY1 Data(H)'!$A$1:$CZ$122))</f>
        <v>10232087</v>
      </c>
      <c r="F40" s="129" cm="1">
        <f t="array" ref="F40">_xlfn.XLOOKUP(F$1,'PY1 Data(H)'!$A$1:$CZ$1,_xlfn.XLOOKUP($A40,'PY1 Data(H)'!$A$1:$A$122,'PY1 Data(H)'!$A$1:$CZ$122))</f>
        <v>13852913</v>
      </c>
      <c r="G40" s="129" cm="1">
        <f t="array" ref="G40">_xlfn.XLOOKUP(G$1,'PY1 Data(H)'!$A$1:$CZ$1,_xlfn.XLOOKUP($A40,'PY1 Data(H)'!$A$1:$A$122,'PY1 Data(H)'!$A$1:$CZ$122))</f>
        <v>2551990</v>
      </c>
      <c r="H40" s="129" cm="1">
        <f t="array" ref="H40">_xlfn.XLOOKUP(H$1,'PY1 Data(H)'!$A$1:$CZ$1,_xlfn.XLOOKUP($A40,'PY1 Data(H)'!$A$1:$A$122,'PY1 Data(H)'!$A$1:$CZ$122))</f>
        <v>4812879</v>
      </c>
      <c r="I40" s="129" cm="1">
        <f t="array" ref="I40">_xlfn.XLOOKUP(I$1,'PY1 Data(H)'!$A$1:$CZ$1,_xlfn.XLOOKUP($A40,'PY1 Data(H)'!$A$1:$A$122,'PY1 Data(H)'!$A$1:$CZ$122))</f>
        <v>3415700</v>
      </c>
      <c r="J40" s="129" cm="1">
        <f t="array" ref="J40">_xlfn.XLOOKUP(J$1,'PY1 Data(H)'!$A$1:$CZ$1,_xlfn.XLOOKUP($A40,'PY1 Data(H)'!$A$1:$A$122,'PY1 Data(H)'!$A$1:$CZ$122))</f>
        <v>6426737</v>
      </c>
    </row>
    <row r="41" spans="1:10" x14ac:dyDescent="0.3">
      <c r="A41">
        <v>4</v>
      </c>
      <c r="D41" s="129" cm="1">
        <f t="array" ref="D41">_xlfn.XLOOKUP(D$1,'PY1 Data(H)'!$A$1:$CZ$1,_xlfn.XLOOKUP($A41,'PY1 Data(H)'!$A$1:$A$122,'PY1 Data(H)'!$A$1:$CZ$122))</f>
        <v>1056223</v>
      </c>
      <c r="E41" s="129" cm="1">
        <f t="array" ref="E41">_xlfn.XLOOKUP(E$1,'PY1 Data(H)'!$A$1:$CZ$1,_xlfn.XLOOKUP($A41,'PY1 Data(H)'!$A$1:$A$122,'PY1 Data(H)'!$A$1:$CZ$122))</f>
        <v>221238</v>
      </c>
      <c r="F41" s="129" cm="1">
        <f t="array" ref="F41">_xlfn.XLOOKUP(F$1,'PY1 Data(H)'!$A$1:$CZ$1,_xlfn.XLOOKUP($A41,'PY1 Data(H)'!$A$1:$A$122,'PY1 Data(H)'!$A$1:$CZ$122))</f>
        <v>1595731</v>
      </c>
      <c r="G41" s="129" cm="1">
        <f t="array" ref="G41">_xlfn.XLOOKUP(G$1,'PY1 Data(H)'!$A$1:$CZ$1,_xlfn.XLOOKUP($A41,'PY1 Data(H)'!$A$1:$A$122,'PY1 Data(H)'!$A$1:$CZ$122))</f>
        <v>218847</v>
      </c>
      <c r="H41" s="129" cm="1">
        <f t="array" ref="H41">_xlfn.XLOOKUP(H$1,'PY1 Data(H)'!$A$1:$CZ$1,_xlfn.XLOOKUP($A41,'PY1 Data(H)'!$A$1:$A$122,'PY1 Data(H)'!$A$1:$CZ$122))</f>
        <v>384370</v>
      </c>
      <c r="I41" s="129" cm="1">
        <f t="array" ref="I41">_xlfn.XLOOKUP(I$1,'PY1 Data(H)'!$A$1:$CZ$1,_xlfn.XLOOKUP($A41,'PY1 Data(H)'!$A$1:$A$122,'PY1 Data(H)'!$A$1:$CZ$122))</f>
        <v>649599</v>
      </c>
      <c r="J41" s="129" cm="1">
        <f t="array" ref="J41">_xlfn.XLOOKUP(J$1,'PY1 Data(H)'!$A$1:$CZ$1,_xlfn.XLOOKUP($A41,'PY1 Data(H)'!$A$1:$A$122,'PY1 Data(H)'!$A$1:$CZ$122))</f>
        <v>936882</v>
      </c>
    </row>
    <row r="42" spans="1:10" x14ac:dyDescent="0.3">
      <c r="A42">
        <v>5</v>
      </c>
      <c r="D42" s="129" cm="1">
        <f t="array" ref="D42">_xlfn.XLOOKUP(D$1,'PY1 Data(H)'!$A$1:$CZ$1,_xlfn.XLOOKUP($A42,'PY1 Data(H)'!$A$1:$A$122,'PY1 Data(H)'!$A$1:$CZ$122))</f>
        <v>0</v>
      </c>
      <c r="E42" s="129" cm="1">
        <f t="array" ref="E42">_xlfn.XLOOKUP(E$1,'PY1 Data(H)'!$A$1:$CZ$1,_xlfn.XLOOKUP($A42,'PY1 Data(H)'!$A$1:$A$122,'PY1 Data(H)'!$A$1:$CZ$122))</f>
        <v>0</v>
      </c>
      <c r="F42" s="129" cm="1">
        <f t="array" ref="F42">_xlfn.XLOOKUP(F$1,'PY1 Data(H)'!$A$1:$CZ$1,_xlfn.XLOOKUP($A42,'PY1 Data(H)'!$A$1:$A$122,'PY1 Data(H)'!$A$1:$CZ$122))</f>
        <v>0</v>
      </c>
      <c r="G42" s="129" cm="1">
        <f t="array" ref="G42">_xlfn.XLOOKUP(G$1,'PY1 Data(H)'!$A$1:$CZ$1,_xlfn.XLOOKUP($A42,'PY1 Data(H)'!$A$1:$A$122,'PY1 Data(H)'!$A$1:$CZ$122))</f>
        <v>42020</v>
      </c>
      <c r="H42" s="129" cm="1">
        <f t="array" ref="H42">_xlfn.XLOOKUP(H$1,'PY1 Data(H)'!$A$1:$CZ$1,_xlfn.XLOOKUP($A42,'PY1 Data(H)'!$A$1:$A$122,'PY1 Data(H)'!$A$1:$CZ$122))</f>
        <v>0</v>
      </c>
      <c r="I42" s="129" cm="1">
        <f t="array" ref="I42">_xlfn.XLOOKUP(I$1,'PY1 Data(H)'!$A$1:$CZ$1,_xlfn.XLOOKUP($A42,'PY1 Data(H)'!$A$1:$A$122,'PY1 Data(H)'!$A$1:$CZ$122))</f>
        <v>0</v>
      </c>
      <c r="J42" s="129" cm="1">
        <f t="array" ref="J42">_xlfn.XLOOKUP(J$1,'PY1 Data(H)'!$A$1:$CZ$1,_xlfn.XLOOKUP($A42,'PY1 Data(H)'!$A$1:$A$122,'PY1 Data(H)'!$A$1:$CZ$122))</f>
        <v>393876</v>
      </c>
    </row>
    <row r="43" spans="1:10" x14ac:dyDescent="0.3">
      <c r="A43">
        <v>380</v>
      </c>
      <c r="D43" s="129" cm="1">
        <f t="array" ref="D43">_xlfn.XLOOKUP(D$1,'PY1 Data(H)'!$A$1:$CZ$1,_xlfn.XLOOKUP($A43,'PY1 Data(H)'!$A$1:$A$122,'PY1 Data(H)'!$A$1:$CZ$122))</f>
        <v>1047877</v>
      </c>
      <c r="E43" s="129" cm="1">
        <f t="array" ref="E43">_xlfn.XLOOKUP(E$1,'PY1 Data(H)'!$A$1:$CZ$1,_xlfn.XLOOKUP($A43,'PY1 Data(H)'!$A$1:$A$122,'PY1 Data(H)'!$A$1:$CZ$122))</f>
        <v>353178</v>
      </c>
      <c r="F43" s="129" cm="1">
        <f t="array" ref="F43">_xlfn.XLOOKUP(F$1,'PY1 Data(H)'!$A$1:$CZ$1,_xlfn.XLOOKUP($A43,'PY1 Data(H)'!$A$1:$A$122,'PY1 Data(H)'!$A$1:$CZ$122))</f>
        <v>726426</v>
      </c>
      <c r="G43" s="129" cm="1">
        <f t="array" ref="G43">_xlfn.XLOOKUP(G$1,'PY1 Data(H)'!$A$1:$CZ$1,_xlfn.XLOOKUP($A43,'PY1 Data(H)'!$A$1:$A$122,'PY1 Data(H)'!$A$1:$CZ$122))</f>
        <v>0</v>
      </c>
      <c r="H43" s="129" cm="1">
        <f t="array" ref="H43">_xlfn.XLOOKUP(H$1,'PY1 Data(H)'!$A$1:$CZ$1,_xlfn.XLOOKUP($A43,'PY1 Data(H)'!$A$1:$A$122,'PY1 Data(H)'!$A$1:$CZ$122))</f>
        <v>210849</v>
      </c>
      <c r="I43" s="129" cm="1">
        <f t="array" ref="I43">_xlfn.XLOOKUP(I$1,'PY1 Data(H)'!$A$1:$CZ$1,_xlfn.XLOOKUP($A43,'PY1 Data(H)'!$A$1:$A$122,'PY1 Data(H)'!$A$1:$CZ$122))</f>
        <v>0</v>
      </c>
      <c r="J43" s="129" cm="1">
        <f t="array" ref="J43">_xlfn.XLOOKUP(J$1,'PY1 Data(H)'!$A$1:$CZ$1,_xlfn.XLOOKUP($A43,'PY1 Data(H)'!$A$1:$A$122,'PY1 Data(H)'!$A$1:$CZ$122))</f>
        <v>0</v>
      </c>
    </row>
    <row r="44" spans="1:10" x14ac:dyDescent="0.3">
      <c r="A44">
        <v>391</v>
      </c>
      <c r="D44" s="129" cm="1">
        <f t="array" ref="D44">_xlfn.XLOOKUP(D$1,'PY1 Data(H)'!$A$1:$CZ$1,_xlfn.XLOOKUP($A44,'PY1 Data(H)'!$A$1:$A$122,'PY1 Data(H)'!$A$1:$CZ$122))</f>
        <v>970871</v>
      </c>
      <c r="E44" s="129" cm="1">
        <f t="array" ref="E44">_xlfn.XLOOKUP(E$1,'PY1 Data(H)'!$A$1:$CZ$1,_xlfn.XLOOKUP($A44,'PY1 Data(H)'!$A$1:$A$122,'PY1 Data(H)'!$A$1:$CZ$122))</f>
        <v>1307692</v>
      </c>
      <c r="F44" s="129" cm="1">
        <f t="array" ref="F44">_xlfn.XLOOKUP(F$1,'PY1 Data(H)'!$A$1:$CZ$1,_xlfn.XLOOKUP($A44,'PY1 Data(H)'!$A$1:$A$122,'PY1 Data(H)'!$A$1:$CZ$122))</f>
        <v>3136129</v>
      </c>
      <c r="G44" s="129" cm="1">
        <f t="array" ref="G44">_xlfn.XLOOKUP(G$1,'PY1 Data(H)'!$A$1:$CZ$1,_xlfn.XLOOKUP($A44,'PY1 Data(H)'!$A$1:$A$122,'PY1 Data(H)'!$A$1:$CZ$122))</f>
        <v>619069</v>
      </c>
      <c r="H44" s="129" cm="1">
        <f t="array" ref="H44">_xlfn.XLOOKUP(H$1,'PY1 Data(H)'!$A$1:$CZ$1,_xlfn.XLOOKUP($A44,'PY1 Data(H)'!$A$1:$A$122,'PY1 Data(H)'!$A$1:$CZ$122))</f>
        <v>1262283</v>
      </c>
      <c r="I44" s="129" cm="1">
        <f t="array" ref="I44">_xlfn.XLOOKUP(I$1,'PY1 Data(H)'!$A$1:$CZ$1,_xlfn.XLOOKUP($A44,'PY1 Data(H)'!$A$1:$A$122,'PY1 Data(H)'!$A$1:$CZ$122))</f>
        <v>1075424</v>
      </c>
      <c r="J44" s="129" cm="1">
        <f t="array" ref="J44">_xlfn.XLOOKUP(J$1,'PY1 Data(H)'!$A$1:$CZ$1,_xlfn.XLOOKUP($A44,'PY1 Data(H)'!$A$1:$A$122,'PY1 Data(H)'!$A$1:$CZ$122))</f>
        <v>83510</v>
      </c>
    </row>
    <row r="45" spans="1:10" x14ac:dyDescent="0.3">
      <c r="A45">
        <v>7</v>
      </c>
      <c r="D45" s="129" cm="1">
        <f t="array" ref="D45">_xlfn.XLOOKUP(D$1,'PY1 Data(H)'!$A$1:$CZ$1,_xlfn.XLOOKUP($A45,'PY1 Data(H)'!$A$1:$A$122,'PY1 Data(H)'!$A$1:$CZ$122))</f>
        <v>0</v>
      </c>
      <c r="E45" s="129" cm="1">
        <f t="array" ref="E45">_xlfn.XLOOKUP(E$1,'PY1 Data(H)'!$A$1:$CZ$1,_xlfn.XLOOKUP($A45,'PY1 Data(H)'!$A$1:$A$122,'PY1 Data(H)'!$A$1:$CZ$122))</f>
        <v>36143</v>
      </c>
      <c r="F45" s="129" cm="1">
        <f t="array" ref="F45">_xlfn.XLOOKUP(F$1,'PY1 Data(H)'!$A$1:$CZ$1,_xlfn.XLOOKUP($A45,'PY1 Data(H)'!$A$1:$A$122,'PY1 Data(H)'!$A$1:$CZ$122))</f>
        <v>0</v>
      </c>
      <c r="G45" s="129" cm="1">
        <f t="array" ref="G45">_xlfn.XLOOKUP(G$1,'PY1 Data(H)'!$A$1:$CZ$1,_xlfn.XLOOKUP($A45,'PY1 Data(H)'!$A$1:$A$122,'PY1 Data(H)'!$A$1:$CZ$122))</f>
        <v>0</v>
      </c>
      <c r="H45" s="129" cm="1">
        <f t="array" ref="H45">_xlfn.XLOOKUP(H$1,'PY1 Data(H)'!$A$1:$CZ$1,_xlfn.XLOOKUP($A45,'PY1 Data(H)'!$A$1:$A$122,'PY1 Data(H)'!$A$1:$CZ$122))</f>
        <v>15082</v>
      </c>
      <c r="I45" s="129" cm="1">
        <f t="array" ref="I45">_xlfn.XLOOKUP(I$1,'PY1 Data(H)'!$A$1:$CZ$1,_xlfn.XLOOKUP($A45,'PY1 Data(H)'!$A$1:$A$122,'PY1 Data(H)'!$A$1:$CZ$122))</f>
        <v>0</v>
      </c>
      <c r="J45" s="129" cm="1">
        <f t="array" ref="J45">_xlfn.XLOOKUP(J$1,'PY1 Data(H)'!$A$1:$CZ$1,_xlfn.XLOOKUP($A45,'PY1 Data(H)'!$A$1:$A$122,'PY1 Data(H)'!$A$1:$CZ$122))</f>
        <v>0</v>
      </c>
    </row>
    <row r="46" spans="1:10" x14ac:dyDescent="0.3">
      <c r="A46">
        <v>645</v>
      </c>
      <c r="D46" s="129" cm="1">
        <f t="array" ref="D46">_xlfn.XLOOKUP(D$1,'PY1 Data(H)'!$A$1:$CZ$1,_xlfn.XLOOKUP($A46,'PY1 Data(H)'!$A$1:$A$122,'PY1 Data(H)'!$A$1:$CZ$122))</f>
        <v>1842587</v>
      </c>
      <c r="E46" s="129" cm="1">
        <f t="array" ref="E46">_xlfn.XLOOKUP(E$1,'PY1 Data(H)'!$A$1:$CZ$1,_xlfn.XLOOKUP($A46,'PY1 Data(H)'!$A$1:$A$122,'PY1 Data(H)'!$A$1:$CZ$122))</f>
        <v>1292035</v>
      </c>
      <c r="F46" s="129" cm="1">
        <f t="array" ref="F46">_xlfn.XLOOKUP(F$1,'PY1 Data(H)'!$A$1:$CZ$1,_xlfn.XLOOKUP($A46,'PY1 Data(H)'!$A$1:$A$122,'PY1 Data(H)'!$A$1:$CZ$122))</f>
        <v>851192</v>
      </c>
      <c r="G46" s="129" cm="1">
        <f t="array" ref="G46">_xlfn.XLOOKUP(G$1,'PY1 Data(H)'!$A$1:$CZ$1,_xlfn.XLOOKUP($A46,'PY1 Data(H)'!$A$1:$A$122,'PY1 Data(H)'!$A$1:$CZ$122))</f>
        <v>0</v>
      </c>
      <c r="H46" s="129" cm="1">
        <f t="array" ref="H46">_xlfn.XLOOKUP(H$1,'PY1 Data(H)'!$A$1:$CZ$1,_xlfn.XLOOKUP($A46,'PY1 Data(H)'!$A$1:$A$122,'PY1 Data(H)'!$A$1:$CZ$122))</f>
        <v>651940</v>
      </c>
      <c r="I46" s="129" cm="1">
        <f t="array" ref="I46">_xlfn.XLOOKUP(I$1,'PY1 Data(H)'!$A$1:$CZ$1,_xlfn.XLOOKUP($A46,'PY1 Data(H)'!$A$1:$A$122,'PY1 Data(H)'!$A$1:$CZ$122))</f>
        <v>723035</v>
      </c>
      <c r="J46" s="129" cm="1">
        <f t="array" ref="J46">_xlfn.XLOOKUP(J$1,'PY1 Data(H)'!$A$1:$CZ$1,_xlfn.XLOOKUP($A46,'PY1 Data(H)'!$A$1:$A$122,'PY1 Data(H)'!$A$1:$CZ$122))</f>
        <v>532709</v>
      </c>
    </row>
    <row r="47" spans="1:10" x14ac:dyDescent="0.3">
      <c r="A47">
        <v>646</v>
      </c>
      <c r="D47" s="129" cm="1">
        <f t="array" ref="D47">_xlfn.XLOOKUP(D$1,'PY1 Data(H)'!$A$1:$CZ$1,_xlfn.XLOOKUP($A47,'PY1 Data(H)'!$A$1:$A$122,'PY1 Data(H)'!$A$1:$CZ$122))</f>
        <v>6511590</v>
      </c>
      <c r="E47" s="129" cm="1">
        <f t="array" ref="E47">_xlfn.XLOOKUP(E$1,'PY1 Data(H)'!$A$1:$CZ$1,_xlfn.XLOOKUP($A47,'PY1 Data(H)'!$A$1:$A$122,'PY1 Data(H)'!$A$1:$CZ$122))</f>
        <v>7021801</v>
      </c>
      <c r="F47" s="129" cm="1">
        <f t="array" ref="F47">_xlfn.XLOOKUP(F$1,'PY1 Data(H)'!$A$1:$CZ$1,_xlfn.XLOOKUP($A47,'PY1 Data(H)'!$A$1:$A$122,'PY1 Data(H)'!$A$1:$CZ$122))</f>
        <v>7543435</v>
      </c>
      <c r="G47" s="129" cm="1">
        <f t="array" ref="G47">_xlfn.XLOOKUP(G$1,'PY1 Data(H)'!$A$1:$CZ$1,_xlfn.XLOOKUP($A47,'PY1 Data(H)'!$A$1:$A$122,'PY1 Data(H)'!$A$1:$CZ$122))</f>
        <v>1672054</v>
      </c>
      <c r="H47" s="129" cm="1">
        <f t="array" ref="H47">_xlfn.XLOOKUP(H$1,'PY1 Data(H)'!$A$1:$CZ$1,_xlfn.XLOOKUP($A47,'PY1 Data(H)'!$A$1:$A$122,'PY1 Data(H)'!$A$1:$CZ$122))</f>
        <v>1620276</v>
      </c>
      <c r="I47" s="129" cm="1">
        <f t="array" ref="I47">_xlfn.XLOOKUP(I$1,'PY1 Data(H)'!$A$1:$CZ$1,_xlfn.XLOOKUP($A47,'PY1 Data(H)'!$A$1:$A$122,'PY1 Data(H)'!$A$1:$CZ$122))</f>
        <v>967642</v>
      </c>
      <c r="J47" s="129" cm="1">
        <f t="array" ref="J47">_xlfn.XLOOKUP(J$1,'PY1 Data(H)'!$A$1:$CZ$1,_xlfn.XLOOKUP($A47,'PY1 Data(H)'!$A$1:$A$122,'PY1 Data(H)'!$A$1:$CZ$122))</f>
        <v>4479760</v>
      </c>
    </row>
    <row r="48" spans="1:10" x14ac:dyDescent="0.3">
      <c r="A48">
        <v>9</v>
      </c>
      <c r="D48" s="129" cm="1">
        <f t="array" ref="D48">_xlfn.XLOOKUP(D$1,'PY1 Data(H)'!$A$1:$CZ$1,_xlfn.XLOOKUP($A48,'PY1 Data(H)'!$A$1:$A$122,'PY1 Data(H)'!$A$1:$CZ$122))</f>
        <v>9325048</v>
      </c>
      <c r="E48" s="129" cm="1">
        <f t="array" ref="E48">_xlfn.XLOOKUP(E$1,'PY1 Data(H)'!$A$1:$CZ$1,_xlfn.XLOOKUP($A48,'PY1 Data(H)'!$A$1:$A$122,'PY1 Data(H)'!$A$1:$CZ$122))</f>
        <v>9657671</v>
      </c>
      <c r="F48" s="129" cm="1">
        <f t="array" ref="F48">_xlfn.XLOOKUP(F$1,'PY1 Data(H)'!$A$1:$CZ$1,_xlfn.XLOOKUP($A48,'PY1 Data(H)'!$A$1:$A$122,'PY1 Data(H)'!$A$1:$CZ$122))</f>
        <v>11530756</v>
      </c>
      <c r="G48" s="129" cm="1">
        <f t="array" ref="G48">_xlfn.XLOOKUP(G$1,'PY1 Data(H)'!$A$1:$CZ$1,_xlfn.XLOOKUP($A48,'PY1 Data(H)'!$A$1:$A$122,'PY1 Data(H)'!$A$1:$CZ$122))</f>
        <v>2291123</v>
      </c>
      <c r="H48" s="129" cm="1">
        <f t="array" ref="H48">_xlfn.XLOOKUP(H$1,'PY1 Data(H)'!$A$1:$CZ$1,_xlfn.XLOOKUP($A48,'PY1 Data(H)'!$A$1:$A$122,'PY1 Data(H)'!$A$1:$CZ$122))</f>
        <v>4217660</v>
      </c>
      <c r="I48" s="129" cm="1">
        <f t="array" ref="I48">_xlfn.XLOOKUP(I$1,'PY1 Data(H)'!$A$1:$CZ$1,_xlfn.XLOOKUP($A48,'PY1 Data(H)'!$A$1:$A$122,'PY1 Data(H)'!$A$1:$CZ$122))</f>
        <v>2766101</v>
      </c>
      <c r="J48" s="129" cm="1">
        <f t="array" ref="J48">_xlfn.XLOOKUP(J$1,'PY1 Data(H)'!$A$1:$CZ$1,_xlfn.XLOOKUP($A48,'PY1 Data(H)'!$A$1:$A$122,'PY1 Data(H)'!$A$1:$CZ$122))</f>
        <v>5095979</v>
      </c>
    </row>
    <row r="49" spans="1:10" x14ac:dyDescent="0.3">
      <c r="A49">
        <v>1052</v>
      </c>
      <c r="D49" s="129" cm="1">
        <f t="array" ref="D49">_xlfn.XLOOKUP(D$1,'PY1 Data(H)'!$A$1:$CZ$1,_xlfn.XLOOKUP($A49,'PY1 Data(H)'!$A$1:$A$122,'PY1 Data(H)'!$A$1:$CZ$122))</f>
        <v>0</v>
      </c>
      <c r="E49" s="129" cm="1">
        <f t="array" ref="E49">_xlfn.XLOOKUP(E$1,'PY1 Data(H)'!$A$1:$CZ$1,_xlfn.XLOOKUP($A49,'PY1 Data(H)'!$A$1:$A$122,'PY1 Data(H)'!$A$1:$CZ$122))</f>
        <v>0</v>
      </c>
      <c r="F49" s="129" cm="1">
        <f t="array" ref="F49">_xlfn.XLOOKUP(F$1,'PY1 Data(H)'!$A$1:$CZ$1,_xlfn.XLOOKUP($A49,'PY1 Data(H)'!$A$1:$A$122,'PY1 Data(H)'!$A$1:$CZ$122))</f>
        <v>0</v>
      </c>
      <c r="G49" s="129" cm="1">
        <f t="array" ref="G49">_xlfn.XLOOKUP(G$1,'PY1 Data(H)'!$A$1:$CZ$1,_xlfn.XLOOKUP($A49,'PY1 Data(H)'!$A$1:$A$122,'PY1 Data(H)'!$A$1:$CZ$122))</f>
        <v>0</v>
      </c>
      <c r="H49" s="129" cm="1">
        <f t="array" ref="H49">_xlfn.XLOOKUP(H$1,'PY1 Data(H)'!$A$1:$CZ$1,_xlfn.XLOOKUP($A49,'PY1 Data(H)'!$A$1:$A$122,'PY1 Data(H)'!$A$1:$CZ$122))</f>
        <v>0</v>
      </c>
      <c r="I49" s="129" cm="1">
        <f t="array" ref="I49">_xlfn.XLOOKUP(I$1,'PY1 Data(H)'!$A$1:$CZ$1,_xlfn.XLOOKUP($A49,'PY1 Data(H)'!$A$1:$A$122,'PY1 Data(H)'!$A$1:$CZ$122))</f>
        <v>0</v>
      </c>
      <c r="J49" s="129" cm="1">
        <f t="array" ref="J49">_xlfn.XLOOKUP(J$1,'PY1 Data(H)'!$A$1:$CZ$1,_xlfn.XLOOKUP($A49,'PY1 Data(H)'!$A$1:$A$122,'PY1 Data(H)'!$A$1:$CZ$122))</f>
        <v>0</v>
      </c>
    </row>
    <row r="50" spans="1:10" x14ac:dyDescent="0.3">
      <c r="D50" s="129" cm="1">
        <f t="array" ref="D50">_xlfn.XLOOKUP(D$1,'PY1 Data(H)'!$A$1:$CZ$1,_xlfn.XLOOKUP($A50,'PY1 Data(H)'!$A$1:$A$122,'PY1 Data(H)'!$A$1:$CZ$122))</f>
        <v>0</v>
      </c>
      <c r="E50" s="129" cm="1">
        <f t="array" ref="E50">_xlfn.XLOOKUP(E$1,'PY1 Data(H)'!$A$1:$CZ$1,_xlfn.XLOOKUP($A50,'PY1 Data(H)'!$A$1:$A$122,'PY1 Data(H)'!$A$1:$CZ$122))</f>
        <v>0</v>
      </c>
      <c r="F50" s="129" cm="1">
        <f t="array" ref="F50">_xlfn.XLOOKUP(F$1,'PY1 Data(H)'!$A$1:$CZ$1,_xlfn.XLOOKUP($A50,'PY1 Data(H)'!$A$1:$A$122,'PY1 Data(H)'!$A$1:$CZ$122))</f>
        <v>0</v>
      </c>
      <c r="G50" s="129" cm="1">
        <f t="array" ref="G50">_xlfn.XLOOKUP(G$1,'PY1 Data(H)'!$A$1:$CZ$1,_xlfn.XLOOKUP($A50,'PY1 Data(H)'!$A$1:$A$122,'PY1 Data(H)'!$A$1:$CZ$122))</f>
        <v>0</v>
      </c>
      <c r="H50" s="129" cm="1">
        <f t="array" ref="H50">_xlfn.XLOOKUP(H$1,'PY1 Data(H)'!$A$1:$CZ$1,_xlfn.XLOOKUP($A50,'PY1 Data(H)'!$A$1:$A$122,'PY1 Data(H)'!$A$1:$CZ$122))</f>
        <v>0</v>
      </c>
      <c r="I50" s="129" cm="1">
        <f t="array" ref="I50">_xlfn.XLOOKUP(I$1,'PY1 Data(H)'!$A$1:$CZ$1,_xlfn.XLOOKUP($A50,'PY1 Data(H)'!$A$1:$A$122,'PY1 Data(H)'!$A$1:$CZ$122))</f>
        <v>0</v>
      </c>
      <c r="J50" s="129" cm="1">
        <f t="array" ref="J50">_xlfn.XLOOKUP(J$1,'PY1 Data(H)'!$A$1:$CZ$1,_xlfn.XLOOKUP($A50,'PY1 Data(H)'!$A$1:$A$122,'PY1 Data(H)'!$A$1:$CZ$122))</f>
        <v>0</v>
      </c>
    </row>
    <row r="51" spans="1:10" x14ac:dyDescent="0.3">
      <c r="A51">
        <v>16</v>
      </c>
      <c r="D51" s="129" cm="1">
        <f t="array" ref="D51">_xlfn.XLOOKUP(D$1,'PY1 Data(H)'!$A$1:$CZ$1,_xlfn.XLOOKUP($A51,'PY1 Data(H)'!$A$1:$A$122,'PY1 Data(H)'!$A$1:$CZ$122))</f>
        <v>19655536</v>
      </c>
      <c r="E51" s="129" cm="1">
        <f t="array" ref="E51">_xlfn.XLOOKUP(E$1,'PY1 Data(H)'!$A$1:$CZ$1,_xlfn.XLOOKUP($A51,'PY1 Data(H)'!$A$1:$A$122,'PY1 Data(H)'!$A$1:$CZ$122))</f>
        <v>13579790</v>
      </c>
      <c r="F51" s="129" cm="1">
        <f t="array" ref="F51">_xlfn.XLOOKUP(F$1,'PY1 Data(H)'!$A$1:$CZ$1,_xlfn.XLOOKUP($A51,'PY1 Data(H)'!$A$1:$A$122,'PY1 Data(H)'!$A$1:$CZ$122))</f>
        <v>29886517</v>
      </c>
      <c r="G51" s="129" cm="1">
        <f t="array" ref="G51">_xlfn.XLOOKUP(G$1,'PY1 Data(H)'!$A$1:$CZ$1,_xlfn.XLOOKUP($A51,'PY1 Data(H)'!$A$1:$A$122,'PY1 Data(H)'!$A$1:$CZ$122))</f>
        <v>7814493</v>
      </c>
      <c r="H51" s="129" cm="1">
        <f t="array" ref="H51">_xlfn.XLOOKUP(H$1,'PY1 Data(H)'!$A$1:$CZ$1,_xlfn.XLOOKUP($A51,'PY1 Data(H)'!$A$1:$A$122,'PY1 Data(H)'!$A$1:$CZ$122))</f>
        <v>9705880</v>
      </c>
      <c r="I51" s="129" cm="1">
        <f t="array" ref="I51">_xlfn.XLOOKUP(I$1,'PY1 Data(H)'!$A$1:$CZ$1,_xlfn.XLOOKUP($A51,'PY1 Data(H)'!$A$1:$A$122,'PY1 Data(H)'!$A$1:$CZ$122))</f>
        <v>7828202</v>
      </c>
      <c r="J51" s="129" cm="1">
        <f t="array" ref="J51">_xlfn.XLOOKUP(J$1,'PY1 Data(H)'!$A$1:$CZ$1,_xlfn.XLOOKUP($A51,'PY1 Data(H)'!$A$1:$A$122,'PY1 Data(H)'!$A$1:$CZ$122))</f>
        <v>5213602</v>
      </c>
    </row>
    <row r="52" spans="1:10" x14ac:dyDescent="0.3">
      <c r="A52">
        <v>532</v>
      </c>
      <c r="D52" s="129" cm="1">
        <f t="array" ref="D52">_xlfn.XLOOKUP(D$1,'PY1 Data(H)'!$A$1:$CZ$1,_xlfn.XLOOKUP($A52,'PY1 Data(H)'!$A$1:$A$122,'PY1 Data(H)'!$A$1:$CZ$122))</f>
        <v>17037865</v>
      </c>
      <c r="E52" s="129" cm="1">
        <f t="array" ref="E52">_xlfn.XLOOKUP(E$1,'PY1 Data(H)'!$A$1:$CZ$1,_xlfn.XLOOKUP($A52,'PY1 Data(H)'!$A$1:$A$122,'PY1 Data(H)'!$A$1:$CZ$122))</f>
        <v>12513946</v>
      </c>
      <c r="F52" s="129" cm="1">
        <f t="array" ref="F52">_xlfn.XLOOKUP(F$1,'PY1 Data(H)'!$A$1:$CZ$1,_xlfn.XLOOKUP($A52,'PY1 Data(H)'!$A$1:$A$122,'PY1 Data(H)'!$A$1:$CZ$122))</f>
        <v>29258423</v>
      </c>
      <c r="G52" s="129" cm="1">
        <f t="array" ref="G52">_xlfn.XLOOKUP(G$1,'PY1 Data(H)'!$A$1:$CZ$1,_xlfn.XLOOKUP($A52,'PY1 Data(H)'!$A$1:$A$122,'PY1 Data(H)'!$A$1:$CZ$122))</f>
        <v>7604767</v>
      </c>
      <c r="H52" s="129" cm="1">
        <f t="array" ref="H52">_xlfn.XLOOKUP(H$1,'PY1 Data(H)'!$A$1:$CZ$1,_xlfn.XLOOKUP($A52,'PY1 Data(H)'!$A$1:$A$122,'PY1 Data(H)'!$A$1:$CZ$122))</f>
        <v>9617719</v>
      </c>
      <c r="I52" s="129" cm="1">
        <f t="array" ref="I52">_xlfn.XLOOKUP(I$1,'PY1 Data(H)'!$A$1:$CZ$1,_xlfn.XLOOKUP($A52,'PY1 Data(H)'!$A$1:$A$122,'PY1 Data(H)'!$A$1:$CZ$122))</f>
        <v>7492780</v>
      </c>
      <c r="J52" s="129" cm="1">
        <f t="array" ref="J52">_xlfn.XLOOKUP(J$1,'PY1 Data(H)'!$A$1:$CZ$1,_xlfn.XLOOKUP($A52,'PY1 Data(H)'!$A$1:$A$122,'PY1 Data(H)'!$A$1:$CZ$122))</f>
        <v>4921564</v>
      </c>
    </row>
    <row r="53" spans="1:10" x14ac:dyDescent="0.3">
      <c r="A53">
        <v>17</v>
      </c>
      <c r="D53" s="129" cm="1">
        <f t="array" ref="D53">_xlfn.XLOOKUP(D$1,'PY1 Data(H)'!$A$1:$CZ$1,_xlfn.XLOOKUP($A53,'PY1 Data(H)'!$A$1:$A$122,'PY1 Data(H)'!$A$1:$CZ$122))</f>
        <v>0</v>
      </c>
      <c r="E53" s="129" cm="1">
        <f t="array" ref="E53">_xlfn.XLOOKUP(E$1,'PY1 Data(H)'!$A$1:$CZ$1,_xlfn.XLOOKUP($A53,'PY1 Data(H)'!$A$1:$A$122,'PY1 Data(H)'!$A$1:$CZ$122))</f>
        <v>0</v>
      </c>
      <c r="F53" s="129" cm="1">
        <f t="array" ref="F53">_xlfn.XLOOKUP(F$1,'PY1 Data(H)'!$A$1:$CZ$1,_xlfn.XLOOKUP($A53,'PY1 Data(H)'!$A$1:$A$122,'PY1 Data(H)'!$A$1:$CZ$122))</f>
        <v>0</v>
      </c>
      <c r="G53" s="129" cm="1">
        <f t="array" ref="G53">_xlfn.XLOOKUP(G$1,'PY1 Data(H)'!$A$1:$CZ$1,_xlfn.XLOOKUP($A53,'PY1 Data(H)'!$A$1:$A$122,'PY1 Data(H)'!$A$1:$CZ$122))</f>
        <v>0</v>
      </c>
      <c r="H53" s="129" cm="1">
        <f t="array" ref="H53">_xlfn.XLOOKUP(H$1,'PY1 Data(H)'!$A$1:$CZ$1,_xlfn.XLOOKUP($A53,'PY1 Data(H)'!$A$1:$A$122,'PY1 Data(H)'!$A$1:$CZ$122))</f>
        <v>0</v>
      </c>
      <c r="I53" s="129" cm="1">
        <f t="array" ref="I53">_xlfn.XLOOKUP(I$1,'PY1 Data(H)'!$A$1:$CZ$1,_xlfn.XLOOKUP($A53,'PY1 Data(H)'!$A$1:$A$122,'PY1 Data(H)'!$A$1:$CZ$122))</f>
        <v>0</v>
      </c>
      <c r="J53" s="129" cm="1">
        <f t="array" ref="J53">_xlfn.XLOOKUP(J$1,'PY1 Data(H)'!$A$1:$CZ$1,_xlfn.XLOOKUP($A53,'PY1 Data(H)'!$A$1:$A$122,'PY1 Data(H)'!$A$1:$CZ$122))</f>
        <v>0</v>
      </c>
    </row>
    <row r="54" spans="1:10" x14ac:dyDescent="0.3">
      <c r="A54">
        <v>20</v>
      </c>
      <c r="D54" s="129" cm="1">
        <f t="array" ref="D54">_xlfn.XLOOKUP(D$1,'PY1 Data(H)'!$A$1:$CZ$1,_xlfn.XLOOKUP($A54,'PY1 Data(H)'!$A$1:$A$122,'PY1 Data(H)'!$A$1:$CZ$122))</f>
        <v>0</v>
      </c>
      <c r="E54" s="129" cm="1">
        <f t="array" ref="E54">_xlfn.XLOOKUP(E$1,'PY1 Data(H)'!$A$1:$CZ$1,_xlfn.XLOOKUP($A54,'PY1 Data(H)'!$A$1:$A$122,'PY1 Data(H)'!$A$1:$CZ$122))</f>
        <v>0</v>
      </c>
      <c r="F54" s="129" cm="1">
        <f t="array" ref="F54">_xlfn.XLOOKUP(F$1,'PY1 Data(H)'!$A$1:$CZ$1,_xlfn.XLOOKUP($A54,'PY1 Data(H)'!$A$1:$A$122,'PY1 Data(H)'!$A$1:$CZ$122))</f>
        <v>0</v>
      </c>
      <c r="G54" s="129" cm="1">
        <f t="array" ref="G54">_xlfn.XLOOKUP(G$1,'PY1 Data(H)'!$A$1:$CZ$1,_xlfn.XLOOKUP($A54,'PY1 Data(H)'!$A$1:$A$122,'PY1 Data(H)'!$A$1:$CZ$122))</f>
        <v>0</v>
      </c>
      <c r="H54" s="129" cm="1">
        <f t="array" ref="H54">_xlfn.XLOOKUP(H$1,'PY1 Data(H)'!$A$1:$CZ$1,_xlfn.XLOOKUP($A54,'PY1 Data(H)'!$A$1:$A$122,'PY1 Data(H)'!$A$1:$CZ$122))</f>
        <v>0</v>
      </c>
      <c r="I54" s="129" cm="1">
        <f t="array" ref="I54">_xlfn.XLOOKUP(I$1,'PY1 Data(H)'!$A$1:$CZ$1,_xlfn.XLOOKUP($A54,'PY1 Data(H)'!$A$1:$A$122,'PY1 Data(H)'!$A$1:$CZ$122))</f>
        <v>0</v>
      </c>
      <c r="J54" s="129" cm="1">
        <f t="array" ref="J54">_xlfn.XLOOKUP(J$1,'PY1 Data(H)'!$A$1:$CZ$1,_xlfn.XLOOKUP($A54,'PY1 Data(H)'!$A$1:$A$122,'PY1 Data(H)'!$A$1:$CZ$122))</f>
        <v>0</v>
      </c>
    </row>
    <row r="55" spans="1:10" x14ac:dyDescent="0.3">
      <c r="A55">
        <v>533</v>
      </c>
      <c r="D55" s="129" cm="1">
        <f t="array" ref="D55">_xlfn.XLOOKUP(D$1,'PY1 Data(H)'!$A$1:$CZ$1,_xlfn.XLOOKUP($A55,'PY1 Data(H)'!$A$1:$A$122,'PY1 Data(H)'!$A$1:$CZ$122))</f>
        <v>67962</v>
      </c>
      <c r="E55" s="129" cm="1">
        <f t="array" ref="E55">_xlfn.XLOOKUP(E$1,'PY1 Data(H)'!$A$1:$CZ$1,_xlfn.XLOOKUP($A55,'PY1 Data(H)'!$A$1:$A$122,'PY1 Data(H)'!$A$1:$CZ$122))</f>
        <v>37799</v>
      </c>
      <c r="F55" s="129" cm="1">
        <f t="array" ref="F55">_xlfn.XLOOKUP(F$1,'PY1 Data(H)'!$A$1:$CZ$1,_xlfn.XLOOKUP($A55,'PY1 Data(H)'!$A$1:$A$122,'PY1 Data(H)'!$A$1:$CZ$122))</f>
        <v>0</v>
      </c>
      <c r="G55" s="129" cm="1">
        <f t="array" ref="G55">_xlfn.XLOOKUP(G$1,'PY1 Data(H)'!$A$1:$CZ$1,_xlfn.XLOOKUP($A55,'PY1 Data(H)'!$A$1:$A$122,'PY1 Data(H)'!$A$1:$CZ$122))</f>
        <v>0</v>
      </c>
      <c r="H55" s="129" cm="1">
        <f t="array" ref="H55">_xlfn.XLOOKUP(H$1,'PY1 Data(H)'!$A$1:$CZ$1,_xlfn.XLOOKUP($A55,'PY1 Data(H)'!$A$1:$A$122,'PY1 Data(H)'!$A$1:$CZ$122))</f>
        <v>138258</v>
      </c>
      <c r="I55" s="129" cm="1">
        <f t="array" ref="I55">_xlfn.XLOOKUP(I$1,'PY1 Data(H)'!$A$1:$CZ$1,_xlfn.XLOOKUP($A55,'PY1 Data(H)'!$A$1:$A$122,'PY1 Data(H)'!$A$1:$CZ$122))</f>
        <v>145401</v>
      </c>
      <c r="J55" s="129" cm="1">
        <f t="array" ref="J55">_xlfn.XLOOKUP(J$1,'PY1 Data(H)'!$A$1:$CZ$1,_xlfn.XLOOKUP($A55,'PY1 Data(H)'!$A$1:$A$122,'PY1 Data(H)'!$A$1:$CZ$122))</f>
        <v>0</v>
      </c>
    </row>
    <row r="56" spans="1:10" x14ac:dyDescent="0.3">
      <c r="A56">
        <v>22</v>
      </c>
      <c r="D56" s="129" cm="1">
        <f t="array" ref="D56">_xlfn.XLOOKUP(D$1,'PY1 Data(H)'!$A$1:$CZ$1,_xlfn.XLOOKUP($A56,'PY1 Data(H)'!$A$1:$A$122,'PY1 Data(H)'!$A$1:$CZ$122))</f>
        <v>-858568</v>
      </c>
      <c r="E56" s="129" cm="1">
        <f t="array" ref="E56">_xlfn.XLOOKUP(E$1,'PY1 Data(H)'!$A$1:$CZ$1,_xlfn.XLOOKUP($A56,'PY1 Data(H)'!$A$1:$A$122,'PY1 Data(H)'!$A$1:$CZ$122))</f>
        <v>-1090459</v>
      </c>
      <c r="F56" s="129" cm="1">
        <f t="array" ref="F56">_xlfn.XLOOKUP(F$1,'PY1 Data(H)'!$A$1:$CZ$1,_xlfn.XLOOKUP($A56,'PY1 Data(H)'!$A$1:$A$122,'PY1 Data(H)'!$A$1:$CZ$122))</f>
        <v>200000</v>
      </c>
      <c r="G56" s="129" cm="1">
        <f t="array" ref="G56">_xlfn.XLOOKUP(G$1,'PY1 Data(H)'!$A$1:$CZ$1,_xlfn.XLOOKUP($A56,'PY1 Data(H)'!$A$1:$A$122,'PY1 Data(H)'!$A$1:$CZ$122))</f>
        <v>0</v>
      </c>
      <c r="H56" s="129" cm="1">
        <f t="array" ref="H56">_xlfn.XLOOKUP(H$1,'PY1 Data(H)'!$A$1:$CZ$1,_xlfn.XLOOKUP($A56,'PY1 Data(H)'!$A$1:$A$122,'PY1 Data(H)'!$A$1:$CZ$122))</f>
        <v>0</v>
      </c>
      <c r="I56" s="129" cm="1">
        <f t="array" ref="I56">_xlfn.XLOOKUP(I$1,'PY1 Data(H)'!$A$1:$CZ$1,_xlfn.XLOOKUP($A56,'PY1 Data(H)'!$A$1:$A$122,'PY1 Data(H)'!$A$1:$CZ$122))</f>
        <v>0</v>
      </c>
      <c r="J56" s="129" cm="1">
        <f t="array" ref="J56">_xlfn.XLOOKUP(J$1,'PY1 Data(H)'!$A$1:$CZ$1,_xlfn.XLOOKUP($A56,'PY1 Data(H)'!$A$1:$A$122,'PY1 Data(H)'!$A$1:$CZ$122))</f>
        <v>0</v>
      </c>
    </row>
    <row r="57" spans="1:10" x14ac:dyDescent="0.3">
      <c r="A57">
        <v>23</v>
      </c>
      <c r="D57" s="129" cm="1">
        <f t="array" ref="D57">_xlfn.XLOOKUP(D$1,'PY1 Data(H)'!$A$1:$CZ$1,_xlfn.XLOOKUP($A57,'PY1 Data(H)'!$A$1:$A$122,'PY1 Data(H)'!$A$1:$CZ$122))</f>
        <v>1827065</v>
      </c>
      <c r="E57" s="129" cm="1">
        <f t="array" ref="E57">_xlfn.XLOOKUP(E$1,'PY1 Data(H)'!$A$1:$CZ$1,_xlfn.XLOOKUP($A57,'PY1 Data(H)'!$A$1:$A$122,'PY1 Data(H)'!$A$1:$CZ$122))</f>
        <v>13184</v>
      </c>
      <c r="F57" s="129" cm="1">
        <f t="array" ref="F57">_xlfn.XLOOKUP(F$1,'PY1 Data(H)'!$A$1:$CZ$1,_xlfn.XLOOKUP($A57,'PY1 Data(H)'!$A$1:$A$122,'PY1 Data(H)'!$A$1:$CZ$122))</f>
        <v>828094</v>
      </c>
      <c r="G57" s="129" cm="1">
        <f t="array" ref="G57">_xlfn.XLOOKUP(G$1,'PY1 Data(H)'!$A$1:$CZ$1,_xlfn.XLOOKUP($A57,'PY1 Data(H)'!$A$1:$A$122,'PY1 Data(H)'!$A$1:$CZ$122))</f>
        <v>209726</v>
      </c>
      <c r="H57" s="129" cm="1">
        <f t="array" ref="H57">_xlfn.XLOOKUP(H$1,'PY1 Data(H)'!$A$1:$CZ$1,_xlfn.XLOOKUP($A57,'PY1 Data(H)'!$A$1:$A$122,'PY1 Data(H)'!$A$1:$CZ$122))</f>
        <v>226419</v>
      </c>
      <c r="I57" s="129" cm="1">
        <f t="array" ref="I57">_xlfn.XLOOKUP(I$1,'PY1 Data(H)'!$A$1:$CZ$1,_xlfn.XLOOKUP($A57,'PY1 Data(H)'!$A$1:$A$122,'PY1 Data(H)'!$A$1:$CZ$122))</f>
        <v>480823</v>
      </c>
      <c r="J57" s="129" cm="1">
        <f t="array" ref="J57">_xlfn.XLOOKUP(J$1,'PY1 Data(H)'!$A$1:$CZ$1,_xlfn.XLOOKUP($A57,'PY1 Data(H)'!$A$1:$A$122,'PY1 Data(H)'!$A$1:$CZ$122))</f>
        <v>292038</v>
      </c>
    </row>
    <row r="58" spans="1:10" x14ac:dyDescent="0.3">
      <c r="A58">
        <v>507</v>
      </c>
      <c r="D58" s="129" cm="1">
        <f t="array" ref="D58">_xlfn.XLOOKUP(D$1,'PY1 Data(H)'!$A$1:$CZ$1,_xlfn.XLOOKUP($A58,'PY1 Data(H)'!$A$1:$A$122,'PY1 Data(H)'!$A$1:$CZ$122))</f>
        <v>0</v>
      </c>
      <c r="E58" s="129" cm="1">
        <f t="array" ref="E58">_xlfn.XLOOKUP(E$1,'PY1 Data(H)'!$A$1:$CZ$1,_xlfn.XLOOKUP($A58,'PY1 Data(H)'!$A$1:$A$122,'PY1 Data(H)'!$A$1:$CZ$122))</f>
        <v>0</v>
      </c>
      <c r="F58" s="129" cm="1">
        <f t="array" ref="F58">_xlfn.XLOOKUP(F$1,'PY1 Data(H)'!$A$1:$CZ$1,_xlfn.XLOOKUP($A58,'PY1 Data(H)'!$A$1:$A$122,'PY1 Data(H)'!$A$1:$CZ$122))</f>
        <v>0</v>
      </c>
      <c r="G58" s="129" cm="1">
        <f t="array" ref="G58">_xlfn.XLOOKUP(G$1,'PY1 Data(H)'!$A$1:$CZ$1,_xlfn.XLOOKUP($A58,'PY1 Data(H)'!$A$1:$A$122,'PY1 Data(H)'!$A$1:$CZ$122))</f>
        <v>1</v>
      </c>
      <c r="H58" s="129" cm="1">
        <f t="array" ref="H58">_xlfn.XLOOKUP(H$1,'PY1 Data(H)'!$A$1:$CZ$1,_xlfn.XLOOKUP($A58,'PY1 Data(H)'!$A$1:$A$122,'PY1 Data(H)'!$A$1:$CZ$122))</f>
        <v>0</v>
      </c>
      <c r="I58" s="129" cm="1">
        <f t="array" ref="I58">_xlfn.XLOOKUP(I$1,'PY1 Data(H)'!$A$1:$CZ$1,_xlfn.XLOOKUP($A58,'PY1 Data(H)'!$A$1:$A$122,'PY1 Data(H)'!$A$1:$CZ$122))</f>
        <v>0</v>
      </c>
      <c r="J58" s="129" cm="1">
        <f t="array" ref="J58">_xlfn.XLOOKUP(J$1,'PY1 Data(H)'!$A$1:$CZ$1,_xlfn.XLOOKUP($A58,'PY1 Data(H)'!$A$1:$A$122,'PY1 Data(H)'!$A$1:$CZ$122))</f>
        <v>0</v>
      </c>
    </row>
    <row r="59" spans="1:10" x14ac:dyDescent="0.3">
      <c r="D59" s="129" cm="1">
        <f t="array" ref="D59">_xlfn.XLOOKUP(D$1,'PY1 Data(H)'!$A$1:$CZ$1,_xlfn.XLOOKUP($A59,'PY1 Data(H)'!$A$1:$A$122,'PY1 Data(H)'!$A$1:$CZ$122))</f>
        <v>0</v>
      </c>
      <c r="E59" s="129" cm="1">
        <f t="array" ref="E59">_xlfn.XLOOKUP(E$1,'PY1 Data(H)'!$A$1:$CZ$1,_xlfn.XLOOKUP($A59,'PY1 Data(H)'!$A$1:$A$122,'PY1 Data(H)'!$A$1:$CZ$122))</f>
        <v>0</v>
      </c>
      <c r="F59" s="129" cm="1">
        <f t="array" ref="F59">_xlfn.XLOOKUP(F$1,'PY1 Data(H)'!$A$1:$CZ$1,_xlfn.XLOOKUP($A59,'PY1 Data(H)'!$A$1:$A$122,'PY1 Data(H)'!$A$1:$CZ$122))</f>
        <v>0</v>
      </c>
      <c r="G59" s="129" cm="1">
        <f t="array" ref="G59">_xlfn.XLOOKUP(G$1,'PY1 Data(H)'!$A$1:$CZ$1,_xlfn.XLOOKUP($A59,'PY1 Data(H)'!$A$1:$A$122,'PY1 Data(H)'!$A$1:$CZ$122))</f>
        <v>0</v>
      </c>
      <c r="H59" s="129" cm="1">
        <f t="array" ref="H59">_xlfn.XLOOKUP(H$1,'PY1 Data(H)'!$A$1:$CZ$1,_xlfn.XLOOKUP($A59,'PY1 Data(H)'!$A$1:$A$122,'PY1 Data(H)'!$A$1:$CZ$122))</f>
        <v>0</v>
      </c>
      <c r="I59" s="129" cm="1">
        <f t="array" ref="I59">_xlfn.XLOOKUP(I$1,'PY1 Data(H)'!$A$1:$CZ$1,_xlfn.XLOOKUP($A59,'PY1 Data(H)'!$A$1:$A$122,'PY1 Data(H)'!$A$1:$CZ$122))</f>
        <v>0</v>
      </c>
      <c r="J59" s="129" cm="1">
        <f t="array" ref="J59">_xlfn.XLOOKUP(J$1,'PY1 Data(H)'!$A$1:$CZ$1,_xlfn.XLOOKUP($A59,'PY1 Data(H)'!$A$1:$A$122,'PY1 Data(H)'!$A$1:$CZ$122))</f>
        <v>0</v>
      </c>
    </row>
    <row r="60" spans="1:10" x14ac:dyDescent="0.3">
      <c r="A60">
        <v>512</v>
      </c>
      <c r="D60" s="129" cm="1">
        <f t="array" ref="D60">_xlfn.XLOOKUP(D$1,'PY1 Data(H)'!$A$1:$CZ$1,_xlfn.XLOOKUP($A60,'PY1 Data(H)'!$A$1:$A$122,'PY1 Data(H)'!$A$1:$CZ$122))</f>
        <v>5295710</v>
      </c>
      <c r="E60" s="129" cm="1">
        <f t="array" ref="E60">_xlfn.XLOOKUP(E$1,'PY1 Data(H)'!$A$1:$CZ$1,_xlfn.XLOOKUP($A60,'PY1 Data(H)'!$A$1:$A$122,'PY1 Data(H)'!$A$1:$CZ$122))</f>
        <v>1090593</v>
      </c>
      <c r="F60" s="129" cm="1">
        <f t="array" ref="F60">_xlfn.XLOOKUP(F$1,'PY1 Data(H)'!$A$1:$CZ$1,_xlfn.XLOOKUP($A60,'PY1 Data(H)'!$A$1:$A$122,'PY1 Data(H)'!$A$1:$CZ$122))</f>
        <v>0</v>
      </c>
      <c r="G60" s="129" cm="1">
        <f t="array" ref="G60">_xlfn.XLOOKUP(G$1,'PY1 Data(H)'!$A$1:$CZ$1,_xlfn.XLOOKUP($A60,'PY1 Data(H)'!$A$1:$A$122,'PY1 Data(H)'!$A$1:$CZ$122))</f>
        <v>0</v>
      </c>
      <c r="H60" s="129" cm="1">
        <f t="array" ref="H60">_xlfn.XLOOKUP(H$1,'PY1 Data(H)'!$A$1:$CZ$1,_xlfn.XLOOKUP($A60,'PY1 Data(H)'!$A$1:$A$122,'PY1 Data(H)'!$A$1:$CZ$122))</f>
        <v>0</v>
      </c>
      <c r="I60" s="129" cm="1">
        <f t="array" ref="I60">_xlfn.XLOOKUP(I$1,'PY1 Data(H)'!$A$1:$CZ$1,_xlfn.XLOOKUP($A60,'PY1 Data(H)'!$A$1:$A$122,'PY1 Data(H)'!$A$1:$CZ$122))</f>
        <v>0</v>
      </c>
      <c r="J60" s="129" cm="1">
        <f t="array" ref="J60">_xlfn.XLOOKUP(J$1,'PY1 Data(H)'!$A$1:$CZ$1,_xlfn.XLOOKUP($A60,'PY1 Data(H)'!$A$1:$A$122,'PY1 Data(H)'!$A$1:$CZ$122))</f>
        <v>761231</v>
      </c>
    </row>
    <row r="61" spans="1:10" x14ac:dyDescent="0.3">
      <c r="D61" s="129" cm="1">
        <f t="array" ref="D61">_xlfn.XLOOKUP(D$1,'PY1 Data(H)'!$A$1:$CZ$1,_xlfn.XLOOKUP($A61,'PY1 Data(H)'!$A$1:$A$122,'PY1 Data(H)'!$A$1:$CZ$122))</f>
        <v>0</v>
      </c>
      <c r="E61" s="129" cm="1">
        <f t="array" ref="E61">_xlfn.XLOOKUP(E$1,'PY1 Data(H)'!$A$1:$CZ$1,_xlfn.XLOOKUP($A61,'PY1 Data(H)'!$A$1:$A$122,'PY1 Data(H)'!$A$1:$CZ$122))</f>
        <v>0</v>
      </c>
      <c r="F61" s="129" cm="1">
        <f t="array" ref="F61">_xlfn.XLOOKUP(F$1,'PY1 Data(H)'!$A$1:$CZ$1,_xlfn.XLOOKUP($A61,'PY1 Data(H)'!$A$1:$A$122,'PY1 Data(H)'!$A$1:$CZ$122))</f>
        <v>0</v>
      </c>
      <c r="G61" s="129" cm="1">
        <f t="array" ref="G61">_xlfn.XLOOKUP(G$1,'PY1 Data(H)'!$A$1:$CZ$1,_xlfn.XLOOKUP($A61,'PY1 Data(H)'!$A$1:$A$122,'PY1 Data(H)'!$A$1:$CZ$122))</f>
        <v>0</v>
      </c>
      <c r="H61" s="129" cm="1">
        <f t="array" ref="H61">_xlfn.XLOOKUP(H$1,'PY1 Data(H)'!$A$1:$CZ$1,_xlfn.XLOOKUP($A61,'PY1 Data(H)'!$A$1:$A$122,'PY1 Data(H)'!$A$1:$CZ$122))</f>
        <v>0</v>
      </c>
      <c r="I61" s="129" cm="1">
        <f t="array" ref="I61">_xlfn.XLOOKUP(I$1,'PY1 Data(H)'!$A$1:$CZ$1,_xlfn.XLOOKUP($A61,'PY1 Data(H)'!$A$1:$A$122,'PY1 Data(H)'!$A$1:$CZ$122))</f>
        <v>0</v>
      </c>
      <c r="J61" s="129" cm="1">
        <f t="array" ref="J61">_xlfn.XLOOKUP(J$1,'PY1 Data(H)'!$A$1:$CZ$1,_xlfn.XLOOKUP($A61,'PY1 Data(H)'!$A$1:$A$122,'PY1 Data(H)'!$A$1:$CZ$122))</f>
        <v>0</v>
      </c>
    </row>
    <row r="62" spans="1:10" x14ac:dyDescent="0.3">
      <c r="A62">
        <v>622</v>
      </c>
      <c r="D62" s="129" cm="1">
        <f t="array" ref="D62">_xlfn.XLOOKUP(D$1,'PY1 Data(H)'!$A$1:$CZ$1,_xlfn.XLOOKUP($A62,'PY1 Data(H)'!$A$1:$A$122,'PY1 Data(H)'!$A$1:$CZ$122))</f>
        <v>2941769</v>
      </c>
      <c r="E62" s="129" cm="1">
        <f t="array" ref="E62">_xlfn.XLOOKUP(E$1,'PY1 Data(H)'!$A$1:$CZ$1,_xlfn.XLOOKUP($A62,'PY1 Data(H)'!$A$1:$A$122,'PY1 Data(H)'!$A$1:$CZ$122))</f>
        <v>1170287</v>
      </c>
      <c r="F62" s="129" cm="1">
        <f t="array" ref="F62">_xlfn.XLOOKUP(F$1,'PY1 Data(H)'!$A$1:$CZ$1,_xlfn.XLOOKUP($A62,'PY1 Data(H)'!$A$1:$A$122,'PY1 Data(H)'!$A$1:$CZ$122))</f>
        <v>2920274</v>
      </c>
      <c r="G62" s="129" cm="1">
        <f t="array" ref="G62">_xlfn.XLOOKUP(G$1,'PY1 Data(H)'!$A$1:$CZ$1,_xlfn.XLOOKUP($A62,'PY1 Data(H)'!$A$1:$A$122,'PY1 Data(H)'!$A$1:$CZ$122))</f>
        <v>763424</v>
      </c>
      <c r="H62" s="129" cm="1">
        <f t="array" ref="H62">_xlfn.XLOOKUP(H$1,'PY1 Data(H)'!$A$1:$CZ$1,_xlfn.XLOOKUP($A62,'PY1 Data(H)'!$A$1:$A$122,'PY1 Data(H)'!$A$1:$CZ$122))</f>
        <v>938867</v>
      </c>
      <c r="I62" s="129" cm="1">
        <f t="array" ref="I62">_xlfn.XLOOKUP(I$1,'PY1 Data(H)'!$A$1:$CZ$1,_xlfn.XLOOKUP($A62,'PY1 Data(H)'!$A$1:$A$122,'PY1 Data(H)'!$A$1:$CZ$122))</f>
        <v>595342</v>
      </c>
      <c r="J62" s="129" cm="1">
        <f t="array" ref="J62">_xlfn.XLOOKUP(J$1,'PY1 Data(H)'!$A$1:$CZ$1,_xlfn.XLOOKUP($A62,'PY1 Data(H)'!$A$1:$A$122,'PY1 Data(H)'!$A$1:$CZ$122))</f>
        <v>369750</v>
      </c>
    </row>
    <row r="63" spans="1:10" x14ac:dyDescent="0.3">
      <c r="A63">
        <v>577</v>
      </c>
      <c r="D63" s="129" cm="1">
        <f t="array" ref="D63">_xlfn.XLOOKUP(D$1,'PY1 Data(H)'!$A$1:$CZ$1,_xlfn.XLOOKUP($A63,'PY1 Data(H)'!$A$1:$A$122,'PY1 Data(H)'!$A$1:$CZ$122))</f>
        <v>2</v>
      </c>
      <c r="E63" s="129" cm="1">
        <f t="array" ref="E63">_xlfn.XLOOKUP(E$1,'PY1 Data(H)'!$A$1:$CZ$1,_xlfn.XLOOKUP($A63,'PY1 Data(H)'!$A$1:$A$122,'PY1 Data(H)'!$A$1:$CZ$122))</f>
        <v>2</v>
      </c>
      <c r="F63" s="129" cm="1">
        <f t="array" ref="F63">_xlfn.XLOOKUP(F$1,'PY1 Data(H)'!$A$1:$CZ$1,_xlfn.XLOOKUP($A63,'PY1 Data(H)'!$A$1:$A$122,'PY1 Data(H)'!$A$1:$CZ$122))</f>
        <v>0</v>
      </c>
      <c r="G63" s="129" cm="1">
        <f t="array" ref="G63">_xlfn.XLOOKUP(G$1,'PY1 Data(H)'!$A$1:$CZ$1,_xlfn.XLOOKUP($A63,'PY1 Data(H)'!$A$1:$A$122,'PY1 Data(H)'!$A$1:$CZ$122))</f>
        <v>2</v>
      </c>
      <c r="H63" s="129" cm="1">
        <f t="array" ref="H63">_xlfn.XLOOKUP(H$1,'PY1 Data(H)'!$A$1:$CZ$1,_xlfn.XLOOKUP($A63,'PY1 Data(H)'!$A$1:$A$122,'PY1 Data(H)'!$A$1:$CZ$122))</f>
        <v>2</v>
      </c>
      <c r="I63" s="129" cm="1">
        <f t="array" ref="I63">_xlfn.XLOOKUP(I$1,'PY1 Data(H)'!$A$1:$CZ$1,_xlfn.XLOOKUP($A63,'PY1 Data(H)'!$A$1:$A$122,'PY1 Data(H)'!$A$1:$CZ$122))</f>
        <v>2</v>
      </c>
      <c r="J63" s="129" cm="1">
        <f t="array" ref="J63">_xlfn.XLOOKUP(J$1,'PY1 Data(H)'!$A$1:$CZ$1,_xlfn.XLOOKUP($A63,'PY1 Data(H)'!$A$1:$A$122,'PY1 Data(H)'!$A$1:$CZ$122))</f>
        <v>2</v>
      </c>
    </row>
    <row r="64" spans="1:10" x14ac:dyDescent="0.3">
      <c r="D64" s="129" cm="1">
        <f t="array" ref="D64">_xlfn.XLOOKUP(D$1,'PY1 Data(H)'!$A$1:$CZ$1,_xlfn.XLOOKUP($A64,'PY1 Data(H)'!$A$1:$A$122,'PY1 Data(H)'!$A$1:$CZ$122))</f>
        <v>0</v>
      </c>
      <c r="E64" s="129" cm="1">
        <f t="array" ref="E64">_xlfn.XLOOKUP(E$1,'PY1 Data(H)'!$A$1:$CZ$1,_xlfn.XLOOKUP($A64,'PY1 Data(H)'!$A$1:$A$122,'PY1 Data(H)'!$A$1:$CZ$122))</f>
        <v>0</v>
      </c>
      <c r="F64" s="129" cm="1">
        <f t="array" ref="F64">_xlfn.XLOOKUP(F$1,'PY1 Data(H)'!$A$1:$CZ$1,_xlfn.XLOOKUP($A64,'PY1 Data(H)'!$A$1:$A$122,'PY1 Data(H)'!$A$1:$CZ$122))</f>
        <v>0</v>
      </c>
      <c r="G64" s="129" cm="1">
        <f t="array" ref="G64">_xlfn.XLOOKUP(G$1,'PY1 Data(H)'!$A$1:$CZ$1,_xlfn.XLOOKUP($A64,'PY1 Data(H)'!$A$1:$A$122,'PY1 Data(H)'!$A$1:$CZ$122))</f>
        <v>0</v>
      </c>
      <c r="H64" s="129" cm="1">
        <f t="array" ref="H64">_xlfn.XLOOKUP(H$1,'PY1 Data(H)'!$A$1:$CZ$1,_xlfn.XLOOKUP($A64,'PY1 Data(H)'!$A$1:$A$122,'PY1 Data(H)'!$A$1:$CZ$122))</f>
        <v>0</v>
      </c>
      <c r="I64" s="129" cm="1">
        <f t="array" ref="I64">_xlfn.XLOOKUP(I$1,'PY1 Data(H)'!$A$1:$CZ$1,_xlfn.XLOOKUP($A64,'PY1 Data(H)'!$A$1:$A$122,'PY1 Data(H)'!$A$1:$CZ$122))</f>
        <v>0</v>
      </c>
      <c r="J64" s="129" cm="1">
        <f t="array" ref="J64">_xlfn.XLOOKUP(J$1,'PY1 Data(H)'!$A$1:$CZ$1,_xlfn.XLOOKUP($A64,'PY1 Data(H)'!$A$1:$A$122,'PY1 Data(H)'!$A$1:$CZ$122))</f>
        <v>0</v>
      </c>
    </row>
    <row r="65" spans="1:10" x14ac:dyDescent="0.3">
      <c r="A65">
        <v>621</v>
      </c>
      <c r="D65" s="129" cm="1">
        <f t="array" ref="D65">_xlfn.XLOOKUP(D$1,'PY1 Data(H)'!$A$1:$CZ$1,_xlfn.XLOOKUP($A65,'PY1 Data(H)'!$A$1:$A$122,'PY1 Data(H)'!$A$1:$CZ$122))</f>
        <v>10366115</v>
      </c>
      <c r="E65" s="129" cm="1">
        <f t="array" ref="E65">_xlfn.XLOOKUP(E$1,'PY1 Data(H)'!$A$1:$CZ$1,_xlfn.XLOOKUP($A65,'PY1 Data(H)'!$A$1:$A$122,'PY1 Data(H)'!$A$1:$CZ$122))</f>
        <v>0</v>
      </c>
      <c r="F65" s="129" cm="1">
        <f t="array" ref="F65">_xlfn.XLOOKUP(F$1,'PY1 Data(H)'!$A$1:$CZ$1,_xlfn.XLOOKUP($A65,'PY1 Data(H)'!$A$1:$A$122,'PY1 Data(H)'!$A$1:$CZ$122))</f>
        <v>0</v>
      </c>
      <c r="G65" s="129" cm="1">
        <f t="array" ref="G65">_xlfn.XLOOKUP(G$1,'PY1 Data(H)'!$A$1:$CZ$1,_xlfn.XLOOKUP($A65,'PY1 Data(H)'!$A$1:$A$122,'PY1 Data(H)'!$A$1:$CZ$122))</f>
        <v>6150500</v>
      </c>
      <c r="H65" s="129" cm="1">
        <f t="array" ref="H65">_xlfn.XLOOKUP(H$1,'PY1 Data(H)'!$A$1:$CZ$1,_xlfn.XLOOKUP($A65,'PY1 Data(H)'!$A$1:$A$122,'PY1 Data(H)'!$A$1:$CZ$122))</f>
        <v>0</v>
      </c>
      <c r="I65" s="129" cm="1">
        <f t="array" ref="I65">_xlfn.XLOOKUP(I$1,'PY1 Data(H)'!$A$1:$CZ$1,_xlfn.XLOOKUP($A65,'PY1 Data(H)'!$A$1:$A$122,'PY1 Data(H)'!$A$1:$CZ$122))</f>
        <v>0</v>
      </c>
      <c r="J65" s="129" cm="1">
        <f t="array" ref="J65">_xlfn.XLOOKUP(J$1,'PY1 Data(H)'!$A$1:$CZ$1,_xlfn.XLOOKUP($A65,'PY1 Data(H)'!$A$1:$A$122,'PY1 Data(H)'!$A$1:$CZ$122))</f>
        <v>0</v>
      </c>
    </row>
    <row r="66" spans="1:10" x14ac:dyDescent="0.3">
      <c r="A66">
        <v>547</v>
      </c>
      <c r="D66" s="129" cm="1">
        <f t="array" ref="D66">_xlfn.XLOOKUP(D$1,'PY1 Data(H)'!$A$1:$CZ$1,_xlfn.XLOOKUP($A66,'PY1 Data(H)'!$A$1:$A$122,'PY1 Data(H)'!$A$1:$CZ$122))</f>
        <v>3</v>
      </c>
      <c r="E66" s="129" cm="1">
        <f t="array" ref="E66">_xlfn.XLOOKUP(E$1,'PY1 Data(H)'!$A$1:$CZ$1,_xlfn.XLOOKUP($A66,'PY1 Data(H)'!$A$1:$A$122,'PY1 Data(H)'!$A$1:$CZ$122))</f>
        <v>3</v>
      </c>
      <c r="F66" s="129" cm="1">
        <f t="array" ref="F66">_xlfn.XLOOKUP(F$1,'PY1 Data(H)'!$A$1:$CZ$1,_xlfn.XLOOKUP($A66,'PY1 Data(H)'!$A$1:$A$122,'PY1 Data(H)'!$A$1:$CZ$122))</f>
        <v>3</v>
      </c>
      <c r="G66" s="129" cm="1">
        <f t="array" ref="G66">_xlfn.XLOOKUP(G$1,'PY1 Data(H)'!$A$1:$CZ$1,_xlfn.XLOOKUP($A66,'PY1 Data(H)'!$A$1:$A$122,'PY1 Data(H)'!$A$1:$CZ$122))</f>
        <v>4</v>
      </c>
      <c r="H66" s="129" cm="1">
        <f t="array" ref="H66">_xlfn.XLOOKUP(H$1,'PY1 Data(H)'!$A$1:$CZ$1,_xlfn.XLOOKUP($A66,'PY1 Data(H)'!$A$1:$A$122,'PY1 Data(H)'!$A$1:$CZ$122))</f>
        <v>3</v>
      </c>
      <c r="I66" s="129" cm="1">
        <f t="array" ref="I66">_xlfn.XLOOKUP(I$1,'PY1 Data(H)'!$A$1:$CZ$1,_xlfn.XLOOKUP($A66,'PY1 Data(H)'!$A$1:$A$122,'PY1 Data(H)'!$A$1:$CZ$122))</f>
        <v>3</v>
      </c>
      <c r="J66" s="129" cm="1">
        <f t="array" ref="J66">_xlfn.XLOOKUP(J$1,'PY1 Data(H)'!$A$1:$CZ$1,_xlfn.XLOOKUP($A66,'PY1 Data(H)'!$A$1:$A$122,'PY1 Data(H)'!$A$1:$CZ$122))</f>
        <v>2</v>
      </c>
    </row>
    <row r="67" spans="1:10" x14ac:dyDescent="0.3">
      <c r="A67">
        <v>659</v>
      </c>
      <c r="D67" s="129" cm="1">
        <f t="array" ref="D67">_xlfn.XLOOKUP(D$1,'PY1 Data(H)'!$A$1:$CZ$1,_xlfn.XLOOKUP($A67,'PY1 Data(H)'!$A$1:$A$122,'PY1 Data(H)'!$A$1:$CZ$122))</f>
        <v>15661825</v>
      </c>
      <c r="E67" s="129" cm="1">
        <f t="array" ref="E67">_xlfn.XLOOKUP(E$1,'PY1 Data(H)'!$A$1:$CZ$1,_xlfn.XLOOKUP($A67,'PY1 Data(H)'!$A$1:$A$122,'PY1 Data(H)'!$A$1:$CZ$122))</f>
        <v>1118792</v>
      </c>
      <c r="F67" s="129" cm="1">
        <f t="array" ref="F67">_xlfn.XLOOKUP(F$1,'PY1 Data(H)'!$A$1:$CZ$1,_xlfn.XLOOKUP($A67,'PY1 Data(H)'!$A$1:$A$122,'PY1 Data(H)'!$A$1:$CZ$122))</f>
        <v>2080532</v>
      </c>
      <c r="G67" s="129" cm="1">
        <f t="array" ref="G67">_xlfn.XLOOKUP(G$1,'PY1 Data(H)'!$A$1:$CZ$1,_xlfn.XLOOKUP($A67,'PY1 Data(H)'!$A$1:$A$122,'PY1 Data(H)'!$A$1:$CZ$122))</f>
        <v>0</v>
      </c>
      <c r="H67" s="129" cm="1">
        <f t="array" ref="H67">_xlfn.XLOOKUP(H$1,'PY1 Data(H)'!$A$1:$CZ$1,_xlfn.XLOOKUP($A67,'PY1 Data(H)'!$A$1:$A$122,'PY1 Data(H)'!$A$1:$CZ$122))</f>
        <v>5639768</v>
      </c>
      <c r="I67" s="129" cm="1">
        <f t="array" ref="I67">_xlfn.XLOOKUP(I$1,'PY1 Data(H)'!$A$1:$CZ$1,_xlfn.XLOOKUP($A67,'PY1 Data(H)'!$A$1:$A$122,'PY1 Data(H)'!$A$1:$CZ$122))</f>
        <v>2285732</v>
      </c>
      <c r="J67" s="129" cm="1">
        <f t="array" ref="J67">_xlfn.XLOOKUP(J$1,'PY1 Data(H)'!$A$1:$CZ$1,_xlfn.XLOOKUP($A67,'PY1 Data(H)'!$A$1:$A$122,'PY1 Data(H)'!$A$1:$CZ$122))</f>
        <v>0</v>
      </c>
    </row>
    <row r="68" spans="1:10" x14ac:dyDescent="0.3">
      <c r="A68">
        <v>660</v>
      </c>
      <c r="D68" s="129" cm="1">
        <f t="array" ref="D68">_xlfn.XLOOKUP(D$1,'PY1 Data(H)'!$A$1:$CZ$1,_xlfn.XLOOKUP($A68,'PY1 Data(H)'!$A$1:$A$122,'PY1 Data(H)'!$A$1:$CZ$122))</f>
        <v>5295710</v>
      </c>
      <c r="E68" s="129" cm="1">
        <f t="array" ref="E68">_xlfn.XLOOKUP(E$1,'PY1 Data(H)'!$A$1:$CZ$1,_xlfn.XLOOKUP($A68,'PY1 Data(H)'!$A$1:$A$122,'PY1 Data(H)'!$A$1:$CZ$122))</f>
        <v>1090593</v>
      </c>
      <c r="F68" s="129" cm="1">
        <f t="array" ref="F68">_xlfn.XLOOKUP(F$1,'PY1 Data(H)'!$A$1:$CZ$1,_xlfn.XLOOKUP($A68,'PY1 Data(H)'!$A$1:$A$122,'PY1 Data(H)'!$A$1:$CZ$122))</f>
        <v>0</v>
      </c>
      <c r="G68" s="129" cm="1">
        <f t="array" ref="G68">_xlfn.XLOOKUP(G$1,'PY1 Data(H)'!$A$1:$CZ$1,_xlfn.XLOOKUP($A68,'PY1 Data(H)'!$A$1:$A$122,'PY1 Data(H)'!$A$1:$CZ$122))</f>
        <v>0</v>
      </c>
      <c r="H68" s="129" cm="1">
        <f t="array" ref="H68">_xlfn.XLOOKUP(H$1,'PY1 Data(H)'!$A$1:$CZ$1,_xlfn.XLOOKUP($A68,'PY1 Data(H)'!$A$1:$A$122,'PY1 Data(H)'!$A$1:$CZ$122))</f>
        <v>0</v>
      </c>
      <c r="I68" s="129" cm="1">
        <f t="array" ref="I68">_xlfn.XLOOKUP(I$1,'PY1 Data(H)'!$A$1:$CZ$1,_xlfn.XLOOKUP($A68,'PY1 Data(H)'!$A$1:$A$122,'PY1 Data(H)'!$A$1:$CZ$122))</f>
        <v>0</v>
      </c>
      <c r="J68" s="129" cm="1">
        <f t="array" ref="J68">_xlfn.XLOOKUP(J$1,'PY1 Data(H)'!$A$1:$CZ$1,_xlfn.XLOOKUP($A68,'PY1 Data(H)'!$A$1:$A$122,'PY1 Data(H)'!$A$1:$CZ$122))</f>
        <v>0</v>
      </c>
    </row>
    <row r="69" spans="1:10" x14ac:dyDescent="0.3">
      <c r="A69">
        <v>661</v>
      </c>
      <c r="D69" s="129" cm="1">
        <f t="array" ref="D69">_xlfn.XLOOKUP(D$1,'PY1 Data(H)'!$A$1:$CZ$1,_xlfn.XLOOKUP($A69,'PY1 Data(H)'!$A$1:$A$122,'PY1 Data(H)'!$A$1:$CZ$122))</f>
        <v>33.799999999999997</v>
      </c>
      <c r="E69" s="129" cm="1">
        <f t="array" ref="E69">_xlfn.XLOOKUP(E$1,'PY1 Data(H)'!$A$1:$CZ$1,_xlfn.XLOOKUP($A69,'PY1 Data(H)'!$A$1:$A$122,'PY1 Data(H)'!$A$1:$CZ$122))</f>
        <v>97.5</v>
      </c>
      <c r="F69" s="129" cm="1">
        <f t="array" ref="F69">_xlfn.XLOOKUP(F$1,'PY1 Data(H)'!$A$1:$CZ$1,_xlfn.XLOOKUP($A69,'PY1 Data(H)'!$A$1:$A$122,'PY1 Data(H)'!$A$1:$CZ$122))</f>
        <v>0</v>
      </c>
      <c r="G69" s="129" cm="1">
        <f t="array" ref="G69">_xlfn.XLOOKUP(G$1,'PY1 Data(H)'!$A$1:$CZ$1,_xlfn.XLOOKUP($A69,'PY1 Data(H)'!$A$1:$A$122,'PY1 Data(H)'!$A$1:$CZ$122))</f>
        <v>0</v>
      </c>
      <c r="H69" s="129" cm="1">
        <f t="array" ref="H69">_xlfn.XLOOKUP(H$1,'PY1 Data(H)'!$A$1:$CZ$1,_xlfn.XLOOKUP($A69,'PY1 Data(H)'!$A$1:$A$122,'PY1 Data(H)'!$A$1:$CZ$122))</f>
        <v>0</v>
      </c>
      <c r="I69" s="129" cm="1">
        <f t="array" ref="I69">_xlfn.XLOOKUP(I$1,'PY1 Data(H)'!$A$1:$CZ$1,_xlfn.XLOOKUP($A69,'PY1 Data(H)'!$A$1:$A$122,'PY1 Data(H)'!$A$1:$CZ$122))</f>
        <v>0</v>
      </c>
      <c r="J69" s="129" cm="1">
        <f t="array" ref="J69">_xlfn.XLOOKUP(J$1,'PY1 Data(H)'!$A$1:$CZ$1,_xlfn.XLOOKUP($A69,'PY1 Data(H)'!$A$1:$A$122,'PY1 Data(H)'!$A$1:$CZ$122))</f>
        <v>0</v>
      </c>
    </row>
    <row r="70" spans="1:10" x14ac:dyDescent="0.3">
      <c r="D70" s="129" cm="1">
        <f t="array" ref="D70">_xlfn.XLOOKUP(D$1,'PY1 Data(H)'!$A$1:$CZ$1,_xlfn.XLOOKUP($A70,'PY1 Data(H)'!$A$1:$A$122,'PY1 Data(H)'!$A$1:$CZ$122))</f>
        <v>0</v>
      </c>
      <c r="E70" s="129" cm="1">
        <f t="array" ref="E70">_xlfn.XLOOKUP(E$1,'PY1 Data(H)'!$A$1:$CZ$1,_xlfn.XLOOKUP($A70,'PY1 Data(H)'!$A$1:$A$122,'PY1 Data(H)'!$A$1:$CZ$122))</f>
        <v>0</v>
      </c>
      <c r="F70" s="129" cm="1">
        <f t="array" ref="F70">_xlfn.XLOOKUP(F$1,'PY1 Data(H)'!$A$1:$CZ$1,_xlfn.XLOOKUP($A70,'PY1 Data(H)'!$A$1:$A$122,'PY1 Data(H)'!$A$1:$CZ$122))</f>
        <v>0</v>
      </c>
      <c r="G70" s="129" cm="1">
        <f t="array" ref="G70">_xlfn.XLOOKUP(G$1,'PY1 Data(H)'!$A$1:$CZ$1,_xlfn.XLOOKUP($A70,'PY1 Data(H)'!$A$1:$A$122,'PY1 Data(H)'!$A$1:$CZ$122))</f>
        <v>0</v>
      </c>
      <c r="H70" s="129" cm="1">
        <f t="array" ref="H70">_xlfn.XLOOKUP(H$1,'PY1 Data(H)'!$A$1:$CZ$1,_xlfn.XLOOKUP($A70,'PY1 Data(H)'!$A$1:$A$122,'PY1 Data(H)'!$A$1:$CZ$122))</f>
        <v>0</v>
      </c>
      <c r="I70" s="129" cm="1">
        <f t="array" ref="I70">_xlfn.XLOOKUP(I$1,'PY1 Data(H)'!$A$1:$CZ$1,_xlfn.XLOOKUP($A70,'PY1 Data(H)'!$A$1:$A$122,'PY1 Data(H)'!$A$1:$CZ$122))</f>
        <v>0</v>
      </c>
      <c r="J70" s="129" cm="1">
        <f t="array" ref="J70">_xlfn.XLOOKUP(J$1,'PY1 Data(H)'!$A$1:$CZ$1,_xlfn.XLOOKUP($A70,'PY1 Data(H)'!$A$1:$A$122,'PY1 Data(H)'!$A$1:$CZ$122))</f>
        <v>0</v>
      </c>
    </row>
    <row r="71" spans="1:10" x14ac:dyDescent="0.3">
      <c r="D71" s="129" cm="1">
        <f t="array" ref="D71">_xlfn.XLOOKUP(D$1,'PY1 Data(H)'!$A$1:$CZ$1,_xlfn.XLOOKUP($A71,'PY1 Data(H)'!$A$1:$A$122,'PY1 Data(H)'!$A$1:$CZ$122))</f>
        <v>0</v>
      </c>
      <c r="E71" s="129" cm="1">
        <f t="array" ref="E71">_xlfn.XLOOKUP(E$1,'PY1 Data(H)'!$A$1:$CZ$1,_xlfn.XLOOKUP($A71,'PY1 Data(H)'!$A$1:$A$122,'PY1 Data(H)'!$A$1:$CZ$122))</f>
        <v>0</v>
      </c>
      <c r="F71" s="129" cm="1">
        <f t="array" ref="F71">_xlfn.XLOOKUP(F$1,'PY1 Data(H)'!$A$1:$CZ$1,_xlfn.XLOOKUP($A71,'PY1 Data(H)'!$A$1:$A$122,'PY1 Data(H)'!$A$1:$CZ$122))</f>
        <v>0</v>
      </c>
      <c r="G71" s="129" cm="1">
        <f t="array" ref="G71">_xlfn.XLOOKUP(G$1,'PY1 Data(H)'!$A$1:$CZ$1,_xlfn.XLOOKUP($A71,'PY1 Data(H)'!$A$1:$A$122,'PY1 Data(H)'!$A$1:$CZ$122))</f>
        <v>0</v>
      </c>
      <c r="H71" s="129" cm="1">
        <f t="array" ref="H71">_xlfn.XLOOKUP(H$1,'PY1 Data(H)'!$A$1:$CZ$1,_xlfn.XLOOKUP($A71,'PY1 Data(H)'!$A$1:$A$122,'PY1 Data(H)'!$A$1:$CZ$122))</f>
        <v>0</v>
      </c>
      <c r="I71" s="129" cm="1">
        <f t="array" ref="I71">_xlfn.XLOOKUP(I$1,'PY1 Data(H)'!$A$1:$CZ$1,_xlfn.XLOOKUP($A71,'PY1 Data(H)'!$A$1:$A$122,'PY1 Data(H)'!$A$1:$CZ$122))</f>
        <v>0</v>
      </c>
      <c r="J71" s="129" cm="1">
        <f t="array" ref="J71">_xlfn.XLOOKUP(J$1,'PY1 Data(H)'!$A$1:$CZ$1,_xlfn.XLOOKUP($A71,'PY1 Data(H)'!$A$1:$A$122,'PY1 Data(H)'!$A$1:$CZ$122))</f>
        <v>0</v>
      </c>
    </row>
    <row r="72" spans="1:10" x14ac:dyDescent="0.3">
      <c r="A72">
        <v>6</v>
      </c>
      <c r="D72" s="129" cm="1">
        <f t="array" ref="D72">_xlfn.XLOOKUP(D$1,'PY1 Data(H)'!$A$1:$CZ$1,_xlfn.XLOOKUP($A72,'PY1 Data(H)'!$A$1:$A$122,'PY1 Data(H)'!$A$1:$CZ$122))</f>
        <v>0</v>
      </c>
      <c r="E72" s="129" cm="1">
        <f t="array" ref="E72">_xlfn.XLOOKUP(E$1,'PY1 Data(H)'!$A$1:$CZ$1,_xlfn.XLOOKUP($A72,'PY1 Data(H)'!$A$1:$A$122,'PY1 Data(H)'!$A$1:$CZ$122))</f>
        <v>0</v>
      </c>
      <c r="F72" s="129" cm="1">
        <f t="array" ref="F72">_xlfn.XLOOKUP(F$1,'PY1 Data(H)'!$A$1:$CZ$1,_xlfn.XLOOKUP($A72,'PY1 Data(H)'!$A$1:$A$122,'PY1 Data(H)'!$A$1:$CZ$122))</f>
        <v>0</v>
      </c>
      <c r="G72" s="129" cm="1">
        <f t="array" ref="G72">_xlfn.XLOOKUP(G$1,'PY1 Data(H)'!$A$1:$CZ$1,_xlfn.XLOOKUP($A72,'PY1 Data(H)'!$A$1:$A$122,'PY1 Data(H)'!$A$1:$CZ$122))</f>
        <v>0</v>
      </c>
      <c r="H72" s="129" cm="1">
        <f t="array" ref="H72">_xlfn.XLOOKUP(H$1,'PY1 Data(H)'!$A$1:$CZ$1,_xlfn.XLOOKUP($A72,'PY1 Data(H)'!$A$1:$A$122,'PY1 Data(H)'!$A$1:$CZ$122))</f>
        <v>0</v>
      </c>
      <c r="I72" s="129" cm="1">
        <f t="array" ref="I72">_xlfn.XLOOKUP(I$1,'PY1 Data(H)'!$A$1:$CZ$1,_xlfn.XLOOKUP($A72,'PY1 Data(H)'!$A$1:$A$122,'PY1 Data(H)'!$A$1:$CZ$122))</f>
        <v>0</v>
      </c>
      <c r="J72" s="129" cm="1">
        <f t="array" ref="J72">_xlfn.XLOOKUP(J$1,'PY1 Data(H)'!$A$1:$CZ$1,_xlfn.XLOOKUP($A72,'PY1 Data(H)'!$A$1:$A$122,'PY1 Data(H)'!$A$1:$CZ$122))</f>
        <v>0</v>
      </c>
    </row>
  </sheetData>
  <sheetProtection algorithmName="SHA-512" hashValue="1ggx9XdME/ujIzvzk2bB+DFXpeF6lo/CBrmCkXxjw/MDNuxQfe47yK3M6DDS8wEEBGGjDQkH3TeHy4LsP3xKYA==" saltValue="wd3lvuK+szc8iAUfIJLR4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J312"/>
  <sheetViews>
    <sheetView workbookViewId="0">
      <pane xSplit="2" topLeftCell="C1" activePane="topRight" state="frozen"/>
      <selection pane="topRight" activeCell="C1" sqref="C1"/>
    </sheetView>
  </sheetViews>
  <sheetFormatPr defaultColWidth="49.33203125" defaultRowHeight="14.4" x14ac:dyDescent="0.3"/>
  <cols>
    <col min="1" max="1" width="12.21875" style="106" customWidth="1"/>
    <col min="2" max="2" width="49.33203125" style="370"/>
    <col min="3" max="3" width="21.77734375" customWidth="1"/>
    <col min="4" max="10" width="15.77734375" customWidth="1"/>
  </cols>
  <sheetData>
    <row r="1" spans="1:10" x14ac:dyDescent="0.3">
      <c r="A1" s="132" t="s">
        <v>230</v>
      </c>
      <c r="B1" s="370" t="s">
        <v>230</v>
      </c>
      <c r="C1" t="s">
        <v>230</v>
      </c>
      <c r="D1" t="s">
        <v>552</v>
      </c>
      <c r="E1" t="s">
        <v>553</v>
      </c>
      <c r="F1" t="s">
        <v>554</v>
      </c>
      <c r="G1" t="s">
        <v>555</v>
      </c>
      <c r="H1" t="s">
        <v>556</v>
      </c>
      <c r="I1" t="s">
        <v>557</v>
      </c>
      <c r="J1" t="s">
        <v>558</v>
      </c>
    </row>
    <row r="2" spans="1:10" x14ac:dyDescent="0.3">
      <c r="A2" s="106" t="s">
        <v>396</v>
      </c>
      <c r="B2" s="370" t="s">
        <v>10</v>
      </c>
      <c r="C2" t="s">
        <v>2</v>
      </c>
      <c r="D2">
        <v>561205</v>
      </c>
      <c r="E2">
        <v>561200</v>
      </c>
      <c r="F2">
        <v>561208</v>
      </c>
      <c r="G2">
        <v>561206</v>
      </c>
      <c r="H2">
        <v>561202</v>
      </c>
      <c r="I2">
        <v>561204</v>
      </c>
      <c r="J2">
        <v>561207</v>
      </c>
    </row>
    <row r="3" spans="1:10" x14ac:dyDescent="0.3">
      <c r="A3" s="106">
        <v>4</v>
      </c>
      <c r="B3" s="370" t="s">
        <v>49</v>
      </c>
      <c r="D3">
        <v>557592</v>
      </c>
      <c r="E3">
        <v>111797</v>
      </c>
      <c r="F3">
        <v>1444033</v>
      </c>
      <c r="G3">
        <v>188317</v>
      </c>
      <c r="H3">
        <v>395705</v>
      </c>
      <c r="I3">
        <v>599506</v>
      </c>
      <c r="J3">
        <v>553048</v>
      </c>
    </row>
    <row r="4" spans="1:10" x14ac:dyDescent="0.3">
      <c r="A4" s="106">
        <v>5</v>
      </c>
      <c r="B4" s="370" t="s">
        <v>50</v>
      </c>
      <c r="D4">
        <v>0</v>
      </c>
      <c r="E4">
        <v>0</v>
      </c>
      <c r="F4">
        <v>0</v>
      </c>
      <c r="G4">
        <v>28600</v>
      </c>
      <c r="H4">
        <v>20863</v>
      </c>
      <c r="I4">
        <v>0</v>
      </c>
      <c r="J4">
        <v>583118</v>
      </c>
    </row>
    <row r="5" spans="1:10" x14ac:dyDescent="0.3">
      <c r="A5" s="106">
        <v>6</v>
      </c>
      <c r="B5" s="370" t="s">
        <v>156</v>
      </c>
      <c r="D5">
        <v>0</v>
      </c>
      <c r="E5">
        <v>0</v>
      </c>
      <c r="F5">
        <v>0</v>
      </c>
      <c r="G5">
        <v>0</v>
      </c>
      <c r="H5">
        <v>0</v>
      </c>
      <c r="I5">
        <v>0</v>
      </c>
      <c r="J5">
        <v>0</v>
      </c>
    </row>
    <row r="6" spans="1:10" x14ac:dyDescent="0.3">
      <c r="A6" s="106">
        <v>7</v>
      </c>
      <c r="B6" s="370" t="s">
        <v>102</v>
      </c>
      <c r="D6">
        <v>0</v>
      </c>
      <c r="E6">
        <v>35854</v>
      </c>
      <c r="F6">
        <v>0</v>
      </c>
      <c r="G6">
        <v>0</v>
      </c>
      <c r="H6">
        <v>0</v>
      </c>
      <c r="I6">
        <v>0</v>
      </c>
      <c r="J6">
        <v>0</v>
      </c>
    </row>
    <row r="7" spans="1:10" x14ac:dyDescent="0.3">
      <c r="A7" s="106">
        <v>9</v>
      </c>
      <c r="B7" s="370" t="s">
        <v>104</v>
      </c>
      <c r="D7">
        <v>7497983</v>
      </c>
      <c r="E7">
        <v>9644487</v>
      </c>
      <c r="F7">
        <v>10702662</v>
      </c>
      <c r="G7">
        <v>2081396</v>
      </c>
      <c r="H7">
        <v>3991241</v>
      </c>
      <c r="I7">
        <v>2285278</v>
      </c>
      <c r="J7">
        <v>4803941</v>
      </c>
    </row>
    <row r="8" spans="1:10" x14ac:dyDescent="0.3">
      <c r="A8" s="106">
        <v>11</v>
      </c>
      <c r="B8" s="370" t="s">
        <v>103</v>
      </c>
      <c r="D8">
        <v>0</v>
      </c>
      <c r="E8">
        <v>0</v>
      </c>
      <c r="F8">
        <v>0</v>
      </c>
      <c r="G8">
        <v>0</v>
      </c>
      <c r="H8">
        <v>0</v>
      </c>
      <c r="I8">
        <v>0</v>
      </c>
      <c r="J8">
        <v>0</v>
      </c>
    </row>
    <row r="9" spans="1:10" x14ac:dyDescent="0.3">
      <c r="A9" s="106">
        <v>13</v>
      </c>
      <c r="B9" s="370" t="s">
        <v>397</v>
      </c>
      <c r="D9">
        <v>0</v>
      </c>
      <c r="E9">
        <v>0</v>
      </c>
      <c r="F9">
        <v>0</v>
      </c>
      <c r="G9">
        <v>0</v>
      </c>
      <c r="H9">
        <v>0</v>
      </c>
      <c r="I9">
        <v>0</v>
      </c>
      <c r="J9">
        <v>0</v>
      </c>
    </row>
    <row r="10" spans="1:10" x14ac:dyDescent="0.3">
      <c r="A10" s="106">
        <v>14</v>
      </c>
      <c r="B10" s="370" t="s">
        <v>398</v>
      </c>
      <c r="D10">
        <v>0</v>
      </c>
      <c r="E10">
        <v>0</v>
      </c>
      <c r="F10">
        <v>0</v>
      </c>
      <c r="G10">
        <v>0</v>
      </c>
      <c r="H10">
        <v>0</v>
      </c>
      <c r="I10">
        <v>0</v>
      </c>
      <c r="J10">
        <v>0</v>
      </c>
    </row>
    <row r="11" spans="1:10" x14ac:dyDescent="0.3">
      <c r="A11" s="106">
        <v>16</v>
      </c>
      <c r="B11" s="370" t="s">
        <v>106</v>
      </c>
      <c r="D11">
        <v>16367419</v>
      </c>
      <c r="E11">
        <v>16054506</v>
      </c>
      <c r="F11">
        <v>25037834</v>
      </c>
      <c r="G11">
        <v>8234989</v>
      </c>
      <c r="H11">
        <v>9841694</v>
      </c>
      <c r="I11">
        <v>8039275</v>
      </c>
      <c r="J11">
        <v>5298547</v>
      </c>
    </row>
    <row r="12" spans="1:10" x14ac:dyDescent="0.3">
      <c r="A12" s="106">
        <v>17</v>
      </c>
      <c r="B12" s="370" t="s">
        <v>108</v>
      </c>
      <c r="D12">
        <v>0</v>
      </c>
      <c r="E12">
        <v>0</v>
      </c>
      <c r="F12">
        <v>0</v>
      </c>
      <c r="G12">
        <v>0</v>
      </c>
      <c r="H12">
        <v>0</v>
      </c>
      <c r="I12">
        <v>0</v>
      </c>
      <c r="J12">
        <v>0</v>
      </c>
    </row>
    <row r="13" spans="1:10" x14ac:dyDescent="0.3">
      <c r="A13" s="106">
        <v>20</v>
      </c>
      <c r="B13" s="370" t="s">
        <v>109</v>
      </c>
      <c r="D13">
        <v>13640</v>
      </c>
      <c r="E13">
        <v>0</v>
      </c>
      <c r="F13">
        <v>0</v>
      </c>
      <c r="G13">
        <v>0</v>
      </c>
      <c r="H13">
        <v>0</v>
      </c>
      <c r="I13">
        <v>0</v>
      </c>
      <c r="J13">
        <v>0</v>
      </c>
    </row>
    <row r="14" spans="1:10" x14ac:dyDescent="0.3">
      <c r="A14" s="106">
        <v>22</v>
      </c>
      <c r="B14" s="370" t="s">
        <v>110</v>
      </c>
      <c r="D14">
        <v>-1858568</v>
      </c>
      <c r="E14">
        <v>0</v>
      </c>
      <c r="F14">
        <v>200000</v>
      </c>
      <c r="G14">
        <v>0</v>
      </c>
      <c r="H14">
        <v>0</v>
      </c>
      <c r="I14">
        <v>0</v>
      </c>
      <c r="J14">
        <v>0</v>
      </c>
    </row>
    <row r="15" spans="1:10" x14ac:dyDescent="0.3">
      <c r="A15" s="106">
        <v>23</v>
      </c>
      <c r="B15" s="370" t="s">
        <v>113</v>
      </c>
      <c r="D15">
        <v>-72295</v>
      </c>
      <c r="E15">
        <v>5576977</v>
      </c>
      <c r="F15">
        <v>2339101</v>
      </c>
      <c r="G15">
        <v>1127021</v>
      </c>
      <c r="H15">
        <v>874587</v>
      </c>
      <c r="I15">
        <v>699275</v>
      </c>
      <c r="J15">
        <v>749165</v>
      </c>
    </row>
    <row r="16" spans="1:10" x14ac:dyDescent="0.3">
      <c r="A16" s="106">
        <v>31</v>
      </c>
      <c r="B16" s="370" t="s">
        <v>399</v>
      </c>
      <c r="D16">
        <v>0</v>
      </c>
      <c r="E16">
        <v>0</v>
      </c>
      <c r="F16">
        <v>0</v>
      </c>
      <c r="G16">
        <v>0</v>
      </c>
      <c r="H16">
        <v>0</v>
      </c>
      <c r="I16">
        <v>0</v>
      </c>
      <c r="J16">
        <v>0</v>
      </c>
    </row>
    <row r="17" spans="1:10" x14ac:dyDescent="0.3">
      <c r="A17" s="106">
        <v>32</v>
      </c>
      <c r="B17" s="370" t="s">
        <v>400</v>
      </c>
      <c r="D17">
        <v>0</v>
      </c>
      <c r="E17">
        <v>0</v>
      </c>
      <c r="F17">
        <v>0</v>
      </c>
      <c r="G17">
        <v>0</v>
      </c>
      <c r="H17">
        <v>0</v>
      </c>
      <c r="I17">
        <v>0</v>
      </c>
      <c r="J17">
        <v>0</v>
      </c>
    </row>
    <row r="18" spans="1:10" x14ac:dyDescent="0.3">
      <c r="A18" s="106">
        <v>33</v>
      </c>
      <c r="B18" s="370" t="s">
        <v>186</v>
      </c>
      <c r="D18">
        <v>0</v>
      </c>
      <c r="E18">
        <v>0</v>
      </c>
      <c r="F18">
        <v>0</v>
      </c>
      <c r="G18">
        <v>0</v>
      </c>
      <c r="H18">
        <v>0</v>
      </c>
      <c r="I18">
        <v>0</v>
      </c>
      <c r="J18">
        <v>0</v>
      </c>
    </row>
    <row r="19" spans="1:10" x14ac:dyDescent="0.3">
      <c r="A19" s="106">
        <v>34</v>
      </c>
      <c r="B19" s="370" t="s">
        <v>401</v>
      </c>
      <c r="D19">
        <v>0</v>
      </c>
      <c r="E19">
        <v>0</v>
      </c>
      <c r="F19">
        <v>0</v>
      </c>
      <c r="G19">
        <v>0</v>
      </c>
      <c r="H19">
        <v>0</v>
      </c>
      <c r="I19">
        <v>0</v>
      </c>
      <c r="J19">
        <v>0</v>
      </c>
    </row>
    <row r="20" spans="1:10" x14ac:dyDescent="0.3">
      <c r="A20" s="106">
        <v>35</v>
      </c>
      <c r="B20" s="370" t="s">
        <v>402</v>
      </c>
      <c r="D20">
        <v>0</v>
      </c>
      <c r="E20">
        <v>0</v>
      </c>
      <c r="F20">
        <v>0</v>
      </c>
      <c r="G20">
        <v>0</v>
      </c>
      <c r="H20">
        <v>0</v>
      </c>
      <c r="I20">
        <v>0</v>
      </c>
      <c r="J20">
        <v>0</v>
      </c>
    </row>
    <row r="21" spans="1:10" x14ac:dyDescent="0.3">
      <c r="A21" s="106">
        <v>36</v>
      </c>
      <c r="B21" s="370" t="s">
        <v>403</v>
      </c>
      <c r="D21">
        <v>0</v>
      </c>
      <c r="E21">
        <v>0</v>
      </c>
      <c r="F21">
        <v>0</v>
      </c>
      <c r="G21">
        <v>0</v>
      </c>
      <c r="H21">
        <v>0</v>
      </c>
      <c r="I21">
        <v>0</v>
      </c>
      <c r="J21">
        <v>0</v>
      </c>
    </row>
    <row r="22" spans="1:10" x14ac:dyDescent="0.3">
      <c r="A22" s="106">
        <v>37</v>
      </c>
      <c r="B22" s="370" t="s">
        <v>404</v>
      </c>
      <c r="D22">
        <v>0</v>
      </c>
      <c r="E22">
        <v>0</v>
      </c>
      <c r="F22">
        <v>0</v>
      </c>
      <c r="G22">
        <v>0</v>
      </c>
      <c r="H22">
        <v>0</v>
      </c>
      <c r="I22">
        <v>0</v>
      </c>
      <c r="J22">
        <v>0</v>
      </c>
    </row>
    <row r="23" spans="1:10" x14ac:dyDescent="0.3">
      <c r="A23" s="106">
        <v>38</v>
      </c>
      <c r="B23" s="370" t="s">
        <v>405</v>
      </c>
      <c r="D23">
        <v>0</v>
      </c>
      <c r="E23">
        <v>0</v>
      </c>
      <c r="F23">
        <v>0</v>
      </c>
      <c r="G23">
        <v>0</v>
      </c>
      <c r="H23">
        <v>0</v>
      </c>
      <c r="I23">
        <v>0</v>
      </c>
      <c r="J23">
        <v>0</v>
      </c>
    </row>
    <row r="24" spans="1:10" x14ac:dyDescent="0.3">
      <c r="A24" s="106">
        <v>39</v>
      </c>
      <c r="B24" s="370" t="s">
        <v>406</v>
      </c>
      <c r="D24">
        <v>0</v>
      </c>
      <c r="E24">
        <v>0</v>
      </c>
      <c r="F24">
        <v>0</v>
      </c>
      <c r="G24">
        <v>0</v>
      </c>
      <c r="H24">
        <v>0</v>
      </c>
      <c r="I24">
        <v>0</v>
      </c>
      <c r="J24">
        <v>0</v>
      </c>
    </row>
    <row r="25" spans="1:10" x14ac:dyDescent="0.3">
      <c r="A25" s="106">
        <v>40</v>
      </c>
      <c r="B25" s="370" t="s">
        <v>407</v>
      </c>
      <c r="D25">
        <v>0</v>
      </c>
      <c r="E25">
        <v>0</v>
      </c>
      <c r="F25">
        <v>0</v>
      </c>
      <c r="G25">
        <v>0</v>
      </c>
      <c r="H25">
        <v>0</v>
      </c>
      <c r="I25">
        <v>0</v>
      </c>
      <c r="J25">
        <v>0</v>
      </c>
    </row>
    <row r="26" spans="1:10" x14ac:dyDescent="0.3">
      <c r="A26" s="106">
        <v>41</v>
      </c>
      <c r="B26" s="370" t="s">
        <v>408</v>
      </c>
      <c r="D26">
        <v>0</v>
      </c>
      <c r="E26">
        <v>0</v>
      </c>
      <c r="F26">
        <v>0</v>
      </c>
      <c r="G26">
        <v>0</v>
      </c>
      <c r="H26">
        <v>0</v>
      </c>
      <c r="I26">
        <v>0</v>
      </c>
      <c r="J26">
        <v>0</v>
      </c>
    </row>
    <row r="27" spans="1:10" x14ac:dyDescent="0.3">
      <c r="A27" s="106">
        <v>44</v>
      </c>
      <c r="B27" s="370" t="s">
        <v>409</v>
      </c>
      <c r="D27">
        <v>0</v>
      </c>
      <c r="E27">
        <v>0</v>
      </c>
      <c r="F27">
        <v>0</v>
      </c>
      <c r="G27">
        <v>0</v>
      </c>
      <c r="H27">
        <v>0</v>
      </c>
      <c r="I27">
        <v>0</v>
      </c>
      <c r="J27">
        <v>0</v>
      </c>
    </row>
    <row r="28" spans="1:10" x14ac:dyDescent="0.3">
      <c r="A28" s="106">
        <v>45</v>
      </c>
      <c r="B28" s="370" t="s">
        <v>410</v>
      </c>
      <c r="D28">
        <v>0</v>
      </c>
      <c r="E28">
        <v>0</v>
      </c>
      <c r="F28">
        <v>0</v>
      </c>
      <c r="G28">
        <v>0</v>
      </c>
      <c r="H28">
        <v>0</v>
      </c>
      <c r="I28">
        <v>0</v>
      </c>
      <c r="J28">
        <v>0</v>
      </c>
    </row>
    <row r="29" spans="1:10" x14ac:dyDescent="0.3">
      <c r="A29" s="106">
        <v>47</v>
      </c>
      <c r="B29" s="370" t="s">
        <v>411</v>
      </c>
      <c r="D29">
        <v>0</v>
      </c>
      <c r="E29">
        <v>0</v>
      </c>
      <c r="F29">
        <v>0</v>
      </c>
      <c r="G29">
        <v>0</v>
      </c>
      <c r="H29">
        <v>0</v>
      </c>
      <c r="I29">
        <v>0</v>
      </c>
      <c r="J29">
        <v>0</v>
      </c>
    </row>
    <row r="30" spans="1:10" x14ac:dyDescent="0.3">
      <c r="A30" s="106">
        <v>48</v>
      </c>
      <c r="B30" s="370" t="s">
        <v>53</v>
      </c>
      <c r="D30">
        <v>0</v>
      </c>
      <c r="E30">
        <v>0</v>
      </c>
      <c r="F30">
        <v>0</v>
      </c>
      <c r="G30">
        <v>0</v>
      </c>
      <c r="H30">
        <v>0</v>
      </c>
      <c r="I30">
        <v>0</v>
      </c>
      <c r="J30">
        <v>0</v>
      </c>
    </row>
    <row r="31" spans="1:10" x14ac:dyDescent="0.3">
      <c r="A31" s="106">
        <v>49</v>
      </c>
      <c r="B31" s="370" t="s">
        <v>125</v>
      </c>
      <c r="D31">
        <v>0</v>
      </c>
      <c r="E31">
        <v>0</v>
      </c>
      <c r="F31">
        <v>0</v>
      </c>
      <c r="G31">
        <v>0</v>
      </c>
      <c r="H31">
        <v>0</v>
      </c>
      <c r="I31">
        <v>0</v>
      </c>
      <c r="J31">
        <v>0</v>
      </c>
    </row>
    <row r="32" spans="1:10" x14ac:dyDescent="0.3">
      <c r="A32" s="106">
        <v>50</v>
      </c>
      <c r="B32" s="370" t="s">
        <v>31</v>
      </c>
      <c r="D32">
        <v>0</v>
      </c>
      <c r="E32">
        <v>0</v>
      </c>
      <c r="F32">
        <v>0</v>
      </c>
      <c r="G32">
        <v>0</v>
      </c>
      <c r="H32">
        <v>0</v>
      </c>
      <c r="I32">
        <v>0</v>
      </c>
      <c r="J32">
        <v>0</v>
      </c>
    </row>
    <row r="33" spans="1:10" x14ac:dyDescent="0.3">
      <c r="A33" s="106">
        <v>51</v>
      </c>
      <c r="B33" s="370" t="s">
        <v>142</v>
      </c>
      <c r="D33">
        <v>0</v>
      </c>
      <c r="E33">
        <v>0</v>
      </c>
      <c r="F33">
        <v>0</v>
      </c>
      <c r="G33">
        <v>0</v>
      </c>
      <c r="H33">
        <v>0</v>
      </c>
      <c r="I33">
        <v>0</v>
      </c>
      <c r="J33">
        <v>0</v>
      </c>
    </row>
    <row r="34" spans="1:10" x14ac:dyDescent="0.3">
      <c r="A34" s="106">
        <v>52</v>
      </c>
      <c r="B34" s="370" t="s">
        <v>135</v>
      </c>
      <c r="D34">
        <v>0</v>
      </c>
      <c r="E34">
        <v>0</v>
      </c>
      <c r="F34">
        <v>0</v>
      </c>
      <c r="G34">
        <v>0</v>
      </c>
      <c r="H34">
        <v>0</v>
      </c>
      <c r="I34">
        <v>0</v>
      </c>
      <c r="J34">
        <v>0</v>
      </c>
    </row>
    <row r="35" spans="1:10" x14ac:dyDescent="0.3">
      <c r="A35" s="106">
        <v>53</v>
      </c>
      <c r="B35" s="370" t="s">
        <v>32</v>
      </c>
      <c r="D35">
        <v>0</v>
      </c>
      <c r="E35">
        <v>0</v>
      </c>
      <c r="F35">
        <v>0</v>
      </c>
      <c r="G35">
        <v>0</v>
      </c>
      <c r="H35">
        <v>0</v>
      </c>
      <c r="I35">
        <v>0</v>
      </c>
      <c r="J35">
        <v>0</v>
      </c>
    </row>
    <row r="36" spans="1:10" x14ac:dyDescent="0.3">
      <c r="A36" s="106">
        <v>55</v>
      </c>
      <c r="B36" s="370" t="s">
        <v>145</v>
      </c>
      <c r="D36">
        <v>0</v>
      </c>
      <c r="E36">
        <v>0</v>
      </c>
      <c r="F36">
        <v>0</v>
      </c>
      <c r="G36">
        <v>0</v>
      </c>
      <c r="H36">
        <v>0</v>
      </c>
      <c r="I36">
        <v>0</v>
      </c>
      <c r="J36">
        <v>0</v>
      </c>
    </row>
    <row r="37" spans="1:10" x14ac:dyDescent="0.3">
      <c r="A37" s="106">
        <v>61</v>
      </c>
      <c r="B37" s="370" t="s">
        <v>158</v>
      </c>
      <c r="D37">
        <v>0</v>
      </c>
      <c r="E37">
        <v>0</v>
      </c>
      <c r="F37">
        <v>0</v>
      </c>
      <c r="G37">
        <v>0</v>
      </c>
      <c r="H37">
        <v>0</v>
      </c>
      <c r="I37">
        <v>0</v>
      </c>
      <c r="J37">
        <v>0</v>
      </c>
    </row>
    <row r="38" spans="1:10" x14ac:dyDescent="0.3">
      <c r="A38" s="106">
        <v>80</v>
      </c>
      <c r="B38" s="370" t="s">
        <v>115</v>
      </c>
      <c r="D38">
        <v>0</v>
      </c>
      <c r="E38">
        <v>0</v>
      </c>
      <c r="F38">
        <v>0</v>
      </c>
      <c r="G38">
        <v>0</v>
      </c>
      <c r="H38">
        <v>0</v>
      </c>
      <c r="I38">
        <v>0</v>
      </c>
      <c r="J38">
        <v>0</v>
      </c>
    </row>
    <row r="39" spans="1:10" x14ac:dyDescent="0.3">
      <c r="A39" s="106">
        <v>81</v>
      </c>
      <c r="B39" s="370" t="s">
        <v>116</v>
      </c>
      <c r="D39">
        <v>0</v>
      </c>
      <c r="E39">
        <v>0</v>
      </c>
      <c r="F39">
        <v>0</v>
      </c>
      <c r="G39">
        <v>0</v>
      </c>
      <c r="H39">
        <v>0</v>
      </c>
      <c r="I39">
        <v>0</v>
      </c>
      <c r="J39">
        <v>0</v>
      </c>
    </row>
    <row r="40" spans="1:10" x14ac:dyDescent="0.3">
      <c r="A40" s="106">
        <v>82</v>
      </c>
      <c r="B40" s="370" t="s">
        <v>201</v>
      </c>
      <c r="D40">
        <v>0</v>
      </c>
      <c r="E40">
        <v>0</v>
      </c>
      <c r="F40">
        <v>0</v>
      </c>
      <c r="G40">
        <v>0</v>
      </c>
      <c r="H40">
        <v>0</v>
      </c>
      <c r="I40">
        <v>0</v>
      </c>
      <c r="J40">
        <v>0</v>
      </c>
    </row>
    <row r="41" spans="1:10" x14ac:dyDescent="0.3">
      <c r="A41" s="106">
        <v>83</v>
      </c>
      <c r="B41" s="370" t="s">
        <v>33</v>
      </c>
      <c r="D41">
        <v>0</v>
      </c>
      <c r="E41">
        <v>0</v>
      </c>
      <c r="F41">
        <v>0</v>
      </c>
      <c r="G41">
        <v>0</v>
      </c>
      <c r="H41">
        <v>0</v>
      </c>
      <c r="I41">
        <v>0</v>
      </c>
      <c r="J41">
        <v>0</v>
      </c>
    </row>
    <row r="42" spans="1:10" x14ac:dyDescent="0.3">
      <c r="A42" s="106">
        <v>84</v>
      </c>
      <c r="B42" s="370" t="s">
        <v>124</v>
      </c>
      <c r="D42">
        <v>0</v>
      </c>
      <c r="E42">
        <v>0</v>
      </c>
      <c r="F42">
        <v>0</v>
      </c>
      <c r="G42">
        <v>0</v>
      </c>
      <c r="H42">
        <v>0</v>
      </c>
      <c r="I42">
        <v>0</v>
      </c>
      <c r="J42">
        <v>0</v>
      </c>
    </row>
    <row r="43" spans="1:10" x14ac:dyDescent="0.3">
      <c r="A43" s="106">
        <v>85</v>
      </c>
      <c r="B43" s="370" t="s">
        <v>126</v>
      </c>
      <c r="D43">
        <v>0</v>
      </c>
      <c r="E43">
        <v>0</v>
      </c>
      <c r="F43">
        <v>0</v>
      </c>
      <c r="G43">
        <v>0</v>
      </c>
      <c r="H43">
        <v>0</v>
      </c>
      <c r="I43">
        <v>0</v>
      </c>
      <c r="J43">
        <v>0</v>
      </c>
    </row>
    <row r="44" spans="1:10" x14ac:dyDescent="0.3">
      <c r="A44" s="106">
        <v>88</v>
      </c>
      <c r="B44" s="370" t="s">
        <v>123</v>
      </c>
      <c r="D44">
        <v>0</v>
      </c>
      <c r="E44">
        <v>0</v>
      </c>
      <c r="F44">
        <v>0</v>
      </c>
      <c r="G44">
        <v>0</v>
      </c>
      <c r="H44">
        <v>0</v>
      </c>
      <c r="I44">
        <v>0</v>
      </c>
      <c r="J44">
        <v>0</v>
      </c>
    </row>
    <row r="45" spans="1:10" x14ac:dyDescent="0.3">
      <c r="A45" s="106">
        <v>89</v>
      </c>
      <c r="B45" s="370" t="s">
        <v>127</v>
      </c>
      <c r="D45">
        <v>0</v>
      </c>
      <c r="E45">
        <v>0</v>
      </c>
      <c r="F45">
        <v>0</v>
      </c>
      <c r="G45">
        <v>0</v>
      </c>
      <c r="H45">
        <v>0</v>
      </c>
      <c r="I45">
        <v>0</v>
      </c>
      <c r="J45">
        <v>0</v>
      </c>
    </row>
    <row r="46" spans="1:10" x14ac:dyDescent="0.3">
      <c r="A46" s="106">
        <v>90</v>
      </c>
      <c r="B46" s="370" t="s">
        <v>120</v>
      </c>
      <c r="D46">
        <v>0</v>
      </c>
      <c r="E46">
        <v>0</v>
      </c>
      <c r="F46">
        <v>0</v>
      </c>
      <c r="G46">
        <v>0</v>
      </c>
      <c r="H46">
        <v>0</v>
      </c>
      <c r="I46">
        <v>0</v>
      </c>
      <c r="J46">
        <v>0</v>
      </c>
    </row>
    <row r="47" spans="1:10" x14ac:dyDescent="0.3">
      <c r="A47" s="106">
        <v>91</v>
      </c>
      <c r="B47" s="370" t="s">
        <v>121</v>
      </c>
      <c r="D47">
        <v>0</v>
      </c>
      <c r="E47">
        <v>0</v>
      </c>
      <c r="F47">
        <v>0</v>
      </c>
      <c r="G47">
        <v>0</v>
      </c>
      <c r="H47">
        <v>0</v>
      </c>
      <c r="I47">
        <v>0</v>
      </c>
      <c r="J47">
        <v>0</v>
      </c>
    </row>
    <row r="48" spans="1:10" x14ac:dyDescent="0.3">
      <c r="A48" s="106">
        <v>93</v>
      </c>
      <c r="B48" s="370" t="s">
        <v>133</v>
      </c>
      <c r="D48">
        <v>0</v>
      </c>
      <c r="E48">
        <v>0</v>
      </c>
      <c r="F48">
        <v>0</v>
      </c>
      <c r="G48">
        <v>0</v>
      </c>
      <c r="H48">
        <v>0</v>
      </c>
      <c r="I48">
        <v>0</v>
      </c>
      <c r="J48">
        <v>0</v>
      </c>
    </row>
    <row r="49" spans="1:10" x14ac:dyDescent="0.3">
      <c r="A49" s="106">
        <v>94</v>
      </c>
      <c r="B49" s="370" t="s">
        <v>136</v>
      </c>
      <c r="D49">
        <v>0</v>
      </c>
      <c r="E49">
        <v>0</v>
      </c>
      <c r="F49">
        <v>0</v>
      </c>
      <c r="G49">
        <v>0</v>
      </c>
      <c r="H49">
        <v>0</v>
      </c>
      <c r="I49">
        <v>0</v>
      </c>
      <c r="J49">
        <v>0</v>
      </c>
    </row>
    <row r="50" spans="1:10" x14ac:dyDescent="0.3">
      <c r="A50" s="106">
        <v>97</v>
      </c>
      <c r="B50" s="370" t="s">
        <v>132</v>
      </c>
      <c r="D50">
        <v>0</v>
      </c>
      <c r="E50">
        <v>0</v>
      </c>
      <c r="F50">
        <v>0</v>
      </c>
      <c r="G50">
        <v>0</v>
      </c>
      <c r="H50">
        <v>0</v>
      </c>
      <c r="I50">
        <v>0</v>
      </c>
      <c r="J50">
        <v>0</v>
      </c>
    </row>
    <row r="51" spans="1:10" x14ac:dyDescent="0.3">
      <c r="A51" s="106">
        <v>98</v>
      </c>
      <c r="B51" s="370" t="s">
        <v>137</v>
      </c>
      <c r="D51">
        <v>0</v>
      </c>
      <c r="E51">
        <v>0</v>
      </c>
      <c r="F51">
        <v>0</v>
      </c>
      <c r="G51">
        <v>0</v>
      </c>
      <c r="H51">
        <v>0</v>
      </c>
      <c r="I51">
        <v>0</v>
      </c>
      <c r="J51">
        <v>0</v>
      </c>
    </row>
    <row r="52" spans="1:10" x14ac:dyDescent="0.3">
      <c r="A52" s="106">
        <v>99</v>
      </c>
      <c r="B52" s="370" t="s">
        <v>134</v>
      </c>
      <c r="D52">
        <v>0</v>
      </c>
      <c r="E52">
        <v>0</v>
      </c>
      <c r="F52">
        <v>0</v>
      </c>
      <c r="G52">
        <v>0</v>
      </c>
      <c r="H52">
        <v>0</v>
      </c>
      <c r="I52">
        <v>0</v>
      </c>
      <c r="J52">
        <v>0</v>
      </c>
    </row>
    <row r="53" spans="1:10" x14ac:dyDescent="0.3">
      <c r="A53" s="106">
        <v>100</v>
      </c>
      <c r="B53" s="370" t="s">
        <v>147</v>
      </c>
      <c r="D53">
        <v>0</v>
      </c>
      <c r="E53">
        <v>0</v>
      </c>
      <c r="F53">
        <v>0</v>
      </c>
      <c r="G53">
        <v>0</v>
      </c>
      <c r="H53">
        <v>0</v>
      </c>
      <c r="I53">
        <v>0</v>
      </c>
      <c r="J53">
        <v>0</v>
      </c>
    </row>
    <row r="54" spans="1:10" x14ac:dyDescent="0.3">
      <c r="A54" s="106">
        <v>101</v>
      </c>
      <c r="B54" s="370" t="s">
        <v>146</v>
      </c>
      <c r="D54">
        <v>0</v>
      </c>
      <c r="E54">
        <v>0</v>
      </c>
      <c r="F54">
        <v>0</v>
      </c>
      <c r="G54">
        <v>0</v>
      </c>
      <c r="H54">
        <v>0</v>
      </c>
      <c r="I54">
        <v>0</v>
      </c>
      <c r="J54">
        <v>0</v>
      </c>
    </row>
    <row r="55" spans="1:10" x14ac:dyDescent="0.3">
      <c r="A55" s="106">
        <v>102</v>
      </c>
      <c r="B55" s="370" t="s">
        <v>159</v>
      </c>
      <c r="D55">
        <v>0</v>
      </c>
      <c r="E55">
        <v>0</v>
      </c>
      <c r="F55">
        <v>0</v>
      </c>
      <c r="G55">
        <v>0</v>
      </c>
      <c r="H55">
        <v>0</v>
      </c>
      <c r="I55">
        <v>0</v>
      </c>
      <c r="J55">
        <v>0</v>
      </c>
    </row>
    <row r="56" spans="1:10" x14ac:dyDescent="0.3">
      <c r="A56" s="106">
        <v>103</v>
      </c>
      <c r="B56" s="370" t="s">
        <v>160</v>
      </c>
      <c r="D56">
        <v>0</v>
      </c>
      <c r="E56">
        <v>0</v>
      </c>
      <c r="F56">
        <v>0</v>
      </c>
      <c r="G56">
        <v>0</v>
      </c>
      <c r="H56">
        <v>0</v>
      </c>
      <c r="I56">
        <v>0</v>
      </c>
      <c r="J56">
        <v>0</v>
      </c>
    </row>
    <row r="57" spans="1:10" x14ac:dyDescent="0.3">
      <c r="A57" s="106">
        <v>104</v>
      </c>
      <c r="B57" s="370" t="s">
        <v>412</v>
      </c>
      <c r="D57">
        <v>0</v>
      </c>
      <c r="E57">
        <v>0</v>
      </c>
      <c r="F57">
        <v>0</v>
      </c>
      <c r="G57">
        <v>0</v>
      </c>
      <c r="H57">
        <v>0</v>
      </c>
      <c r="I57">
        <v>0</v>
      </c>
      <c r="J57">
        <v>0</v>
      </c>
    </row>
    <row r="58" spans="1:10" x14ac:dyDescent="0.3">
      <c r="A58" s="106">
        <v>107</v>
      </c>
      <c r="B58" s="370" t="s">
        <v>413</v>
      </c>
      <c r="D58">
        <v>0</v>
      </c>
      <c r="E58">
        <v>0</v>
      </c>
      <c r="F58">
        <v>0</v>
      </c>
      <c r="G58">
        <v>0</v>
      </c>
      <c r="H58">
        <v>0</v>
      </c>
      <c r="I58">
        <v>0</v>
      </c>
      <c r="J58">
        <v>0</v>
      </c>
    </row>
    <row r="59" spans="1:10" ht="28.8" x14ac:dyDescent="0.3">
      <c r="A59" s="106">
        <v>108</v>
      </c>
      <c r="B59" s="370" t="s">
        <v>414</v>
      </c>
      <c r="D59">
        <v>0</v>
      </c>
      <c r="E59">
        <v>0</v>
      </c>
      <c r="F59">
        <v>0</v>
      </c>
      <c r="G59">
        <v>0</v>
      </c>
      <c r="H59">
        <v>0</v>
      </c>
      <c r="I59">
        <v>0</v>
      </c>
      <c r="J59">
        <v>0</v>
      </c>
    </row>
    <row r="60" spans="1:10" x14ac:dyDescent="0.3">
      <c r="A60" s="106">
        <v>147</v>
      </c>
      <c r="B60" s="370" t="s">
        <v>415</v>
      </c>
      <c r="D60">
        <v>0</v>
      </c>
      <c r="E60">
        <v>0</v>
      </c>
      <c r="F60">
        <v>0</v>
      </c>
      <c r="G60">
        <v>0</v>
      </c>
      <c r="H60">
        <v>0</v>
      </c>
      <c r="I60">
        <v>0</v>
      </c>
      <c r="J60">
        <v>0</v>
      </c>
    </row>
    <row r="61" spans="1:10" x14ac:dyDescent="0.3">
      <c r="A61" s="106">
        <v>148</v>
      </c>
      <c r="B61" s="370" t="s">
        <v>416</v>
      </c>
      <c r="D61">
        <v>0</v>
      </c>
      <c r="E61">
        <v>0</v>
      </c>
      <c r="F61">
        <v>0</v>
      </c>
      <c r="G61">
        <v>0</v>
      </c>
      <c r="H61">
        <v>0</v>
      </c>
      <c r="I61">
        <v>0</v>
      </c>
      <c r="J61">
        <v>0</v>
      </c>
    </row>
    <row r="62" spans="1:10" x14ac:dyDescent="0.3">
      <c r="A62" s="106">
        <v>149</v>
      </c>
      <c r="B62" s="370" t="s">
        <v>417</v>
      </c>
      <c r="D62">
        <v>0</v>
      </c>
      <c r="E62">
        <v>0</v>
      </c>
      <c r="F62">
        <v>0</v>
      </c>
      <c r="G62">
        <v>0</v>
      </c>
      <c r="H62">
        <v>0</v>
      </c>
      <c r="I62">
        <v>0</v>
      </c>
      <c r="J62">
        <v>0</v>
      </c>
    </row>
    <row r="63" spans="1:10" ht="28.8" x14ac:dyDescent="0.3">
      <c r="A63" s="106">
        <v>150</v>
      </c>
      <c r="B63" s="370" t="s">
        <v>418</v>
      </c>
      <c r="D63">
        <v>0</v>
      </c>
      <c r="E63">
        <v>0</v>
      </c>
      <c r="F63">
        <v>0</v>
      </c>
      <c r="G63">
        <v>0</v>
      </c>
      <c r="H63">
        <v>0</v>
      </c>
      <c r="I63">
        <v>0</v>
      </c>
      <c r="J63">
        <v>0</v>
      </c>
    </row>
    <row r="64" spans="1:10" x14ac:dyDescent="0.3">
      <c r="A64" s="106">
        <v>171</v>
      </c>
      <c r="B64" s="370" t="s">
        <v>114</v>
      </c>
      <c r="D64">
        <v>0</v>
      </c>
      <c r="E64">
        <v>0</v>
      </c>
      <c r="F64">
        <v>0</v>
      </c>
      <c r="G64">
        <v>0</v>
      </c>
      <c r="H64">
        <v>0</v>
      </c>
      <c r="I64">
        <v>0</v>
      </c>
      <c r="J64">
        <v>0</v>
      </c>
    </row>
    <row r="65" spans="1:10" x14ac:dyDescent="0.3">
      <c r="A65" s="106">
        <v>191</v>
      </c>
      <c r="B65" s="370" t="s">
        <v>129</v>
      </c>
      <c r="D65">
        <v>0</v>
      </c>
      <c r="E65">
        <v>0</v>
      </c>
      <c r="F65">
        <v>0</v>
      </c>
      <c r="G65">
        <v>0</v>
      </c>
      <c r="H65">
        <v>0</v>
      </c>
      <c r="I65">
        <v>0</v>
      </c>
      <c r="J65">
        <v>0</v>
      </c>
    </row>
    <row r="66" spans="1:10" x14ac:dyDescent="0.3">
      <c r="A66" s="106">
        <v>192</v>
      </c>
      <c r="B66" s="370" t="s">
        <v>140</v>
      </c>
      <c r="D66">
        <v>0</v>
      </c>
      <c r="E66">
        <v>0</v>
      </c>
      <c r="F66">
        <v>0</v>
      </c>
      <c r="G66">
        <v>0</v>
      </c>
      <c r="H66">
        <v>0</v>
      </c>
      <c r="I66">
        <v>0</v>
      </c>
      <c r="J66">
        <v>0</v>
      </c>
    </row>
    <row r="67" spans="1:10" ht="28.8" x14ac:dyDescent="0.3">
      <c r="A67" s="106">
        <v>193</v>
      </c>
      <c r="B67" s="370" t="s">
        <v>187</v>
      </c>
      <c r="D67">
        <v>0</v>
      </c>
      <c r="E67">
        <v>0</v>
      </c>
      <c r="F67">
        <v>0</v>
      </c>
      <c r="G67">
        <v>0</v>
      </c>
      <c r="H67">
        <v>0</v>
      </c>
      <c r="I67">
        <v>0</v>
      </c>
      <c r="J67">
        <v>0</v>
      </c>
    </row>
    <row r="68" spans="1:10" x14ac:dyDescent="0.3">
      <c r="A68" s="106">
        <v>194</v>
      </c>
      <c r="B68" s="370" t="s">
        <v>419</v>
      </c>
      <c r="D68">
        <v>0</v>
      </c>
      <c r="E68">
        <v>0</v>
      </c>
      <c r="F68">
        <v>0</v>
      </c>
      <c r="G68">
        <v>0</v>
      </c>
      <c r="H68">
        <v>0</v>
      </c>
      <c r="I68">
        <v>0</v>
      </c>
      <c r="J68">
        <v>0</v>
      </c>
    </row>
    <row r="69" spans="1:10" x14ac:dyDescent="0.3">
      <c r="A69" s="106">
        <v>252</v>
      </c>
      <c r="B69" s="370" t="s">
        <v>34</v>
      </c>
      <c r="D69">
        <v>3547990</v>
      </c>
      <c r="E69">
        <v>734509</v>
      </c>
      <c r="F69">
        <v>481291</v>
      </c>
      <c r="G69">
        <v>1128839</v>
      </c>
      <c r="H69">
        <v>778595</v>
      </c>
      <c r="I69">
        <v>666153</v>
      </c>
      <c r="J69">
        <v>53835</v>
      </c>
    </row>
    <row r="70" spans="1:10" x14ac:dyDescent="0.3">
      <c r="A70" s="106">
        <v>253</v>
      </c>
      <c r="B70" s="370" t="s">
        <v>35</v>
      </c>
      <c r="D70">
        <v>3735171</v>
      </c>
      <c r="E70">
        <v>3732551</v>
      </c>
      <c r="F70">
        <v>3342317</v>
      </c>
      <c r="G70">
        <v>1578032</v>
      </c>
      <c r="H70">
        <v>1999078</v>
      </c>
      <c r="I70">
        <v>1190821</v>
      </c>
      <c r="J70">
        <v>82369</v>
      </c>
    </row>
    <row r="71" spans="1:10" x14ac:dyDescent="0.3">
      <c r="A71" s="106">
        <v>254</v>
      </c>
      <c r="B71" s="370" t="s">
        <v>36</v>
      </c>
      <c r="D71">
        <v>-10352215</v>
      </c>
      <c r="E71">
        <v>3877794</v>
      </c>
      <c r="F71">
        <v>3397185</v>
      </c>
      <c r="G71">
        <v>-7632477</v>
      </c>
      <c r="H71">
        <v>-6015099</v>
      </c>
      <c r="I71">
        <v>-1752172</v>
      </c>
      <c r="J71">
        <v>4125086</v>
      </c>
    </row>
    <row r="72" spans="1:10" x14ac:dyDescent="0.3">
      <c r="A72" s="106">
        <v>255</v>
      </c>
      <c r="B72" s="370" t="s">
        <v>97</v>
      </c>
      <c r="D72">
        <v>3988533</v>
      </c>
      <c r="E72">
        <v>5462282</v>
      </c>
      <c r="F72">
        <v>1562918</v>
      </c>
      <c r="G72">
        <v>1349068</v>
      </c>
      <c r="H72">
        <v>845879</v>
      </c>
      <c r="I72">
        <v>365507</v>
      </c>
      <c r="J72">
        <v>625845</v>
      </c>
    </row>
    <row r="73" spans="1:10" x14ac:dyDescent="0.3">
      <c r="A73" s="106">
        <v>294</v>
      </c>
      <c r="B73" s="370" t="s">
        <v>420</v>
      </c>
      <c r="D73">
        <v>0</v>
      </c>
      <c r="E73">
        <v>0</v>
      </c>
      <c r="F73">
        <v>0</v>
      </c>
      <c r="G73">
        <v>0</v>
      </c>
      <c r="H73">
        <v>0</v>
      </c>
      <c r="I73">
        <v>0</v>
      </c>
      <c r="J73">
        <v>0</v>
      </c>
    </row>
    <row r="74" spans="1:10" x14ac:dyDescent="0.3">
      <c r="A74" s="106">
        <v>327</v>
      </c>
      <c r="B74" s="370" t="s">
        <v>421</v>
      </c>
      <c r="D74">
        <v>0</v>
      </c>
      <c r="E74">
        <v>0</v>
      </c>
      <c r="F74">
        <v>0</v>
      </c>
      <c r="G74">
        <v>0</v>
      </c>
      <c r="H74">
        <v>0</v>
      </c>
      <c r="I74">
        <v>0</v>
      </c>
      <c r="J74">
        <v>0</v>
      </c>
    </row>
    <row r="75" spans="1:10" x14ac:dyDescent="0.3">
      <c r="A75" s="106">
        <v>328</v>
      </c>
      <c r="B75" s="370" t="s">
        <v>198</v>
      </c>
      <c r="D75">
        <v>0</v>
      </c>
      <c r="E75">
        <v>0</v>
      </c>
      <c r="F75">
        <v>0</v>
      </c>
      <c r="G75">
        <v>0</v>
      </c>
      <c r="H75">
        <v>0</v>
      </c>
      <c r="I75">
        <v>0</v>
      </c>
      <c r="J75">
        <v>0</v>
      </c>
    </row>
    <row r="76" spans="1:10" x14ac:dyDescent="0.3">
      <c r="A76" s="106">
        <v>331</v>
      </c>
      <c r="B76" s="370" t="s">
        <v>143</v>
      </c>
      <c r="D76">
        <v>0</v>
      </c>
      <c r="E76">
        <v>0</v>
      </c>
      <c r="F76">
        <v>0</v>
      </c>
      <c r="G76">
        <v>0</v>
      </c>
      <c r="H76">
        <v>0</v>
      </c>
      <c r="I76">
        <v>0</v>
      </c>
      <c r="J76">
        <v>0</v>
      </c>
    </row>
    <row r="77" spans="1:10" x14ac:dyDescent="0.3">
      <c r="A77" s="106">
        <v>332</v>
      </c>
      <c r="B77" s="370" t="s">
        <v>144</v>
      </c>
      <c r="D77">
        <v>0</v>
      </c>
      <c r="E77">
        <v>0</v>
      </c>
      <c r="F77">
        <v>0</v>
      </c>
      <c r="G77">
        <v>0</v>
      </c>
      <c r="H77">
        <v>0</v>
      </c>
      <c r="I77">
        <v>0</v>
      </c>
      <c r="J77">
        <v>0</v>
      </c>
    </row>
    <row r="78" spans="1:10" x14ac:dyDescent="0.3">
      <c r="A78" s="106">
        <v>333</v>
      </c>
      <c r="B78" s="370" t="s">
        <v>85</v>
      </c>
      <c r="D78">
        <v>8681998</v>
      </c>
      <c r="E78">
        <v>5987879</v>
      </c>
      <c r="F78">
        <v>8203508</v>
      </c>
      <c r="G78">
        <v>901267</v>
      </c>
      <c r="H78">
        <v>2042389</v>
      </c>
      <c r="I78">
        <v>1693963</v>
      </c>
      <c r="J78">
        <v>5828319</v>
      </c>
    </row>
    <row r="79" spans="1:10" x14ac:dyDescent="0.3">
      <c r="A79" s="106">
        <v>334</v>
      </c>
      <c r="B79" s="370" t="s">
        <v>165</v>
      </c>
      <c r="D79">
        <v>0</v>
      </c>
      <c r="E79">
        <v>0</v>
      </c>
      <c r="F79">
        <v>0</v>
      </c>
      <c r="G79">
        <v>0</v>
      </c>
      <c r="H79">
        <v>0</v>
      </c>
      <c r="I79">
        <v>0</v>
      </c>
      <c r="J79">
        <v>0</v>
      </c>
    </row>
    <row r="80" spans="1:10" ht="28.8" x14ac:dyDescent="0.3">
      <c r="A80" s="106">
        <v>335</v>
      </c>
      <c r="B80" s="370" t="s">
        <v>47</v>
      </c>
      <c r="D80">
        <v>0</v>
      </c>
      <c r="E80">
        <v>0</v>
      </c>
      <c r="F80">
        <v>0</v>
      </c>
      <c r="G80">
        <v>28600</v>
      </c>
      <c r="H80">
        <v>0</v>
      </c>
      <c r="I80">
        <v>269495</v>
      </c>
      <c r="J80">
        <v>583118</v>
      </c>
    </row>
    <row r="81" spans="1:10" x14ac:dyDescent="0.3">
      <c r="A81" s="106">
        <v>336</v>
      </c>
      <c r="B81" s="370" t="s">
        <v>422</v>
      </c>
      <c r="D81">
        <v>0</v>
      </c>
      <c r="E81">
        <v>111797</v>
      </c>
      <c r="F81">
        <v>843163</v>
      </c>
      <c r="G81">
        <v>188316</v>
      </c>
      <c r="H81">
        <v>50227</v>
      </c>
      <c r="I81">
        <v>611460</v>
      </c>
      <c r="J81">
        <v>1136166</v>
      </c>
    </row>
    <row r="82" spans="1:10" x14ac:dyDescent="0.3">
      <c r="A82" s="106">
        <v>337</v>
      </c>
      <c r="B82" s="370" t="s">
        <v>150</v>
      </c>
      <c r="D82">
        <v>0</v>
      </c>
      <c r="E82">
        <v>0</v>
      </c>
      <c r="F82">
        <v>0</v>
      </c>
      <c r="G82">
        <v>0</v>
      </c>
      <c r="H82">
        <v>0</v>
      </c>
      <c r="I82">
        <v>0</v>
      </c>
      <c r="J82">
        <v>0</v>
      </c>
    </row>
    <row r="83" spans="1:10" x14ac:dyDescent="0.3">
      <c r="A83" s="106">
        <v>338</v>
      </c>
      <c r="B83" s="370" t="s">
        <v>46</v>
      </c>
      <c r="D83">
        <v>24455220</v>
      </c>
      <c r="E83">
        <v>4449162</v>
      </c>
      <c r="F83">
        <v>11016222</v>
      </c>
      <c r="G83">
        <v>10755823</v>
      </c>
      <c r="H83">
        <v>9789667</v>
      </c>
      <c r="I83">
        <v>4999282</v>
      </c>
      <c r="J83">
        <v>2267552</v>
      </c>
    </row>
    <row r="84" spans="1:10" x14ac:dyDescent="0.3">
      <c r="A84" s="106">
        <v>339</v>
      </c>
      <c r="B84" s="370" t="s">
        <v>90</v>
      </c>
      <c r="D84">
        <v>9404496</v>
      </c>
      <c r="E84">
        <v>6473656</v>
      </c>
      <c r="F84">
        <v>9915841</v>
      </c>
      <c r="G84">
        <v>2803358</v>
      </c>
      <c r="H84">
        <v>2381410</v>
      </c>
      <c r="I84">
        <v>3870355</v>
      </c>
      <c r="J84">
        <v>1287641</v>
      </c>
    </row>
    <row r="85" spans="1:10" ht="28.8" x14ac:dyDescent="0.3">
      <c r="A85" s="106">
        <v>341</v>
      </c>
      <c r="B85" s="370" t="s">
        <v>423</v>
      </c>
      <c r="D85">
        <v>1073732</v>
      </c>
      <c r="E85">
        <v>744</v>
      </c>
      <c r="F85">
        <v>23727</v>
      </c>
      <c r="G85">
        <v>135976</v>
      </c>
      <c r="H85">
        <v>1522919</v>
      </c>
      <c r="I85">
        <v>1017377</v>
      </c>
      <c r="J85">
        <v>973</v>
      </c>
    </row>
    <row r="86" spans="1:10" x14ac:dyDescent="0.3">
      <c r="A86" s="106">
        <v>343</v>
      </c>
      <c r="B86" s="370" t="s">
        <v>151</v>
      </c>
      <c r="D86">
        <v>0</v>
      </c>
      <c r="E86">
        <v>0</v>
      </c>
      <c r="F86">
        <v>0</v>
      </c>
      <c r="G86">
        <v>0</v>
      </c>
      <c r="H86">
        <v>0</v>
      </c>
      <c r="I86">
        <v>0</v>
      </c>
      <c r="J86">
        <v>0</v>
      </c>
    </row>
    <row r="87" spans="1:10" x14ac:dyDescent="0.3">
      <c r="A87" s="106">
        <v>344</v>
      </c>
      <c r="B87" s="370" t="s">
        <v>88</v>
      </c>
      <c r="D87">
        <v>0</v>
      </c>
      <c r="E87">
        <v>0</v>
      </c>
      <c r="F87">
        <v>0</v>
      </c>
      <c r="G87">
        <v>0</v>
      </c>
      <c r="H87">
        <v>0</v>
      </c>
      <c r="I87">
        <v>0</v>
      </c>
      <c r="J87">
        <v>0</v>
      </c>
    </row>
    <row r="88" spans="1:10" x14ac:dyDescent="0.3">
      <c r="A88" s="106">
        <v>349</v>
      </c>
      <c r="B88" s="370" t="s">
        <v>52</v>
      </c>
      <c r="D88">
        <v>0</v>
      </c>
      <c r="E88">
        <v>0</v>
      </c>
      <c r="F88">
        <v>0</v>
      </c>
      <c r="G88">
        <v>0</v>
      </c>
      <c r="H88">
        <v>0</v>
      </c>
      <c r="I88">
        <v>0</v>
      </c>
      <c r="J88">
        <v>0</v>
      </c>
    </row>
    <row r="89" spans="1:10" ht="28.8" x14ac:dyDescent="0.3">
      <c r="A89" s="106">
        <v>350</v>
      </c>
      <c r="B89" s="370" t="s">
        <v>424</v>
      </c>
      <c r="D89">
        <v>0</v>
      </c>
      <c r="E89">
        <v>0</v>
      </c>
      <c r="F89">
        <v>0</v>
      </c>
      <c r="G89">
        <v>0</v>
      </c>
      <c r="H89">
        <v>0</v>
      </c>
      <c r="I89">
        <v>0</v>
      </c>
      <c r="J89">
        <v>0</v>
      </c>
    </row>
    <row r="90" spans="1:10" x14ac:dyDescent="0.3">
      <c r="A90" s="106">
        <v>351</v>
      </c>
      <c r="B90" s="370" t="s">
        <v>128</v>
      </c>
      <c r="D90">
        <v>0</v>
      </c>
      <c r="E90">
        <v>0</v>
      </c>
      <c r="F90">
        <v>0</v>
      </c>
      <c r="G90">
        <v>0</v>
      </c>
      <c r="H90">
        <v>0</v>
      </c>
      <c r="I90">
        <v>0</v>
      </c>
      <c r="J90">
        <v>0</v>
      </c>
    </row>
    <row r="91" spans="1:10" x14ac:dyDescent="0.3">
      <c r="A91" s="106">
        <v>352</v>
      </c>
      <c r="B91" s="370" t="s">
        <v>130</v>
      </c>
      <c r="D91">
        <v>0</v>
      </c>
      <c r="E91">
        <v>0</v>
      </c>
      <c r="F91">
        <v>0</v>
      </c>
      <c r="G91">
        <v>0</v>
      </c>
      <c r="H91">
        <v>0</v>
      </c>
      <c r="I91">
        <v>0</v>
      </c>
      <c r="J91">
        <v>0</v>
      </c>
    </row>
    <row r="92" spans="1:10" x14ac:dyDescent="0.3">
      <c r="A92" s="106">
        <v>353</v>
      </c>
      <c r="B92" s="370" t="s">
        <v>131</v>
      </c>
      <c r="D92">
        <v>0</v>
      </c>
      <c r="E92">
        <v>0</v>
      </c>
      <c r="F92">
        <v>0</v>
      </c>
      <c r="G92">
        <v>0</v>
      </c>
      <c r="H92">
        <v>0</v>
      </c>
      <c r="I92">
        <v>0</v>
      </c>
      <c r="J92">
        <v>0</v>
      </c>
    </row>
    <row r="93" spans="1:10" ht="28.8" x14ac:dyDescent="0.3">
      <c r="A93" s="106">
        <v>356</v>
      </c>
      <c r="B93" s="370" t="s">
        <v>199</v>
      </c>
      <c r="D93">
        <v>0</v>
      </c>
      <c r="E93">
        <v>0</v>
      </c>
      <c r="F93">
        <v>0</v>
      </c>
      <c r="G93">
        <v>0</v>
      </c>
      <c r="H93">
        <v>0</v>
      </c>
      <c r="I93">
        <v>0</v>
      </c>
      <c r="J93">
        <v>0</v>
      </c>
    </row>
    <row r="94" spans="1:10" x14ac:dyDescent="0.3">
      <c r="A94" s="106">
        <v>357</v>
      </c>
      <c r="B94" s="370" t="s">
        <v>200</v>
      </c>
      <c r="D94">
        <v>0</v>
      </c>
      <c r="E94">
        <v>0</v>
      </c>
      <c r="F94">
        <v>0</v>
      </c>
      <c r="G94">
        <v>0</v>
      </c>
      <c r="H94">
        <v>0</v>
      </c>
      <c r="I94">
        <v>0</v>
      </c>
      <c r="J94">
        <v>0</v>
      </c>
    </row>
    <row r="95" spans="1:10" x14ac:dyDescent="0.3">
      <c r="A95" s="106">
        <v>359</v>
      </c>
      <c r="B95" s="370" t="s">
        <v>152</v>
      </c>
      <c r="D95">
        <v>0</v>
      </c>
      <c r="E95">
        <v>0</v>
      </c>
      <c r="F95">
        <v>0</v>
      </c>
      <c r="G95">
        <v>0</v>
      </c>
      <c r="H95">
        <v>0</v>
      </c>
      <c r="I95">
        <v>0</v>
      </c>
      <c r="J95">
        <v>0</v>
      </c>
    </row>
    <row r="96" spans="1:10" x14ac:dyDescent="0.3">
      <c r="A96" s="106">
        <v>360</v>
      </c>
      <c r="B96" s="370" t="s">
        <v>55</v>
      </c>
      <c r="D96">
        <v>0</v>
      </c>
      <c r="E96">
        <v>0</v>
      </c>
      <c r="F96">
        <v>0</v>
      </c>
      <c r="G96">
        <v>0</v>
      </c>
      <c r="H96">
        <v>0</v>
      </c>
      <c r="I96">
        <v>0</v>
      </c>
      <c r="J96">
        <v>0</v>
      </c>
    </row>
    <row r="97" spans="1:10" x14ac:dyDescent="0.3">
      <c r="A97" s="106">
        <v>361</v>
      </c>
      <c r="B97" s="370" t="s">
        <v>37</v>
      </c>
      <c r="D97">
        <v>0</v>
      </c>
      <c r="E97">
        <v>0</v>
      </c>
      <c r="F97">
        <v>0</v>
      </c>
      <c r="G97">
        <v>0</v>
      </c>
      <c r="H97">
        <v>0</v>
      </c>
      <c r="I97">
        <v>0</v>
      </c>
      <c r="J97">
        <v>0</v>
      </c>
    </row>
    <row r="98" spans="1:10" x14ac:dyDescent="0.3">
      <c r="A98" s="106">
        <v>362</v>
      </c>
      <c r="B98" s="370" t="s">
        <v>38</v>
      </c>
      <c r="D98">
        <v>0</v>
      </c>
      <c r="E98">
        <v>0</v>
      </c>
      <c r="F98">
        <v>0</v>
      </c>
      <c r="G98">
        <v>0</v>
      </c>
      <c r="H98">
        <v>0</v>
      </c>
      <c r="I98">
        <v>0</v>
      </c>
      <c r="J98">
        <v>0</v>
      </c>
    </row>
    <row r="99" spans="1:10" x14ac:dyDescent="0.3">
      <c r="A99" s="106">
        <v>363</v>
      </c>
      <c r="B99" s="370" t="s">
        <v>138</v>
      </c>
      <c r="D99">
        <v>0</v>
      </c>
      <c r="E99">
        <v>0</v>
      </c>
      <c r="F99">
        <v>0</v>
      </c>
      <c r="G99">
        <v>0</v>
      </c>
      <c r="H99">
        <v>0</v>
      </c>
      <c r="I99">
        <v>0</v>
      </c>
      <c r="J99">
        <v>0</v>
      </c>
    </row>
    <row r="100" spans="1:10" x14ac:dyDescent="0.3">
      <c r="A100" s="106">
        <v>364</v>
      </c>
      <c r="B100" s="370" t="s">
        <v>139</v>
      </c>
      <c r="D100">
        <v>0</v>
      </c>
      <c r="E100">
        <v>0</v>
      </c>
      <c r="F100">
        <v>0</v>
      </c>
      <c r="G100">
        <v>0</v>
      </c>
      <c r="H100">
        <v>0</v>
      </c>
      <c r="I100">
        <v>0</v>
      </c>
      <c r="J100">
        <v>0</v>
      </c>
    </row>
    <row r="101" spans="1:10" x14ac:dyDescent="0.3">
      <c r="A101" s="106">
        <v>365</v>
      </c>
      <c r="B101" s="370" t="s">
        <v>141</v>
      </c>
      <c r="D101">
        <v>0</v>
      </c>
      <c r="E101">
        <v>0</v>
      </c>
      <c r="F101">
        <v>0</v>
      </c>
      <c r="G101">
        <v>0</v>
      </c>
      <c r="H101">
        <v>0</v>
      </c>
      <c r="I101">
        <v>0</v>
      </c>
      <c r="J101">
        <v>0</v>
      </c>
    </row>
    <row r="102" spans="1:10" x14ac:dyDescent="0.3">
      <c r="A102" s="106">
        <v>366</v>
      </c>
      <c r="B102" s="370" t="s">
        <v>425</v>
      </c>
      <c r="D102">
        <v>0</v>
      </c>
      <c r="E102">
        <v>0</v>
      </c>
      <c r="F102">
        <v>0</v>
      </c>
      <c r="G102">
        <v>0</v>
      </c>
      <c r="H102">
        <v>0</v>
      </c>
      <c r="I102">
        <v>0</v>
      </c>
      <c r="J102">
        <v>0</v>
      </c>
    </row>
    <row r="103" spans="1:10" x14ac:dyDescent="0.3">
      <c r="A103" s="106">
        <v>368</v>
      </c>
      <c r="B103" s="370" t="s">
        <v>100</v>
      </c>
      <c r="D103">
        <v>0</v>
      </c>
      <c r="E103">
        <v>0</v>
      </c>
      <c r="F103">
        <v>0</v>
      </c>
      <c r="G103">
        <v>0</v>
      </c>
      <c r="H103">
        <v>0</v>
      </c>
      <c r="I103">
        <v>0</v>
      </c>
      <c r="J103">
        <v>0</v>
      </c>
    </row>
    <row r="104" spans="1:10" x14ac:dyDescent="0.3">
      <c r="A104" s="106">
        <v>369</v>
      </c>
      <c r="B104" s="370" t="s">
        <v>105</v>
      </c>
      <c r="D104">
        <v>0</v>
      </c>
      <c r="E104">
        <v>0</v>
      </c>
      <c r="F104">
        <v>0</v>
      </c>
      <c r="G104">
        <v>0</v>
      </c>
      <c r="H104">
        <v>0</v>
      </c>
      <c r="I104">
        <v>0</v>
      </c>
      <c r="J104">
        <v>0</v>
      </c>
    </row>
    <row r="105" spans="1:10" x14ac:dyDescent="0.3">
      <c r="A105" s="106">
        <v>370</v>
      </c>
      <c r="B105" s="370" t="s">
        <v>107</v>
      </c>
      <c r="D105">
        <v>0</v>
      </c>
      <c r="E105">
        <v>0</v>
      </c>
      <c r="F105">
        <v>0</v>
      </c>
      <c r="G105">
        <v>0</v>
      </c>
      <c r="H105">
        <v>0</v>
      </c>
      <c r="I105">
        <v>0</v>
      </c>
      <c r="J105">
        <v>0</v>
      </c>
    </row>
    <row r="106" spans="1:10" x14ac:dyDescent="0.3">
      <c r="A106" s="106">
        <v>371</v>
      </c>
      <c r="B106" s="370" t="s">
        <v>153</v>
      </c>
      <c r="D106">
        <v>0</v>
      </c>
      <c r="E106">
        <v>0</v>
      </c>
      <c r="F106">
        <v>0</v>
      </c>
      <c r="G106">
        <v>0</v>
      </c>
      <c r="H106">
        <v>0</v>
      </c>
      <c r="I106">
        <v>0</v>
      </c>
      <c r="J106">
        <v>0</v>
      </c>
    </row>
    <row r="107" spans="1:10" x14ac:dyDescent="0.3">
      <c r="A107" s="106">
        <v>373</v>
      </c>
      <c r="B107" s="370" t="s">
        <v>197</v>
      </c>
      <c r="D107">
        <v>0</v>
      </c>
      <c r="E107">
        <v>0</v>
      </c>
      <c r="F107">
        <v>0</v>
      </c>
      <c r="G107">
        <v>0</v>
      </c>
      <c r="H107">
        <v>0</v>
      </c>
      <c r="I107">
        <v>0</v>
      </c>
      <c r="J107">
        <v>0</v>
      </c>
    </row>
    <row r="108" spans="1:10" x14ac:dyDescent="0.3">
      <c r="A108" s="106">
        <v>375</v>
      </c>
      <c r="B108" s="370" t="s">
        <v>119</v>
      </c>
      <c r="D108">
        <v>0</v>
      </c>
      <c r="E108">
        <v>0</v>
      </c>
      <c r="F108">
        <v>0</v>
      </c>
      <c r="G108">
        <v>0</v>
      </c>
      <c r="H108">
        <v>0</v>
      </c>
      <c r="I108">
        <v>0</v>
      </c>
      <c r="J108">
        <v>0</v>
      </c>
    </row>
    <row r="109" spans="1:10" x14ac:dyDescent="0.3">
      <c r="A109" s="106">
        <v>376</v>
      </c>
      <c r="B109" s="370" t="s">
        <v>39</v>
      </c>
      <c r="D109">
        <v>0</v>
      </c>
      <c r="E109">
        <v>0</v>
      </c>
      <c r="F109">
        <v>0</v>
      </c>
      <c r="G109">
        <v>0</v>
      </c>
      <c r="H109">
        <v>0</v>
      </c>
      <c r="I109">
        <v>0</v>
      </c>
      <c r="J109">
        <v>0</v>
      </c>
    </row>
    <row r="110" spans="1:10" x14ac:dyDescent="0.3">
      <c r="A110" s="106">
        <v>377</v>
      </c>
      <c r="B110" s="370" t="s">
        <v>40</v>
      </c>
      <c r="D110">
        <v>0</v>
      </c>
      <c r="E110">
        <v>0</v>
      </c>
      <c r="F110">
        <v>0</v>
      </c>
      <c r="G110">
        <v>0</v>
      </c>
      <c r="H110">
        <v>0</v>
      </c>
      <c r="I110">
        <v>0</v>
      </c>
      <c r="J110">
        <v>0</v>
      </c>
    </row>
    <row r="111" spans="1:10" x14ac:dyDescent="0.3">
      <c r="A111" s="106">
        <v>378</v>
      </c>
      <c r="B111" s="370" t="s">
        <v>41</v>
      </c>
      <c r="D111">
        <v>0</v>
      </c>
      <c r="E111">
        <v>0</v>
      </c>
      <c r="F111">
        <v>0</v>
      </c>
      <c r="G111">
        <v>0</v>
      </c>
      <c r="H111">
        <v>0</v>
      </c>
      <c r="I111">
        <v>0</v>
      </c>
      <c r="J111">
        <v>0</v>
      </c>
    </row>
    <row r="112" spans="1:10" x14ac:dyDescent="0.3">
      <c r="A112" s="106">
        <v>379</v>
      </c>
      <c r="B112" s="370" t="s">
        <v>48</v>
      </c>
      <c r="D112">
        <v>9742980</v>
      </c>
      <c r="E112">
        <v>10485799</v>
      </c>
      <c r="F112">
        <v>13127564</v>
      </c>
      <c r="G112">
        <v>2298313</v>
      </c>
      <c r="H112">
        <v>4535693</v>
      </c>
      <c r="I112">
        <v>2884784</v>
      </c>
      <c r="J112">
        <v>5940107</v>
      </c>
    </row>
    <row r="113" spans="1:10" x14ac:dyDescent="0.3">
      <c r="A113" s="106">
        <v>380</v>
      </c>
      <c r="B113" s="370" t="s">
        <v>51</v>
      </c>
      <c r="D113">
        <v>1687405</v>
      </c>
      <c r="E113">
        <v>729515</v>
      </c>
      <c r="F113">
        <v>980869</v>
      </c>
      <c r="G113">
        <v>0</v>
      </c>
      <c r="H113">
        <v>127884</v>
      </c>
      <c r="I113">
        <v>0</v>
      </c>
      <c r="J113">
        <v>0</v>
      </c>
    </row>
    <row r="114" spans="1:10" x14ac:dyDescent="0.3">
      <c r="A114" s="106">
        <v>381</v>
      </c>
      <c r="B114" s="370" t="s">
        <v>43</v>
      </c>
      <c r="D114">
        <v>0</v>
      </c>
      <c r="E114">
        <v>0</v>
      </c>
      <c r="F114">
        <v>0</v>
      </c>
      <c r="G114">
        <v>0</v>
      </c>
      <c r="H114">
        <v>0</v>
      </c>
      <c r="I114">
        <v>0</v>
      </c>
      <c r="J114">
        <v>0</v>
      </c>
    </row>
    <row r="115" spans="1:10" x14ac:dyDescent="0.3">
      <c r="A115" s="106">
        <v>382</v>
      </c>
      <c r="B115" s="370" t="s">
        <v>44</v>
      </c>
      <c r="D115">
        <v>0</v>
      </c>
      <c r="E115">
        <v>0</v>
      </c>
      <c r="F115">
        <v>0</v>
      </c>
      <c r="G115">
        <v>0</v>
      </c>
      <c r="H115">
        <v>0</v>
      </c>
      <c r="I115">
        <v>0</v>
      </c>
      <c r="J115">
        <v>0</v>
      </c>
    </row>
    <row r="116" spans="1:10" x14ac:dyDescent="0.3">
      <c r="A116" s="106">
        <v>383</v>
      </c>
      <c r="B116" s="370" t="s">
        <v>118</v>
      </c>
      <c r="D116">
        <v>0</v>
      </c>
      <c r="E116">
        <v>0</v>
      </c>
      <c r="F116">
        <v>0</v>
      </c>
      <c r="G116">
        <v>0</v>
      </c>
      <c r="H116">
        <v>0</v>
      </c>
      <c r="I116">
        <v>0</v>
      </c>
      <c r="J116">
        <v>0</v>
      </c>
    </row>
    <row r="117" spans="1:10" ht="28.8" x14ac:dyDescent="0.3">
      <c r="A117" s="106">
        <v>384</v>
      </c>
      <c r="B117" s="370" t="s">
        <v>54</v>
      </c>
      <c r="D117">
        <v>0</v>
      </c>
      <c r="E117">
        <v>0</v>
      </c>
      <c r="F117">
        <v>0</v>
      </c>
      <c r="G117">
        <v>0</v>
      </c>
      <c r="H117">
        <v>0</v>
      </c>
      <c r="I117">
        <v>0</v>
      </c>
      <c r="J117">
        <v>0</v>
      </c>
    </row>
    <row r="118" spans="1:10" x14ac:dyDescent="0.3">
      <c r="A118" s="106">
        <v>385</v>
      </c>
      <c r="B118" s="370" t="s">
        <v>45</v>
      </c>
      <c r="D118">
        <v>21386166</v>
      </c>
      <c r="E118">
        <v>12794016</v>
      </c>
      <c r="F118">
        <v>18237015</v>
      </c>
      <c r="G118">
        <v>5830217</v>
      </c>
      <c r="H118">
        <v>6552241</v>
      </c>
      <c r="I118">
        <v>5104084</v>
      </c>
      <c r="J118">
        <v>6528842</v>
      </c>
    </row>
    <row r="119" spans="1:10" x14ac:dyDescent="0.3">
      <c r="A119" s="106">
        <v>386</v>
      </c>
      <c r="B119" s="370" t="s">
        <v>94</v>
      </c>
      <c r="D119">
        <v>0</v>
      </c>
      <c r="E119">
        <v>0</v>
      </c>
      <c r="F119">
        <v>0</v>
      </c>
      <c r="G119">
        <v>0</v>
      </c>
      <c r="H119">
        <v>0</v>
      </c>
      <c r="I119">
        <v>0</v>
      </c>
      <c r="J119">
        <v>0</v>
      </c>
    </row>
    <row r="120" spans="1:10" x14ac:dyDescent="0.3">
      <c r="A120" s="106">
        <v>387</v>
      </c>
      <c r="B120" s="370" t="s">
        <v>95</v>
      </c>
      <c r="D120">
        <v>0</v>
      </c>
      <c r="E120">
        <v>0</v>
      </c>
      <c r="F120">
        <v>0</v>
      </c>
      <c r="G120">
        <v>0</v>
      </c>
      <c r="H120">
        <v>0</v>
      </c>
      <c r="I120">
        <v>0</v>
      </c>
      <c r="J120">
        <v>0</v>
      </c>
    </row>
    <row r="121" spans="1:10" x14ac:dyDescent="0.3">
      <c r="A121" s="106">
        <v>388</v>
      </c>
      <c r="B121" s="370" t="s">
        <v>89</v>
      </c>
      <c r="D121">
        <v>18324225</v>
      </c>
      <c r="E121">
        <v>10908243</v>
      </c>
      <c r="F121">
        <v>24084142</v>
      </c>
      <c r="G121">
        <v>6982063</v>
      </c>
      <c r="H121">
        <v>8966554</v>
      </c>
      <c r="I121">
        <v>7673767</v>
      </c>
      <c r="J121">
        <v>4672701</v>
      </c>
    </row>
    <row r="122" spans="1:10" x14ac:dyDescent="0.3">
      <c r="A122" s="106">
        <v>389</v>
      </c>
      <c r="B122" s="370" t="s">
        <v>96</v>
      </c>
      <c r="D122">
        <v>-1858568</v>
      </c>
      <c r="E122">
        <v>0</v>
      </c>
      <c r="F122">
        <v>0</v>
      </c>
      <c r="G122">
        <v>0</v>
      </c>
      <c r="H122">
        <v>0</v>
      </c>
      <c r="I122">
        <v>0</v>
      </c>
      <c r="J122">
        <v>0</v>
      </c>
    </row>
    <row r="123" spans="1:10" x14ac:dyDescent="0.3">
      <c r="A123" s="106">
        <v>391</v>
      </c>
      <c r="B123" s="370" t="s">
        <v>101</v>
      </c>
      <c r="D123">
        <v>1462632</v>
      </c>
      <c r="E123">
        <v>3732551</v>
      </c>
      <c r="F123">
        <v>3342317</v>
      </c>
      <c r="G123">
        <v>1578032</v>
      </c>
      <c r="H123">
        <v>1070487</v>
      </c>
      <c r="I123">
        <v>1190821</v>
      </c>
      <c r="J123">
        <v>111788</v>
      </c>
    </row>
    <row r="124" spans="1:10" x14ac:dyDescent="0.3">
      <c r="A124" s="106">
        <v>500</v>
      </c>
      <c r="B124" s="370" t="s">
        <v>84</v>
      </c>
      <c r="D124">
        <v>0</v>
      </c>
      <c r="E124">
        <v>0</v>
      </c>
      <c r="F124">
        <v>600870</v>
      </c>
      <c r="G124">
        <v>0</v>
      </c>
      <c r="H124">
        <v>1294932</v>
      </c>
      <c r="I124">
        <v>0</v>
      </c>
      <c r="J124">
        <v>0</v>
      </c>
    </row>
    <row r="125" spans="1:10" x14ac:dyDescent="0.3">
      <c r="A125" s="106">
        <v>502</v>
      </c>
      <c r="B125" s="370" t="s">
        <v>86</v>
      </c>
      <c r="D125">
        <v>0</v>
      </c>
      <c r="E125">
        <v>0</v>
      </c>
      <c r="F125">
        <v>0</v>
      </c>
      <c r="G125">
        <v>0</v>
      </c>
      <c r="H125">
        <v>0</v>
      </c>
      <c r="I125">
        <v>0</v>
      </c>
      <c r="J125">
        <v>0</v>
      </c>
    </row>
    <row r="126" spans="1:10" x14ac:dyDescent="0.3">
      <c r="A126" s="106">
        <v>503</v>
      </c>
      <c r="B126" s="370" t="s">
        <v>87</v>
      </c>
      <c r="D126">
        <v>0</v>
      </c>
      <c r="E126">
        <v>0</v>
      </c>
      <c r="F126">
        <v>0</v>
      </c>
      <c r="G126">
        <v>0</v>
      </c>
      <c r="H126">
        <v>0</v>
      </c>
      <c r="I126">
        <v>0</v>
      </c>
      <c r="J126">
        <v>0</v>
      </c>
    </row>
    <row r="127" spans="1:10" x14ac:dyDescent="0.3">
      <c r="A127" s="106">
        <v>504</v>
      </c>
      <c r="B127" s="370" t="s">
        <v>91</v>
      </c>
      <c r="D127">
        <v>13693098</v>
      </c>
      <c r="E127">
        <v>9896125</v>
      </c>
      <c r="F127">
        <v>15707492</v>
      </c>
      <c r="G127">
        <v>5330297</v>
      </c>
      <c r="H127">
        <v>5751917</v>
      </c>
      <c r="I127">
        <v>3151542</v>
      </c>
      <c r="J127">
        <v>3989549</v>
      </c>
    </row>
    <row r="128" spans="1:10" x14ac:dyDescent="0.3">
      <c r="A128" s="106">
        <v>505</v>
      </c>
      <c r="B128" s="370" t="s">
        <v>92</v>
      </c>
      <c r="D128">
        <v>0</v>
      </c>
      <c r="E128">
        <v>0</v>
      </c>
      <c r="F128">
        <v>0</v>
      </c>
      <c r="G128">
        <v>61500</v>
      </c>
      <c r="H128">
        <v>156187</v>
      </c>
      <c r="I128">
        <v>0</v>
      </c>
      <c r="J128">
        <v>20383</v>
      </c>
    </row>
    <row r="129" spans="1:10" x14ac:dyDescent="0.3">
      <c r="A129" s="106">
        <v>506</v>
      </c>
      <c r="B129" s="370" t="s">
        <v>98</v>
      </c>
      <c r="D129">
        <v>6971378</v>
      </c>
      <c r="E129">
        <v>5987879</v>
      </c>
      <c r="F129">
        <v>8203508</v>
      </c>
      <c r="G129">
        <v>901267</v>
      </c>
      <c r="H129">
        <v>2042389</v>
      </c>
      <c r="I129">
        <v>1693963</v>
      </c>
      <c r="J129">
        <v>5828319</v>
      </c>
    </row>
    <row r="130" spans="1:10" x14ac:dyDescent="0.3">
      <c r="A130" s="106">
        <v>507</v>
      </c>
      <c r="B130" s="370" t="s">
        <v>426</v>
      </c>
      <c r="D130">
        <v>0</v>
      </c>
      <c r="E130">
        <v>2</v>
      </c>
      <c r="F130">
        <v>0</v>
      </c>
      <c r="G130">
        <v>0</v>
      </c>
      <c r="H130">
        <v>0</v>
      </c>
      <c r="I130">
        <v>0</v>
      </c>
      <c r="J130">
        <v>0</v>
      </c>
    </row>
    <row r="131" spans="1:10" x14ac:dyDescent="0.3">
      <c r="A131" s="106">
        <v>508</v>
      </c>
      <c r="B131" s="370" t="s">
        <v>111</v>
      </c>
      <c r="D131">
        <v>0</v>
      </c>
      <c r="E131">
        <v>0</v>
      </c>
      <c r="F131">
        <v>0</v>
      </c>
      <c r="G131">
        <v>0</v>
      </c>
      <c r="H131">
        <v>0</v>
      </c>
      <c r="I131">
        <v>0</v>
      </c>
      <c r="J131">
        <v>0</v>
      </c>
    </row>
    <row r="132" spans="1:10" x14ac:dyDescent="0.3">
      <c r="A132" s="106">
        <v>509</v>
      </c>
      <c r="B132" s="370" t="s">
        <v>112</v>
      </c>
      <c r="D132">
        <v>0</v>
      </c>
      <c r="E132">
        <v>0</v>
      </c>
      <c r="F132">
        <v>0</v>
      </c>
      <c r="G132">
        <v>0</v>
      </c>
      <c r="H132">
        <v>0</v>
      </c>
      <c r="I132">
        <v>0</v>
      </c>
      <c r="J132">
        <v>0</v>
      </c>
    </row>
    <row r="133" spans="1:10" x14ac:dyDescent="0.3">
      <c r="A133" s="106">
        <v>510</v>
      </c>
      <c r="B133" s="370" t="s">
        <v>117</v>
      </c>
      <c r="D133">
        <v>0</v>
      </c>
      <c r="E133">
        <v>0</v>
      </c>
      <c r="F133">
        <v>0</v>
      </c>
      <c r="G133">
        <v>0</v>
      </c>
      <c r="H133">
        <v>0</v>
      </c>
      <c r="I133">
        <v>0</v>
      </c>
      <c r="J133">
        <v>0</v>
      </c>
    </row>
    <row r="134" spans="1:10" x14ac:dyDescent="0.3">
      <c r="A134" s="106">
        <v>511</v>
      </c>
      <c r="B134" s="370" t="s">
        <v>122</v>
      </c>
      <c r="D134">
        <v>0</v>
      </c>
      <c r="E134">
        <v>0</v>
      </c>
      <c r="F134">
        <v>0</v>
      </c>
      <c r="G134">
        <v>0</v>
      </c>
      <c r="H134">
        <v>0</v>
      </c>
      <c r="I134">
        <v>0</v>
      </c>
      <c r="J134">
        <v>0</v>
      </c>
    </row>
    <row r="135" spans="1:10" x14ac:dyDescent="0.3">
      <c r="A135" s="106">
        <v>512</v>
      </c>
      <c r="B135" s="370" t="s">
        <v>148</v>
      </c>
      <c r="D135">
        <v>6729168</v>
      </c>
      <c r="E135">
        <v>96362</v>
      </c>
      <c r="F135">
        <v>0</v>
      </c>
      <c r="G135">
        <v>0</v>
      </c>
      <c r="H135">
        <v>0</v>
      </c>
      <c r="I135">
        <v>0</v>
      </c>
      <c r="J135">
        <v>911108</v>
      </c>
    </row>
    <row r="136" spans="1:10" s="418" customFormat="1" x14ac:dyDescent="0.3">
      <c r="A136" s="417">
        <v>513</v>
      </c>
      <c r="B136" s="470" t="s">
        <v>154</v>
      </c>
      <c r="D136" s="418">
        <v>0</v>
      </c>
      <c r="E136" s="418">
        <v>0</v>
      </c>
      <c r="F136" s="418">
        <v>0</v>
      </c>
      <c r="G136" s="418">
        <v>0</v>
      </c>
      <c r="H136" s="418">
        <v>0</v>
      </c>
      <c r="I136" s="418">
        <v>0</v>
      </c>
      <c r="J136" s="418">
        <v>0</v>
      </c>
    </row>
    <row r="137" spans="1:10" s="418" customFormat="1" x14ac:dyDescent="0.3">
      <c r="A137" s="417">
        <v>514</v>
      </c>
      <c r="B137" s="470" t="s">
        <v>155</v>
      </c>
      <c r="D137" s="418">
        <v>0</v>
      </c>
      <c r="E137" s="418">
        <v>0</v>
      </c>
      <c r="F137" s="418">
        <v>0</v>
      </c>
      <c r="G137" s="418">
        <v>0</v>
      </c>
      <c r="H137" s="418">
        <v>0</v>
      </c>
      <c r="I137" s="418">
        <v>0</v>
      </c>
      <c r="J137" s="418">
        <v>0</v>
      </c>
    </row>
    <row r="138" spans="1:10" x14ac:dyDescent="0.3">
      <c r="A138" s="106">
        <v>515</v>
      </c>
      <c r="B138" s="370" t="s">
        <v>166</v>
      </c>
      <c r="D138">
        <v>0</v>
      </c>
      <c r="E138">
        <v>0</v>
      </c>
      <c r="F138">
        <v>0</v>
      </c>
      <c r="G138">
        <v>0</v>
      </c>
      <c r="H138">
        <v>0</v>
      </c>
      <c r="I138">
        <v>0</v>
      </c>
      <c r="J138">
        <v>0</v>
      </c>
    </row>
    <row r="139" spans="1:10" x14ac:dyDescent="0.3">
      <c r="A139" s="106">
        <v>516</v>
      </c>
      <c r="B139" s="370" t="s">
        <v>167</v>
      </c>
      <c r="D139">
        <v>0</v>
      </c>
      <c r="E139">
        <v>0</v>
      </c>
      <c r="F139">
        <v>0</v>
      </c>
      <c r="G139">
        <v>0</v>
      </c>
      <c r="H139">
        <v>0</v>
      </c>
      <c r="I139">
        <v>0</v>
      </c>
      <c r="J139">
        <v>0</v>
      </c>
    </row>
    <row r="140" spans="1:10" x14ac:dyDescent="0.3">
      <c r="A140" s="106">
        <v>517</v>
      </c>
      <c r="B140" s="370" t="s">
        <v>168</v>
      </c>
      <c r="D140">
        <v>0</v>
      </c>
      <c r="E140">
        <v>0</v>
      </c>
      <c r="F140">
        <v>0</v>
      </c>
      <c r="G140">
        <v>0</v>
      </c>
      <c r="H140">
        <v>0</v>
      </c>
      <c r="I140">
        <v>0</v>
      </c>
      <c r="J140">
        <v>0</v>
      </c>
    </row>
    <row r="141" spans="1:10" x14ac:dyDescent="0.3">
      <c r="A141" s="106">
        <v>518</v>
      </c>
      <c r="B141" s="370" t="s">
        <v>169</v>
      </c>
      <c r="D141">
        <v>0</v>
      </c>
      <c r="E141">
        <v>0</v>
      </c>
      <c r="F141">
        <v>0</v>
      </c>
      <c r="G141">
        <v>0</v>
      </c>
      <c r="H141">
        <v>0</v>
      </c>
      <c r="I141">
        <v>0</v>
      </c>
      <c r="J141">
        <v>0</v>
      </c>
    </row>
    <row r="142" spans="1:10" x14ac:dyDescent="0.3">
      <c r="A142" s="106">
        <v>519</v>
      </c>
      <c r="B142" s="370" t="s">
        <v>170</v>
      </c>
      <c r="D142">
        <v>0</v>
      </c>
      <c r="E142">
        <v>0</v>
      </c>
      <c r="F142">
        <v>0</v>
      </c>
      <c r="G142">
        <v>0</v>
      </c>
      <c r="H142">
        <v>0</v>
      </c>
      <c r="I142">
        <v>0</v>
      </c>
      <c r="J142">
        <v>0</v>
      </c>
    </row>
    <row r="143" spans="1:10" x14ac:dyDescent="0.3">
      <c r="A143" s="106">
        <v>520</v>
      </c>
      <c r="B143" s="370" t="s">
        <v>171</v>
      </c>
      <c r="D143">
        <v>0</v>
      </c>
      <c r="E143">
        <v>0</v>
      </c>
      <c r="F143">
        <v>0</v>
      </c>
      <c r="G143">
        <v>0</v>
      </c>
      <c r="H143">
        <v>0</v>
      </c>
      <c r="I143">
        <v>0</v>
      </c>
      <c r="J143">
        <v>0</v>
      </c>
    </row>
    <row r="144" spans="1:10" x14ac:dyDescent="0.3">
      <c r="A144" s="106">
        <v>521</v>
      </c>
      <c r="B144" s="370" t="s">
        <v>172</v>
      </c>
      <c r="D144">
        <v>0</v>
      </c>
      <c r="E144">
        <v>0</v>
      </c>
      <c r="F144">
        <v>0</v>
      </c>
      <c r="G144">
        <v>0</v>
      </c>
      <c r="H144">
        <v>0</v>
      </c>
      <c r="I144">
        <v>0</v>
      </c>
      <c r="J144">
        <v>0</v>
      </c>
    </row>
    <row r="145" spans="1:10" x14ac:dyDescent="0.3">
      <c r="A145" s="106">
        <v>522</v>
      </c>
      <c r="B145" s="370" t="s">
        <v>173</v>
      </c>
      <c r="D145">
        <v>0</v>
      </c>
      <c r="E145">
        <v>0</v>
      </c>
      <c r="F145">
        <v>0</v>
      </c>
      <c r="G145">
        <v>0</v>
      </c>
      <c r="H145">
        <v>0</v>
      </c>
      <c r="I145">
        <v>0</v>
      </c>
      <c r="J145">
        <v>0</v>
      </c>
    </row>
    <row r="146" spans="1:10" x14ac:dyDescent="0.3">
      <c r="A146" s="106">
        <v>523</v>
      </c>
      <c r="B146" s="370" t="s">
        <v>174</v>
      </c>
      <c r="D146">
        <v>0</v>
      </c>
      <c r="E146">
        <v>0</v>
      </c>
      <c r="F146">
        <v>0</v>
      </c>
      <c r="G146">
        <v>0</v>
      </c>
      <c r="H146">
        <v>0</v>
      </c>
      <c r="I146">
        <v>0</v>
      </c>
      <c r="J146">
        <v>0</v>
      </c>
    </row>
    <row r="147" spans="1:10" x14ac:dyDescent="0.3">
      <c r="A147" s="106">
        <v>524</v>
      </c>
      <c r="B147" s="370" t="s">
        <v>175</v>
      </c>
      <c r="D147">
        <v>0</v>
      </c>
      <c r="E147">
        <v>0</v>
      </c>
      <c r="F147">
        <v>0</v>
      </c>
      <c r="G147">
        <v>0</v>
      </c>
      <c r="H147">
        <v>0</v>
      </c>
      <c r="I147">
        <v>0</v>
      </c>
      <c r="J147">
        <v>0</v>
      </c>
    </row>
    <row r="148" spans="1:10" x14ac:dyDescent="0.3">
      <c r="A148" s="106">
        <v>525</v>
      </c>
      <c r="B148" s="370" t="s">
        <v>176</v>
      </c>
      <c r="D148">
        <v>0</v>
      </c>
      <c r="E148">
        <v>0</v>
      </c>
      <c r="F148">
        <v>0</v>
      </c>
      <c r="G148">
        <v>0</v>
      </c>
      <c r="H148">
        <v>0</v>
      </c>
      <c r="I148">
        <v>0</v>
      </c>
      <c r="J148">
        <v>0</v>
      </c>
    </row>
    <row r="149" spans="1:10" x14ac:dyDescent="0.3">
      <c r="A149" s="106">
        <v>526</v>
      </c>
      <c r="B149" s="370" t="s">
        <v>177</v>
      </c>
      <c r="D149">
        <v>0</v>
      </c>
      <c r="E149">
        <v>0</v>
      </c>
      <c r="F149">
        <v>0</v>
      </c>
      <c r="G149">
        <v>0</v>
      </c>
      <c r="H149">
        <v>0</v>
      </c>
      <c r="I149">
        <v>0</v>
      </c>
      <c r="J149">
        <v>0</v>
      </c>
    </row>
    <row r="150" spans="1:10" ht="28.8" x14ac:dyDescent="0.3">
      <c r="A150" s="106">
        <v>527</v>
      </c>
      <c r="B150" s="370" t="s">
        <v>178</v>
      </c>
      <c r="D150">
        <v>0</v>
      </c>
      <c r="E150">
        <v>0</v>
      </c>
      <c r="F150">
        <v>0</v>
      </c>
      <c r="G150">
        <v>0</v>
      </c>
      <c r="H150">
        <v>0</v>
      </c>
      <c r="I150">
        <v>0</v>
      </c>
      <c r="J150">
        <v>0</v>
      </c>
    </row>
    <row r="151" spans="1:10" x14ac:dyDescent="0.3">
      <c r="A151" s="106">
        <v>528</v>
      </c>
      <c r="B151" s="370" t="s">
        <v>161</v>
      </c>
      <c r="D151">
        <v>0</v>
      </c>
      <c r="E151">
        <v>0</v>
      </c>
      <c r="F151">
        <v>0</v>
      </c>
      <c r="G151">
        <v>0</v>
      </c>
      <c r="H151">
        <v>0</v>
      </c>
      <c r="I151">
        <v>0</v>
      </c>
      <c r="J151">
        <v>0</v>
      </c>
    </row>
    <row r="152" spans="1:10" x14ac:dyDescent="0.3">
      <c r="A152" s="106">
        <v>529</v>
      </c>
      <c r="B152" s="370" t="s">
        <v>162</v>
      </c>
      <c r="D152">
        <v>0</v>
      </c>
      <c r="E152">
        <v>0</v>
      </c>
      <c r="F152">
        <v>0</v>
      </c>
      <c r="G152">
        <v>0</v>
      </c>
      <c r="H152">
        <v>0</v>
      </c>
      <c r="I152">
        <v>0</v>
      </c>
      <c r="J152">
        <v>0</v>
      </c>
    </row>
    <row r="153" spans="1:10" ht="28.8" x14ac:dyDescent="0.3">
      <c r="A153" s="106">
        <v>530</v>
      </c>
      <c r="B153" s="370" t="s">
        <v>163</v>
      </c>
      <c r="D153">
        <v>0</v>
      </c>
      <c r="E153">
        <v>0</v>
      </c>
      <c r="F153">
        <v>0</v>
      </c>
      <c r="G153">
        <v>0</v>
      </c>
      <c r="H153">
        <v>0</v>
      </c>
      <c r="I153">
        <v>0</v>
      </c>
      <c r="J153">
        <v>0</v>
      </c>
    </row>
    <row r="154" spans="1:10" x14ac:dyDescent="0.3">
      <c r="A154" s="106">
        <v>531</v>
      </c>
      <c r="B154" s="370" t="s">
        <v>164</v>
      </c>
      <c r="D154">
        <v>0</v>
      </c>
      <c r="E154">
        <v>0</v>
      </c>
      <c r="F154">
        <v>0</v>
      </c>
      <c r="G154">
        <v>0</v>
      </c>
      <c r="H154">
        <v>0</v>
      </c>
      <c r="I154">
        <v>0</v>
      </c>
      <c r="J154">
        <v>0</v>
      </c>
    </row>
    <row r="155" spans="1:10" x14ac:dyDescent="0.3">
      <c r="A155" s="106">
        <v>532</v>
      </c>
      <c r="B155" s="370" t="s">
        <v>427</v>
      </c>
      <c r="D155">
        <v>14567506</v>
      </c>
      <c r="E155">
        <v>10477529</v>
      </c>
      <c r="F155">
        <v>22898733</v>
      </c>
      <c r="G155">
        <v>7107968</v>
      </c>
      <c r="H155">
        <v>8967107</v>
      </c>
      <c r="I155">
        <v>7340000</v>
      </c>
      <c r="J155">
        <v>4549382</v>
      </c>
    </row>
    <row r="156" spans="1:10" x14ac:dyDescent="0.3">
      <c r="A156" s="106">
        <v>533</v>
      </c>
      <c r="B156" s="370" t="s">
        <v>428</v>
      </c>
      <c r="D156">
        <v>0</v>
      </c>
      <c r="E156">
        <v>0</v>
      </c>
      <c r="F156">
        <v>0</v>
      </c>
      <c r="G156">
        <v>0</v>
      </c>
      <c r="H156">
        <v>0</v>
      </c>
      <c r="I156">
        <v>0</v>
      </c>
      <c r="J156">
        <v>0</v>
      </c>
    </row>
    <row r="157" spans="1:10" ht="28.8" x14ac:dyDescent="0.3">
      <c r="A157" s="106">
        <v>534</v>
      </c>
      <c r="B157" s="370" t="s">
        <v>429</v>
      </c>
      <c r="D157">
        <v>0</v>
      </c>
      <c r="E157">
        <v>0</v>
      </c>
      <c r="F157">
        <v>0</v>
      </c>
      <c r="G157">
        <v>0</v>
      </c>
      <c r="H157">
        <v>0</v>
      </c>
      <c r="I157">
        <v>0</v>
      </c>
      <c r="J157">
        <v>0</v>
      </c>
    </row>
    <row r="158" spans="1:10" x14ac:dyDescent="0.3">
      <c r="A158" s="106">
        <v>535</v>
      </c>
      <c r="B158" s="370" t="s">
        <v>149</v>
      </c>
      <c r="D158">
        <v>0</v>
      </c>
      <c r="E158">
        <v>0</v>
      </c>
      <c r="F158">
        <v>0</v>
      </c>
      <c r="G158">
        <v>0</v>
      </c>
      <c r="H158">
        <v>0</v>
      </c>
      <c r="I158">
        <v>0</v>
      </c>
      <c r="J158">
        <v>0</v>
      </c>
    </row>
    <row r="159" spans="1:10" x14ac:dyDescent="0.3">
      <c r="A159" s="106">
        <v>536</v>
      </c>
      <c r="B159" s="370" t="s">
        <v>99</v>
      </c>
      <c r="D159">
        <v>0</v>
      </c>
      <c r="E159">
        <v>0</v>
      </c>
      <c r="F159">
        <v>600870</v>
      </c>
      <c r="G159">
        <v>0</v>
      </c>
      <c r="H159">
        <v>1294932</v>
      </c>
      <c r="I159">
        <v>0</v>
      </c>
      <c r="J159">
        <v>0</v>
      </c>
    </row>
    <row r="160" spans="1:10" x14ac:dyDescent="0.3">
      <c r="A160" s="106">
        <v>537</v>
      </c>
      <c r="B160" s="370" t="s">
        <v>184</v>
      </c>
      <c r="D160">
        <v>0</v>
      </c>
      <c r="E160">
        <v>0</v>
      </c>
      <c r="F160">
        <v>0</v>
      </c>
      <c r="G160">
        <v>0</v>
      </c>
      <c r="H160">
        <v>0</v>
      </c>
      <c r="I160">
        <v>0</v>
      </c>
      <c r="J160">
        <v>0</v>
      </c>
    </row>
    <row r="161" spans="1:10" x14ac:dyDescent="0.3">
      <c r="A161" s="106">
        <v>538</v>
      </c>
      <c r="B161" s="370" t="s">
        <v>183</v>
      </c>
      <c r="D161">
        <v>0</v>
      </c>
      <c r="E161">
        <v>0</v>
      </c>
      <c r="F161">
        <v>0</v>
      </c>
      <c r="G161">
        <v>0</v>
      </c>
      <c r="H161">
        <v>0</v>
      </c>
      <c r="I161">
        <v>0</v>
      </c>
      <c r="J161">
        <v>0</v>
      </c>
    </row>
    <row r="162" spans="1:10" x14ac:dyDescent="0.3">
      <c r="A162" s="106">
        <v>540</v>
      </c>
      <c r="B162" s="370" t="s">
        <v>157</v>
      </c>
      <c r="D162">
        <v>0</v>
      </c>
      <c r="E162">
        <v>0</v>
      </c>
      <c r="F162">
        <v>0</v>
      </c>
      <c r="G162">
        <v>0</v>
      </c>
      <c r="H162">
        <v>0</v>
      </c>
      <c r="I162">
        <v>0</v>
      </c>
      <c r="J162">
        <v>0</v>
      </c>
    </row>
    <row r="163" spans="1:10" ht="28.8" x14ac:dyDescent="0.3">
      <c r="A163" s="106">
        <v>541</v>
      </c>
      <c r="B163" s="370" t="s">
        <v>202</v>
      </c>
      <c r="D163">
        <v>0</v>
      </c>
      <c r="E163">
        <v>0</v>
      </c>
      <c r="F163">
        <v>0</v>
      </c>
      <c r="G163">
        <v>0</v>
      </c>
      <c r="H163">
        <v>0</v>
      </c>
      <c r="I163">
        <v>0</v>
      </c>
      <c r="J163">
        <v>0</v>
      </c>
    </row>
    <row r="164" spans="1:10" ht="28.8" x14ac:dyDescent="0.3">
      <c r="A164" s="106">
        <v>542</v>
      </c>
      <c r="B164" s="370" t="s">
        <v>430</v>
      </c>
      <c r="D164">
        <v>0</v>
      </c>
      <c r="E164">
        <v>0</v>
      </c>
      <c r="F164">
        <v>0</v>
      </c>
      <c r="G164">
        <v>0</v>
      </c>
      <c r="H164">
        <v>0</v>
      </c>
      <c r="I164">
        <v>0</v>
      </c>
      <c r="J164">
        <v>0</v>
      </c>
    </row>
    <row r="165" spans="1:10" x14ac:dyDescent="0.3">
      <c r="A165" s="106">
        <v>544</v>
      </c>
      <c r="B165" s="370" t="s">
        <v>19</v>
      </c>
      <c r="D165">
        <v>0</v>
      </c>
      <c r="E165">
        <v>0</v>
      </c>
      <c r="F165">
        <v>0</v>
      </c>
      <c r="G165">
        <v>0</v>
      </c>
      <c r="H165">
        <v>0</v>
      </c>
      <c r="I165">
        <v>0</v>
      </c>
      <c r="J165">
        <v>0</v>
      </c>
    </row>
    <row r="166" spans="1:10" ht="28.8" x14ac:dyDescent="0.3">
      <c r="A166" s="106">
        <v>545</v>
      </c>
      <c r="B166" s="370" t="s">
        <v>20</v>
      </c>
      <c r="D166">
        <v>0</v>
      </c>
      <c r="E166">
        <v>0</v>
      </c>
      <c r="F166">
        <v>0</v>
      </c>
      <c r="G166">
        <v>0</v>
      </c>
      <c r="H166">
        <v>0</v>
      </c>
      <c r="I166">
        <v>0</v>
      </c>
      <c r="J166">
        <v>0</v>
      </c>
    </row>
    <row r="167" spans="1:10" x14ac:dyDescent="0.3">
      <c r="A167" s="106">
        <v>546</v>
      </c>
      <c r="B167" s="370" t="s">
        <v>431</v>
      </c>
      <c r="D167">
        <v>0</v>
      </c>
      <c r="E167">
        <v>0</v>
      </c>
      <c r="F167">
        <v>0</v>
      </c>
      <c r="G167">
        <v>0</v>
      </c>
      <c r="H167">
        <v>0</v>
      </c>
      <c r="I167">
        <v>0</v>
      </c>
      <c r="J167">
        <v>0</v>
      </c>
    </row>
    <row r="168" spans="1:10" ht="72" x14ac:dyDescent="0.3">
      <c r="A168" s="106">
        <v>547</v>
      </c>
      <c r="B168" s="370" t="s">
        <v>432</v>
      </c>
      <c r="D168">
        <v>3</v>
      </c>
      <c r="E168">
        <v>3</v>
      </c>
      <c r="F168">
        <v>3</v>
      </c>
      <c r="G168">
        <v>4</v>
      </c>
      <c r="H168">
        <v>3</v>
      </c>
      <c r="I168">
        <v>3</v>
      </c>
      <c r="J168">
        <v>2</v>
      </c>
    </row>
    <row r="169" spans="1:10" ht="28.8" x14ac:dyDescent="0.3">
      <c r="A169" s="106">
        <v>554</v>
      </c>
      <c r="B169" s="370" t="s">
        <v>206</v>
      </c>
      <c r="D169">
        <v>6810151</v>
      </c>
      <c r="E169">
        <v>4487373</v>
      </c>
      <c r="F169">
        <v>3535258</v>
      </c>
      <c r="G169">
        <v>2758868</v>
      </c>
      <c r="H169">
        <v>3417364</v>
      </c>
      <c r="I169">
        <v>2038935</v>
      </c>
      <c r="J169">
        <v>1549453</v>
      </c>
    </row>
    <row r="170" spans="1:10" ht="28.8" x14ac:dyDescent="0.3">
      <c r="A170" s="106">
        <v>555</v>
      </c>
      <c r="B170" s="370" t="s">
        <v>207</v>
      </c>
      <c r="D170">
        <v>2864312</v>
      </c>
      <c r="E170">
        <v>2964721</v>
      </c>
      <c r="F170">
        <v>1887630</v>
      </c>
      <c r="G170">
        <v>1126285</v>
      </c>
      <c r="H170">
        <v>1907411</v>
      </c>
      <c r="I170">
        <v>622767</v>
      </c>
      <c r="J170">
        <v>525928</v>
      </c>
    </row>
    <row r="171" spans="1:10" ht="28.8" x14ac:dyDescent="0.3">
      <c r="A171" s="106">
        <v>556</v>
      </c>
      <c r="B171" s="370" t="s">
        <v>208</v>
      </c>
      <c r="D171">
        <v>3646037</v>
      </c>
      <c r="E171">
        <v>1767371</v>
      </c>
      <c r="F171">
        <v>874863</v>
      </c>
      <c r="G171">
        <v>1234561</v>
      </c>
      <c r="H171">
        <v>1310287</v>
      </c>
      <c r="I171">
        <v>1308554</v>
      </c>
      <c r="J171">
        <v>771440</v>
      </c>
    </row>
    <row r="172" spans="1:10" ht="28.8" x14ac:dyDescent="0.3">
      <c r="A172" s="106">
        <v>557</v>
      </c>
      <c r="B172" s="370" t="s">
        <v>209</v>
      </c>
      <c r="D172">
        <v>2134155</v>
      </c>
      <c r="E172">
        <v>857990</v>
      </c>
      <c r="F172">
        <v>405099</v>
      </c>
      <c r="G172">
        <v>589929</v>
      </c>
      <c r="H172">
        <v>566767</v>
      </c>
      <c r="I172">
        <v>569145</v>
      </c>
      <c r="J172">
        <v>310193</v>
      </c>
    </row>
    <row r="173" spans="1:10" ht="28.8" x14ac:dyDescent="0.3">
      <c r="A173" s="106">
        <v>558</v>
      </c>
      <c r="B173" s="370" t="s">
        <v>433</v>
      </c>
      <c r="D173">
        <v>0</v>
      </c>
      <c r="E173">
        <v>0</v>
      </c>
      <c r="F173">
        <v>0</v>
      </c>
      <c r="G173">
        <v>0</v>
      </c>
      <c r="H173">
        <v>0</v>
      </c>
      <c r="I173">
        <v>0</v>
      </c>
      <c r="J173">
        <v>0</v>
      </c>
    </row>
    <row r="174" spans="1:10" ht="28.8" x14ac:dyDescent="0.3">
      <c r="A174" s="106">
        <v>559</v>
      </c>
      <c r="B174" s="370" t="s">
        <v>434</v>
      </c>
      <c r="D174">
        <v>0</v>
      </c>
      <c r="E174">
        <v>0</v>
      </c>
      <c r="F174">
        <v>0</v>
      </c>
      <c r="G174">
        <v>0</v>
      </c>
      <c r="H174">
        <v>0</v>
      </c>
      <c r="I174">
        <v>0</v>
      </c>
      <c r="J174">
        <v>0</v>
      </c>
    </row>
    <row r="175" spans="1:10" x14ac:dyDescent="0.3">
      <c r="A175" s="106">
        <v>560</v>
      </c>
      <c r="B175" s="370" t="s">
        <v>435</v>
      </c>
      <c r="D175">
        <v>0</v>
      </c>
      <c r="E175">
        <v>0</v>
      </c>
      <c r="F175">
        <v>0</v>
      </c>
      <c r="G175">
        <v>0</v>
      </c>
      <c r="H175">
        <v>0</v>
      </c>
      <c r="I175">
        <v>0</v>
      </c>
      <c r="J175">
        <v>0</v>
      </c>
    </row>
    <row r="176" spans="1:10" ht="28.8" x14ac:dyDescent="0.3">
      <c r="A176" s="106">
        <v>561</v>
      </c>
      <c r="B176" s="370" t="s">
        <v>436</v>
      </c>
      <c r="D176">
        <v>0</v>
      </c>
      <c r="E176">
        <v>0</v>
      </c>
      <c r="F176">
        <v>0</v>
      </c>
      <c r="G176">
        <v>0</v>
      </c>
      <c r="H176">
        <v>0</v>
      </c>
      <c r="I176">
        <v>0</v>
      </c>
      <c r="J176">
        <v>0</v>
      </c>
    </row>
    <row r="177" spans="1:10" x14ac:dyDescent="0.3">
      <c r="A177" s="106">
        <v>562</v>
      </c>
      <c r="B177" s="370" t="s">
        <v>437</v>
      </c>
      <c r="D177">
        <v>0</v>
      </c>
      <c r="E177">
        <v>0</v>
      </c>
      <c r="F177">
        <v>0</v>
      </c>
      <c r="G177">
        <v>0</v>
      </c>
      <c r="H177">
        <v>0</v>
      </c>
      <c r="I177">
        <v>0</v>
      </c>
      <c r="J177">
        <v>0</v>
      </c>
    </row>
    <row r="178" spans="1:10" ht="28.8" x14ac:dyDescent="0.3">
      <c r="A178" s="106">
        <v>563</v>
      </c>
      <c r="B178" s="370" t="s">
        <v>438</v>
      </c>
      <c r="D178">
        <v>0</v>
      </c>
      <c r="E178">
        <v>0</v>
      </c>
      <c r="F178">
        <v>0</v>
      </c>
      <c r="G178">
        <v>0</v>
      </c>
      <c r="H178">
        <v>0</v>
      </c>
      <c r="I178">
        <v>0</v>
      </c>
      <c r="J178">
        <v>0</v>
      </c>
    </row>
    <row r="179" spans="1:10" x14ac:dyDescent="0.3">
      <c r="A179" s="106">
        <v>564</v>
      </c>
      <c r="B179" s="370" t="s">
        <v>439</v>
      </c>
      <c r="D179">
        <v>0</v>
      </c>
      <c r="E179">
        <v>0</v>
      </c>
      <c r="F179">
        <v>0</v>
      </c>
      <c r="G179">
        <v>0</v>
      </c>
      <c r="H179">
        <v>0</v>
      </c>
      <c r="I179">
        <v>0</v>
      </c>
      <c r="J179">
        <v>0</v>
      </c>
    </row>
    <row r="180" spans="1:10" x14ac:dyDescent="0.3">
      <c r="A180" s="106">
        <v>565</v>
      </c>
      <c r="B180" s="370" t="s">
        <v>440</v>
      </c>
      <c r="D180">
        <v>0</v>
      </c>
      <c r="E180">
        <v>0</v>
      </c>
      <c r="F180">
        <v>0</v>
      </c>
      <c r="G180">
        <v>0</v>
      </c>
      <c r="H180">
        <v>0</v>
      </c>
      <c r="I180">
        <v>0</v>
      </c>
      <c r="J180">
        <v>0</v>
      </c>
    </row>
    <row r="181" spans="1:10" x14ac:dyDescent="0.3">
      <c r="A181" s="106">
        <v>566</v>
      </c>
      <c r="B181" s="370" t="s">
        <v>441</v>
      </c>
      <c r="D181">
        <v>0</v>
      </c>
      <c r="E181">
        <v>0</v>
      </c>
      <c r="F181">
        <v>0</v>
      </c>
      <c r="G181">
        <v>0</v>
      </c>
      <c r="H181">
        <v>0</v>
      </c>
      <c r="I181">
        <v>0</v>
      </c>
      <c r="J181">
        <v>0</v>
      </c>
    </row>
    <row r="182" spans="1:10" x14ac:dyDescent="0.3">
      <c r="A182" s="106">
        <v>567</v>
      </c>
      <c r="B182" s="370" t="s">
        <v>442</v>
      </c>
      <c r="D182">
        <v>0</v>
      </c>
      <c r="E182">
        <v>0</v>
      </c>
      <c r="F182">
        <v>0</v>
      </c>
      <c r="G182">
        <v>0</v>
      </c>
      <c r="H182">
        <v>0</v>
      </c>
      <c r="I182">
        <v>0</v>
      </c>
      <c r="J182">
        <v>0</v>
      </c>
    </row>
    <row r="183" spans="1:10" x14ac:dyDescent="0.3">
      <c r="A183" s="106">
        <v>568</v>
      </c>
      <c r="B183" s="370" t="s">
        <v>443</v>
      </c>
      <c r="D183">
        <v>0</v>
      </c>
      <c r="E183">
        <v>0</v>
      </c>
      <c r="F183">
        <v>0</v>
      </c>
      <c r="G183">
        <v>0</v>
      </c>
      <c r="H183">
        <v>0</v>
      </c>
      <c r="I183">
        <v>0</v>
      </c>
      <c r="J183">
        <v>0</v>
      </c>
    </row>
    <row r="184" spans="1:10" x14ac:dyDescent="0.3">
      <c r="A184" s="106">
        <v>569</v>
      </c>
      <c r="B184" s="370" t="s">
        <v>444</v>
      </c>
      <c r="D184">
        <v>0</v>
      </c>
      <c r="E184">
        <v>0</v>
      </c>
      <c r="F184">
        <v>0</v>
      </c>
      <c r="G184">
        <v>0</v>
      </c>
      <c r="H184">
        <v>0</v>
      </c>
      <c r="I184">
        <v>0</v>
      </c>
      <c r="J184">
        <v>0</v>
      </c>
    </row>
    <row r="185" spans="1:10" ht="28.8" x14ac:dyDescent="0.3">
      <c r="A185" s="106">
        <v>571</v>
      </c>
      <c r="B185" s="370" t="s">
        <v>329</v>
      </c>
      <c r="D185">
        <v>0</v>
      </c>
      <c r="E185">
        <v>0</v>
      </c>
      <c r="F185">
        <v>0</v>
      </c>
      <c r="G185">
        <v>0</v>
      </c>
      <c r="H185">
        <v>0</v>
      </c>
      <c r="I185">
        <v>0</v>
      </c>
      <c r="J185">
        <v>0</v>
      </c>
    </row>
    <row r="186" spans="1:10" x14ac:dyDescent="0.3">
      <c r="A186" s="106">
        <v>572</v>
      </c>
      <c r="B186" s="370" t="s">
        <v>330</v>
      </c>
      <c r="D186">
        <v>0</v>
      </c>
      <c r="E186">
        <v>0</v>
      </c>
      <c r="F186">
        <v>0</v>
      </c>
      <c r="G186">
        <v>0</v>
      </c>
      <c r="H186">
        <v>0</v>
      </c>
      <c r="I186">
        <v>0</v>
      </c>
      <c r="J186">
        <v>0</v>
      </c>
    </row>
    <row r="187" spans="1:10" x14ac:dyDescent="0.3">
      <c r="A187" s="106">
        <v>573</v>
      </c>
      <c r="B187" s="370" t="s">
        <v>369</v>
      </c>
      <c r="D187">
        <v>0</v>
      </c>
      <c r="E187">
        <v>0</v>
      </c>
      <c r="F187">
        <v>0</v>
      </c>
      <c r="G187">
        <v>0</v>
      </c>
      <c r="H187">
        <v>0</v>
      </c>
      <c r="I187">
        <v>0</v>
      </c>
      <c r="J187">
        <v>0</v>
      </c>
    </row>
    <row r="188" spans="1:10" x14ac:dyDescent="0.3">
      <c r="A188" s="106">
        <v>575</v>
      </c>
      <c r="B188" s="370" t="s">
        <v>195</v>
      </c>
      <c r="D188">
        <v>0</v>
      </c>
      <c r="E188">
        <v>0</v>
      </c>
      <c r="F188">
        <v>0</v>
      </c>
      <c r="G188">
        <v>0</v>
      </c>
      <c r="H188">
        <v>0</v>
      </c>
      <c r="I188">
        <v>0</v>
      </c>
      <c r="J188">
        <v>0</v>
      </c>
    </row>
    <row r="189" spans="1:10" x14ac:dyDescent="0.3">
      <c r="A189" s="106">
        <v>576</v>
      </c>
      <c r="B189" s="370" t="s">
        <v>196</v>
      </c>
      <c r="D189">
        <v>0</v>
      </c>
      <c r="E189">
        <v>0</v>
      </c>
      <c r="F189">
        <v>0</v>
      </c>
      <c r="G189">
        <v>0</v>
      </c>
      <c r="H189">
        <v>0</v>
      </c>
      <c r="I189">
        <v>0</v>
      </c>
      <c r="J189">
        <v>0</v>
      </c>
    </row>
    <row r="190" spans="1:10" ht="28.8" x14ac:dyDescent="0.3">
      <c r="A190" s="106">
        <v>577</v>
      </c>
      <c r="B190" s="370" t="s">
        <v>445</v>
      </c>
      <c r="D190">
        <v>2</v>
      </c>
      <c r="E190">
        <v>2</v>
      </c>
      <c r="F190">
        <v>2</v>
      </c>
      <c r="G190">
        <v>2</v>
      </c>
      <c r="H190">
        <v>2</v>
      </c>
      <c r="I190">
        <v>2</v>
      </c>
    </row>
    <row r="191" spans="1:10" x14ac:dyDescent="0.3">
      <c r="A191" s="106">
        <v>578</v>
      </c>
      <c r="B191" s="370" t="s">
        <v>446</v>
      </c>
      <c r="D191">
        <v>0</v>
      </c>
      <c r="E191">
        <v>0</v>
      </c>
      <c r="F191">
        <v>0</v>
      </c>
      <c r="G191">
        <v>0</v>
      </c>
      <c r="H191">
        <v>0</v>
      </c>
      <c r="I191">
        <v>0</v>
      </c>
      <c r="J191">
        <v>0</v>
      </c>
    </row>
    <row r="192" spans="1:10" x14ac:dyDescent="0.3">
      <c r="A192" s="106">
        <v>579</v>
      </c>
      <c r="B192" s="370" t="s">
        <v>447</v>
      </c>
      <c r="D192">
        <v>0</v>
      </c>
      <c r="E192">
        <v>0</v>
      </c>
      <c r="F192">
        <v>0</v>
      </c>
      <c r="G192">
        <v>0</v>
      </c>
      <c r="H192">
        <v>0</v>
      </c>
      <c r="I192">
        <v>0</v>
      </c>
      <c r="J192">
        <v>0</v>
      </c>
    </row>
    <row r="193" spans="1:10" x14ac:dyDescent="0.3">
      <c r="A193" s="106">
        <v>580</v>
      </c>
      <c r="B193" s="370" t="s">
        <v>448</v>
      </c>
      <c r="D193">
        <v>0</v>
      </c>
      <c r="E193">
        <v>0</v>
      </c>
      <c r="F193">
        <v>0</v>
      </c>
      <c r="G193">
        <v>0</v>
      </c>
      <c r="H193">
        <v>0</v>
      </c>
      <c r="I193">
        <v>0</v>
      </c>
      <c r="J193">
        <v>0</v>
      </c>
    </row>
    <row r="194" spans="1:10" x14ac:dyDescent="0.3">
      <c r="A194" s="106">
        <v>581</v>
      </c>
      <c r="B194" s="370" t="s">
        <v>449</v>
      </c>
      <c r="D194">
        <v>0</v>
      </c>
      <c r="E194">
        <v>0</v>
      </c>
      <c r="F194">
        <v>0</v>
      </c>
      <c r="G194">
        <v>0</v>
      </c>
      <c r="H194">
        <v>0</v>
      </c>
      <c r="I194">
        <v>0</v>
      </c>
      <c r="J194">
        <v>0</v>
      </c>
    </row>
    <row r="195" spans="1:10" x14ac:dyDescent="0.3">
      <c r="A195" s="106">
        <v>585</v>
      </c>
      <c r="B195" s="370" t="s">
        <v>450</v>
      </c>
      <c r="D195">
        <v>0</v>
      </c>
      <c r="E195">
        <v>0</v>
      </c>
      <c r="F195">
        <v>0</v>
      </c>
      <c r="G195">
        <v>0</v>
      </c>
      <c r="H195">
        <v>0</v>
      </c>
      <c r="I195">
        <v>0</v>
      </c>
      <c r="J195">
        <v>0</v>
      </c>
    </row>
    <row r="196" spans="1:10" x14ac:dyDescent="0.3">
      <c r="A196" s="106">
        <v>586</v>
      </c>
      <c r="B196" s="370" t="s">
        <v>451</v>
      </c>
      <c r="D196">
        <v>0</v>
      </c>
      <c r="E196">
        <v>0</v>
      </c>
      <c r="F196">
        <v>0</v>
      </c>
      <c r="G196">
        <v>0</v>
      </c>
      <c r="H196">
        <v>0</v>
      </c>
      <c r="I196">
        <v>0</v>
      </c>
      <c r="J196">
        <v>0</v>
      </c>
    </row>
    <row r="197" spans="1:10" x14ac:dyDescent="0.3">
      <c r="A197" s="106">
        <v>587</v>
      </c>
      <c r="B197" s="370" t="s">
        <v>452</v>
      </c>
      <c r="D197">
        <v>0</v>
      </c>
      <c r="E197">
        <v>0</v>
      </c>
      <c r="F197">
        <v>0</v>
      </c>
      <c r="G197">
        <v>0</v>
      </c>
      <c r="H197">
        <v>0</v>
      </c>
      <c r="I197">
        <v>0</v>
      </c>
      <c r="J197">
        <v>0</v>
      </c>
    </row>
    <row r="198" spans="1:10" x14ac:dyDescent="0.3">
      <c r="A198" s="106">
        <v>588</v>
      </c>
      <c r="B198" s="370" t="s">
        <v>453</v>
      </c>
      <c r="D198">
        <v>0</v>
      </c>
      <c r="E198">
        <v>0</v>
      </c>
      <c r="F198">
        <v>0</v>
      </c>
      <c r="G198">
        <v>0</v>
      </c>
      <c r="H198">
        <v>0</v>
      </c>
      <c r="I198">
        <v>0</v>
      </c>
      <c r="J198">
        <v>0</v>
      </c>
    </row>
    <row r="199" spans="1:10" x14ac:dyDescent="0.3">
      <c r="A199" s="106">
        <v>589</v>
      </c>
      <c r="B199" s="370" t="s">
        <v>454</v>
      </c>
      <c r="D199">
        <v>0</v>
      </c>
      <c r="E199">
        <v>0</v>
      </c>
      <c r="F199">
        <v>0</v>
      </c>
      <c r="G199">
        <v>0</v>
      </c>
      <c r="H199">
        <v>0</v>
      </c>
      <c r="I199">
        <v>0</v>
      </c>
      <c r="J199">
        <v>0</v>
      </c>
    </row>
    <row r="200" spans="1:10" x14ac:dyDescent="0.3">
      <c r="A200" s="106">
        <v>591</v>
      </c>
      <c r="B200" s="370" t="s">
        <v>215</v>
      </c>
      <c r="D200">
        <v>0</v>
      </c>
      <c r="E200">
        <v>0</v>
      </c>
      <c r="F200">
        <v>0</v>
      </c>
      <c r="G200">
        <v>0</v>
      </c>
      <c r="H200">
        <v>0</v>
      </c>
      <c r="I200">
        <v>0</v>
      </c>
      <c r="J200">
        <v>0</v>
      </c>
    </row>
    <row r="201" spans="1:10" x14ac:dyDescent="0.3">
      <c r="A201" s="106">
        <v>592</v>
      </c>
      <c r="B201" s="370" t="s">
        <v>216</v>
      </c>
      <c r="D201">
        <v>0</v>
      </c>
      <c r="E201">
        <v>0</v>
      </c>
      <c r="F201">
        <v>0</v>
      </c>
      <c r="G201">
        <v>0</v>
      </c>
      <c r="H201">
        <v>0</v>
      </c>
      <c r="I201">
        <v>0</v>
      </c>
      <c r="J201">
        <v>0</v>
      </c>
    </row>
    <row r="202" spans="1:10" x14ac:dyDescent="0.3">
      <c r="A202" s="106">
        <v>593</v>
      </c>
      <c r="B202" s="370" t="s">
        <v>455</v>
      </c>
      <c r="D202">
        <v>0</v>
      </c>
      <c r="E202">
        <v>0</v>
      </c>
      <c r="F202">
        <v>0</v>
      </c>
      <c r="G202">
        <v>0</v>
      </c>
      <c r="H202">
        <v>0</v>
      </c>
      <c r="I202">
        <v>0</v>
      </c>
      <c r="J202">
        <v>0</v>
      </c>
    </row>
    <row r="203" spans="1:10" x14ac:dyDescent="0.3">
      <c r="A203" s="106">
        <v>594</v>
      </c>
      <c r="B203" s="370" t="s">
        <v>456</v>
      </c>
      <c r="D203">
        <v>0</v>
      </c>
      <c r="E203">
        <v>0</v>
      </c>
      <c r="F203">
        <v>0</v>
      </c>
      <c r="G203">
        <v>0</v>
      </c>
      <c r="H203">
        <v>0</v>
      </c>
      <c r="I203">
        <v>0</v>
      </c>
      <c r="J203">
        <v>0</v>
      </c>
    </row>
    <row r="204" spans="1:10" x14ac:dyDescent="0.3">
      <c r="A204" s="106">
        <v>596</v>
      </c>
      <c r="B204" s="370" t="s">
        <v>221</v>
      </c>
      <c r="D204">
        <v>0</v>
      </c>
      <c r="E204">
        <v>0</v>
      </c>
      <c r="F204">
        <v>0</v>
      </c>
      <c r="G204">
        <v>0</v>
      </c>
      <c r="H204">
        <v>0</v>
      </c>
      <c r="I204">
        <v>0</v>
      </c>
      <c r="J204">
        <v>0</v>
      </c>
    </row>
    <row r="205" spans="1:10" x14ac:dyDescent="0.3">
      <c r="A205" s="106">
        <v>597</v>
      </c>
      <c r="B205" s="370" t="s">
        <v>223</v>
      </c>
      <c r="D205">
        <v>0</v>
      </c>
      <c r="E205">
        <v>0</v>
      </c>
      <c r="F205">
        <v>0</v>
      </c>
      <c r="G205">
        <v>0</v>
      </c>
      <c r="H205">
        <v>0</v>
      </c>
      <c r="I205">
        <v>0</v>
      </c>
      <c r="J205">
        <v>0</v>
      </c>
    </row>
    <row r="206" spans="1:10" x14ac:dyDescent="0.3">
      <c r="A206" s="106">
        <v>598</v>
      </c>
      <c r="B206" s="370" t="s">
        <v>225</v>
      </c>
      <c r="D206">
        <v>0</v>
      </c>
      <c r="E206">
        <v>0</v>
      </c>
      <c r="F206">
        <v>0</v>
      </c>
      <c r="G206">
        <v>0</v>
      </c>
      <c r="H206">
        <v>0</v>
      </c>
      <c r="I206">
        <v>0</v>
      </c>
      <c r="J206">
        <v>0</v>
      </c>
    </row>
    <row r="207" spans="1:10" x14ac:dyDescent="0.3">
      <c r="A207" s="106">
        <v>599</v>
      </c>
      <c r="B207" s="370" t="s">
        <v>224</v>
      </c>
      <c r="D207">
        <v>0</v>
      </c>
      <c r="E207">
        <v>0</v>
      </c>
      <c r="F207">
        <v>0</v>
      </c>
      <c r="G207">
        <v>0</v>
      </c>
      <c r="H207">
        <v>0</v>
      </c>
      <c r="I207">
        <v>0</v>
      </c>
      <c r="J207">
        <v>0</v>
      </c>
    </row>
    <row r="208" spans="1:10" x14ac:dyDescent="0.3">
      <c r="A208" s="106">
        <v>602</v>
      </c>
      <c r="B208" s="370" t="s">
        <v>226</v>
      </c>
      <c r="D208">
        <v>0</v>
      </c>
      <c r="E208">
        <v>0</v>
      </c>
      <c r="F208">
        <v>0</v>
      </c>
      <c r="G208">
        <v>0</v>
      </c>
      <c r="H208">
        <v>0</v>
      </c>
      <c r="I208">
        <v>0</v>
      </c>
      <c r="J208">
        <v>0</v>
      </c>
    </row>
    <row r="209" spans="1:10" ht="28.8" x14ac:dyDescent="0.3">
      <c r="A209" s="106">
        <v>606</v>
      </c>
      <c r="B209" s="370" t="s">
        <v>457</v>
      </c>
      <c r="D209">
        <v>1</v>
      </c>
      <c r="E209">
        <v>1</v>
      </c>
      <c r="F209">
        <v>1</v>
      </c>
      <c r="G209">
        <v>1</v>
      </c>
      <c r="H209">
        <v>1</v>
      </c>
      <c r="I209">
        <v>1</v>
      </c>
      <c r="J209">
        <v>1</v>
      </c>
    </row>
    <row r="210" spans="1:10" ht="28.8" x14ac:dyDescent="0.3">
      <c r="A210" s="106">
        <v>619</v>
      </c>
      <c r="B210" s="370" t="s">
        <v>458</v>
      </c>
      <c r="D210">
        <v>0</v>
      </c>
      <c r="E210">
        <v>0</v>
      </c>
      <c r="F210">
        <v>0</v>
      </c>
      <c r="G210">
        <v>0</v>
      </c>
      <c r="H210">
        <v>0</v>
      </c>
      <c r="I210">
        <v>0</v>
      </c>
      <c r="J210">
        <v>0</v>
      </c>
    </row>
    <row r="211" spans="1:10" ht="43.2" x14ac:dyDescent="0.3">
      <c r="A211" s="106">
        <v>620</v>
      </c>
      <c r="B211" s="370" t="s">
        <v>459</v>
      </c>
      <c r="D211">
        <v>0</v>
      </c>
      <c r="E211">
        <v>0</v>
      </c>
      <c r="F211">
        <v>0</v>
      </c>
      <c r="G211">
        <v>0</v>
      </c>
      <c r="H211">
        <v>0</v>
      </c>
      <c r="I211">
        <v>0</v>
      </c>
      <c r="J211">
        <v>0</v>
      </c>
    </row>
    <row r="212" spans="1:10" ht="72" x14ac:dyDescent="0.3">
      <c r="A212" s="106">
        <v>621</v>
      </c>
      <c r="B212" s="370" t="s">
        <v>460</v>
      </c>
      <c r="D212">
        <v>10279083</v>
      </c>
      <c r="E212">
        <v>0</v>
      </c>
      <c r="F212">
        <v>0</v>
      </c>
      <c r="G212">
        <v>5612457</v>
      </c>
      <c r="H212">
        <v>0</v>
      </c>
      <c r="I212">
        <v>0</v>
      </c>
      <c r="J212">
        <v>0</v>
      </c>
    </row>
    <row r="213" spans="1:10" ht="72" x14ac:dyDescent="0.3">
      <c r="A213" s="106">
        <v>622</v>
      </c>
      <c r="B213" s="370" t="s">
        <v>461</v>
      </c>
      <c r="D213">
        <v>3433705</v>
      </c>
      <c r="E213">
        <v>2427071</v>
      </c>
      <c r="F213">
        <v>6503635</v>
      </c>
      <c r="G213">
        <v>1811727</v>
      </c>
      <c r="H213">
        <v>1843173</v>
      </c>
      <c r="I213">
        <v>1505127</v>
      </c>
      <c r="J213">
        <v>927304</v>
      </c>
    </row>
    <row r="214" spans="1:10" ht="28.8" x14ac:dyDescent="0.3">
      <c r="A214" s="106">
        <v>624</v>
      </c>
      <c r="B214" s="370" t="s">
        <v>233</v>
      </c>
      <c r="D214">
        <v>0</v>
      </c>
      <c r="E214">
        <v>0</v>
      </c>
      <c r="F214">
        <v>0</v>
      </c>
      <c r="G214">
        <v>0</v>
      </c>
      <c r="H214">
        <v>0</v>
      </c>
      <c r="I214">
        <v>0</v>
      </c>
      <c r="J214">
        <v>0</v>
      </c>
    </row>
    <row r="215" spans="1:10" ht="28.8" x14ac:dyDescent="0.3">
      <c r="A215" s="106">
        <v>626</v>
      </c>
      <c r="B215" s="370" t="s">
        <v>462</v>
      </c>
      <c r="D215">
        <v>0</v>
      </c>
      <c r="E215">
        <v>153653</v>
      </c>
      <c r="F215">
        <v>10973333</v>
      </c>
      <c r="G215">
        <v>188316</v>
      </c>
      <c r="H215">
        <v>794927</v>
      </c>
      <c r="I215">
        <v>801589</v>
      </c>
      <c r="J215">
        <v>1136166</v>
      </c>
    </row>
    <row r="216" spans="1:10" x14ac:dyDescent="0.3">
      <c r="A216" s="106">
        <v>627</v>
      </c>
      <c r="B216" s="370" t="s">
        <v>463</v>
      </c>
      <c r="D216">
        <v>0</v>
      </c>
      <c r="E216">
        <v>0</v>
      </c>
      <c r="F216">
        <v>0</v>
      </c>
      <c r="G216">
        <v>0</v>
      </c>
      <c r="H216">
        <v>0</v>
      </c>
      <c r="I216">
        <v>0</v>
      </c>
      <c r="J216">
        <v>0</v>
      </c>
    </row>
    <row r="217" spans="1:10" x14ac:dyDescent="0.3">
      <c r="A217" s="106">
        <v>628</v>
      </c>
      <c r="B217" s="370" t="s">
        <v>464</v>
      </c>
      <c r="D217">
        <v>0</v>
      </c>
      <c r="E217">
        <v>41856</v>
      </c>
      <c r="F217">
        <v>1005936</v>
      </c>
      <c r="G217">
        <v>0</v>
      </c>
      <c r="H217">
        <v>399222</v>
      </c>
      <c r="I217">
        <v>190129</v>
      </c>
      <c r="J217">
        <v>0</v>
      </c>
    </row>
    <row r="218" spans="1:10" x14ac:dyDescent="0.3">
      <c r="A218" s="106">
        <v>629</v>
      </c>
      <c r="B218" s="370" t="s">
        <v>465</v>
      </c>
      <c r="D218">
        <v>0</v>
      </c>
      <c r="E218">
        <v>0</v>
      </c>
      <c r="F218">
        <v>6503635</v>
      </c>
      <c r="G218">
        <v>0</v>
      </c>
      <c r="H218">
        <v>0</v>
      </c>
      <c r="I218">
        <v>0</v>
      </c>
      <c r="J218">
        <v>0</v>
      </c>
    </row>
    <row r="219" spans="1:10" ht="28.8" x14ac:dyDescent="0.3">
      <c r="A219" s="106">
        <v>630</v>
      </c>
      <c r="B219" s="370" t="s">
        <v>466</v>
      </c>
      <c r="D219">
        <v>0</v>
      </c>
      <c r="E219">
        <v>0</v>
      </c>
      <c r="F219">
        <v>600870</v>
      </c>
      <c r="G219">
        <v>0</v>
      </c>
      <c r="H219">
        <v>345478</v>
      </c>
      <c r="I219">
        <v>0</v>
      </c>
      <c r="J219">
        <v>0</v>
      </c>
    </row>
    <row r="220" spans="1:10" x14ac:dyDescent="0.3">
      <c r="A220" s="106">
        <v>631</v>
      </c>
      <c r="B220" s="370" t="s">
        <v>467</v>
      </c>
      <c r="D220">
        <v>0</v>
      </c>
      <c r="E220">
        <v>0</v>
      </c>
      <c r="F220">
        <v>2019729</v>
      </c>
      <c r="G220">
        <v>0</v>
      </c>
      <c r="H220">
        <v>0</v>
      </c>
      <c r="I220">
        <v>0</v>
      </c>
      <c r="J220">
        <v>0</v>
      </c>
    </row>
    <row r="221" spans="1:10" x14ac:dyDescent="0.3">
      <c r="A221" s="106">
        <v>632</v>
      </c>
      <c r="B221" s="370" t="s">
        <v>468</v>
      </c>
      <c r="D221">
        <v>0</v>
      </c>
      <c r="E221">
        <v>0</v>
      </c>
      <c r="F221">
        <v>0</v>
      </c>
      <c r="G221">
        <v>0</v>
      </c>
      <c r="H221">
        <v>0</v>
      </c>
      <c r="I221">
        <v>0</v>
      </c>
      <c r="J221">
        <v>0</v>
      </c>
    </row>
    <row r="222" spans="1:10" ht="28.8" x14ac:dyDescent="0.3">
      <c r="A222" s="106">
        <v>633</v>
      </c>
      <c r="B222" s="370" t="s">
        <v>244</v>
      </c>
      <c r="D222">
        <v>0</v>
      </c>
      <c r="E222">
        <v>0</v>
      </c>
      <c r="F222">
        <v>0</v>
      </c>
      <c r="G222">
        <v>0</v>
      </c>
      <c r="H222">
        <v>0</v>
      </c>
      <c r="I222">
        <v>0</v>
      </c>
      <c r="J222">
        <v>0</v>
      </c>
    </row>
    <row r="223" spans="1:10" x14ac:dyDescent="0.3">
      <c r="A223" s="106">
        <v>634</v>
      </c>
      <c r="B223" s="370" t="s">
        <v>245</v>
      </c>
      <c r="D223">
        <v>0</v>
      </c>
      <c r="E223">
        <v>0</v>
      </c>
      <c r="F223">
        <v>0</v>
      </c>
      <c r="G223">
        <v>0</v>
      </c>
      <c r="H223">
        <v>0</v>
      </c>
      <c r="I223">
        <v>0</v>
      </c>
      <c r="J223">
        <v>0</v>
      </c>
    </row>
    <row r="224" spans="1:10" x14ac:dyDescent="0.3">
      <c r="A224" s="106">
        <v>635</v>
      </c>
      <c r="B224" s="370" t="s">
        <v>246</v>
      </c>
      <c r="D224">
        <v>0</v>
      </c>
      <c r="E224">
        <v>0</v>
      </c>
      <c r="F224">
        <v>0</v>
      </c>
      <c r="G224">
        <v>0</v>
      </c>
      <c r="H224">
        <v>0</v>
      </c>
      <c r="I224">
        <v>0</v>
      </c>
      <c r="J224">
        <v>0</v>
      </c>
    </row>
    <row r="225" spans="1:10" ht="57.6" x14ac:dyDescent="0.3">
      <c r="A225" s="106">
        <v>636</v>
      </c>
      <c r="B225" s="370" t="s">
        <v>790</v>
      </c>
      <c r="D225">
        <v>0</v>
      </c>
      <c r="E225">
        <v>0</v>
      </c>
      <c r="F225">
        <v>0</v>
      </c>
      <c r="G225">
        <v>0</v>
      </c>
      <c r="H225">
        <v>0</v>
      </c>
      <c r="I225">
        <v>0</v>
      </c>
      <c r="J225">
        <v>0</v>
      </c>
    </row>
    <row r="226" spans="1:10" ht="57.6" x14ac:dyDescent="0.3">
      <c r="A226" s="106">
        <v>637</v>
      </c>
      <c r="B226" s="370" t="s">
        <v>791</v>
      </c>
      <c r="D226">
        <v>0</v>
      </c>
      <c r="E226">
        <v>0</v>
      </c>
      <c r="F226">
        <v>0</v>
      </c>
      <c r="G226">
        <v>0</v>
      </c>
      <c r="H226">
        <v>0</v>
      </c>
      <c r="I226">
        <v>0</v>
      </c>
      <c r="J226">
        <v>0</v>
      </c>
    </row>
    <row r="227" spans="1:10" ht="57.6" x14ac:dyDescent="0.3">
      <c r="A227" s="106">
        <v>638</v>
      </c>
      <c r="B227" s="370" t="s">
        <v>792</v>
      </c>
      <c r="D227">
        <v>0</v>
      </c>
      <c r="E227">
        <v>0</v>
      </c>
      <c r="F227">
        <v>0</v>
      </c>
      <c r="G227">
        <v>0</v>
      </c>
      <c r="H227">
        <v>0</v>
      </c>
      <c r="I227">
        <v>0</v>
      </c>
      <c r="J227">
        <v>0</v>
      </c>
    </row>
    <row r="228" spans="1:10" ht="100.8" x14ac:dyDescent="0.3">
      <c r="A228" s="106">
        <v>639</v>
      </c>
      <c r="B228" s="370" t="s">
        <v>793</v>
      </c>
      <c r="D228">
        <v>0</v>
      </c>
      <c r="E228">
        <v>0</v>
      </c>
      <c r="F228">
        <v>0</v>
      </c>
      <c r="G228">
        <v>0</v>
      </c>
      <c r="H228">
        <v>0</v>
      </c>
      <c r="I228">
        <v>0</v>
      </c>
      <c r="J228">
        <v>0</v>
      </c>
    </row>
    <row r="229" spans="1:10" ht="57.6" x14ac:dyDescent="0.3">
      <c r="A229" s="106">
        <v>640</v>
      </c>
      <c r="B229" s="370" t="s">
        <v>794</v>
      </c>
      <c r="D229">
        <v>0</v>
      </c>
      <c r="E229">
        <v>0</v>
      </c>
      <c r="F229">
        <v>0</v>
      </c>
      <c r="G229">
        <v>0</v>
      </c>
      <c r="H229">
        <v>0</v>
      </c>
      <c r="I229">
        <v>0</v>
      </c>
      <c r="J229">
        <v>0</v>
      </c>
    </row>
    <row r="230" spans="1:10" ht="57.6" x14ac:dyDescent="0.3">
      <c r="A230" s="106">
        <v>641</v>
      </c>
      <c r="B230" s="370" t="s">
        <v>795</v>
      </c>
      <c r="D230">
        <v>0</v>
      </c>
      <c r="E230">
        <v>0</v>
      </c>
      <c r="F230">
        <v>0</v>
      </c>
      <c r="G230">
        <v>0</v>
      </c>
      <c r="H230">
        <v>0</v>
      </c>
      <c r="I230">
        <v>0</v>
      </c>
      <c r="J230">
        <v>0</v>
      </c>
    </row>
    <row r="231" spans="1:10" ht="57.6" x14ac:dyDescent="0.3">
      <c r="A231" s="106">
        <v>642</v>
      </c>
      <c r="B231" s="370" t="s">
        <v>796</v>
      </c>
      <c r="D231">
        <v>0</v>
      </c>
      <c r="E231">
        <v>0</v>
      </c>
      <c r="F231">
        <v>0</v>
      </c>
      <c r="G231">
        <v>0</v>
      </c>
      <c r="H231">
        <v>0</v>
      </c>
      <c r="I231">
        <v>0</v>
      </c>
      <c r="J231">
        <v>0</v>
      </c>
    </row>
    <row r="232" spans="1:10" ht="43.2" x14ac:dyDescent="0.3">
      <c r="A232" s="106">
        <v>643</v>
      </c>
      <c r="B232" s="370" t="s">
        <v>797</v>
      </c>
      <c r="D232">
        <v>0</v>
      </c>
      <c r="E232">
        <v>0</v>
      </c>
      <c r="F232">
        <v>0</v>
      </c>
      <c r="G232">
        <v>0</v>
      </c>
      <c r="H232">
        <v>0</v>
      </c>
      <c r="I232">
        <v>0</v>
      </c>
      <c r="J232">
        <v>0</v>
      </c>
    </row>
    <row r="233" spans="1:10" ht="57.6" x14ac:dyDescent="0.3">
      <c r="A233" s="106">
        <v>644</v>
      </c>
      <c r="B233" s="370" t="s">
        <v>798</v>
      </c>
      <c r="D233">
        <v>0</v>
      </c>
      <c r="E233">
        <v>0</v>
      </c>
      <c r="F233">
        <v>0</v>
      </c>
      <c r="G233">
        <v>0</v>
      </c>
      <c r="H233">
        <v>0</v>
      </c>
      <c r="I233">
        <v>0</v>
      </c>
      <c r="J233">
        <v>0</v>
      </c>
    </row>
    <row r="234" spans="1:10" x14ac:dyDescent="0.3">
      <c r="A234" s="106">
        <v>645</v>
      </c>
      <c r="B234" s="370" t="s">
        <v>250</v>
      </c>
      <c r="D234">
        <v>1680692</v>
      </c>
      <c r="E234">
        <v>232256</v>
      </c>
      <c r="F234">
        <v>880206</v>
      </c>
      <c r="G234">
        <v>0</v>
      </c>
      <c r="H234">
        <v>557927</v>
      </c>
      <c r="I234">
        <v>967857</v>
      </c>
      <c r="J234">
        <v>307484</v>
      </c>
    </row>
    <row r="235" spans="1:10" x14ac:dyDescent="0.3">
      <c r="A235" s="106">
        <v>646</v>
      </c>
      <c r="B235" s="370" t="s">
        <v>237</v>
      </c>
      <c r="D235">
        <v>4354659</v>
      </c>
      <c r="E235">
        <v>5643826</v>
      </c>
      <c r="F235">
        <v>6480139</v>
      </c>
      <c r="G235">
        <v>503364</v>
      </c>
      <c r="H235">
        <v>1434236</v>
      </c>
      <c r="I235">
        <v>126600</v>
      </c>
      <c r="J235">
        <v>4384669</v>
      </c>
    </row>
    <row r="236" spans="1:10" x14ac:dyDescent="0.3">
      <c r="A236" s="106">
        <v>647</v>
      </c>
      <c r="B236" s="370" t="s">
        <v>469</v>
      </c>
      <c r="D236">
        <v>0</v>
      </c>
      <c r="E236">
        <v>0</v>
      </c>
      <c r="F236">
        <v>0</v>
      </c>
      <c r="G236">
        <v>0</v>
      </c>
      <c r="H236">
        <v>0</v>
      </c>
      <c r="I236">
        <v>0</v>
      </c>
      <c r="J236">
        <v>0</v>
      </c>
    </row>
    <row r="237" spans="1:10" x14ac:dyDescent="0.3">
      <c r="A237" s="106">
        <v>648</v>
      </c>
      <c r="B237" s="370" t="s">
        <v>312</v>
      </c>
      <c r="D237">
        <v>0</v>
      </c>
      <c r="E237">
        <v>0</v>
      </c>
      <c r="F237">
        <v>0</v>
      </c>
      <c r="G237">
        <v>0</v>
      </c>
      <c r="H237">
        <v>0</v>
      </c>
      <c r="I237">
        <v>0</v>
      </c>
      <c r="J237">
        <v>0</v>
      </c>
    </row>
    <row r="238" spans="1:10" ht="28.8" x14ac:dyDescent="0.3">
      <c r="A238" s="106">
        <v>654</v>
      </c>
      <c r="B238" s="370" t="s">
        <v>266</v>
      </c>
      <c r="D238">
        <v>0</v>
      </c>
      <c r="E238">
        <v>0</v>
      </c>
      <c r="F238">
        <v>0</v>
      </c>
      <c r="G238">
        <v>0</v>
      </c>
      <c r="H238">
        <v>0</v>
      </c>
      <c r="I238">
        <v>0</v>
      </c>
      <c r="J238">
        <v>0</v>
      </c>
    </row>
    <row r="239" spans="1:10" ht="28.8" x14ac:dyDescent="0.3">
      <c r="A239" s="106">
        <v>655</v>
      </c>
      <c r="B239" s="370" t="s">
        <v>470</v>
      </c>
      <c r="D239">
        <v>0</v>
      </c>
      <c r="E239">
        <v>0</v>
      </c>
      <c r="F239">
        <v>0</v>
      </c>
      <c r="G239">
        <v>0</v>
      </c>
      <c r="H239">
        <v>0</v>
      </c>
      <c r="I239">
        <v>0</v>
      </c>
      <c r="J239">
        <v>0</v>
      </c>
    </row>
    <row r="240" spans="1:10" ht="28.8" x14ac:dyDescent="0.3">
      <c r="A240" s="106">
        <v>656</v>
      </c>
      <c r="B240" s="370" t="s">
        <v>270</v>
      </c>
      <c r="D240">
        <v>0</v>
      </c>
      <c r="E240">
        <v>0</v>
      </c>
      <c r="F240">
        <v>0</v>
      </c>
      <c r="G240">
        <v>0</v>
      </c>
      <c r="H240">
        <v>0</v>
      </c>
      <c r="I240">
        <v>0</v>
      </c>
      <c r="J240">
        <v>0</v>
      </c>
    </row>
    <row r="241" spans="1:10" ht="28.8" x14ac:dyDescent="0.3">
      <c r="A241" s="106">
        <v>657</v>
      </c>
      <c r="B241" s="370" t="s">
        <v>471</v>
      </c>
      <c r="D241">
        <v>0</v>
      </c>
      <c r="E241">
        <v>0</v>
      </c>
      <c r="F241">
        <v>0</v>
      </c>
      <c r="G241">
        <v>0</v>
      </c>
      <c r="H241">
        <v>0</v>
      </c>
      <c r="I241">
        <v>0</v>
      </c>
      <c r="J241">
        <v>0</v>
      </c>
    </row>
    <row r="242" spans="1:10" ht="28.8" x14ac:dyDescent="0.3">
      <c r="A242" s="106">
        <v>658</v>
      </c>
      <c r="B242" s="370" t="s">
        <v>472</v>
      </c>
      <c r="D242">
        <v>0</v>
      </c>
      <c r="E242">
        <v>0</v>
      </c>
      <c r="F242">
        <v>0</v>
      </c>
      <c r="G242">
        <v>0</v>
      </c>
      <c r="H242">
        <v>0</v>
      </c>
      <c r="I242">
        <v>0</v>
      </c>
      <c r="J242">
        <v>0</v>
      </c>
    </row>
    <row r="243" spans="1:10" x14ac:dyDescent="0.3">
      <c r="A243" s="106">
        <v>659</v>
      </c>
      <c r="B243" s="370" t="s">
        <v>473</v>
      </c>
      <c r="D243">
        <v>15304687</v>
      </c>
      <c r="E243">
        <v>1182721</v>
      </c>
      <c r="F243">
        <v>2019729</v>
      </c>
      <c r="G243">
        <v>0</v>
      </c>
      <c r="H243">
        <v>7120959</v>
      </c>
      <c r="I243">
        <v>2600109</v>
      </c>
      <c r="J243">
        <v>0</v>
      </c>
    </row>
    <row r="244" spans="1:10" x14ac:dyDescent="0.3">
      <c r="A244" s="106">
        <v>660</v>
      </c>
      <c r="B244" s="370" t="s">
        <v>474</v>
      </c>
      <c r="D244">
        <v>5025604</v>
      </c>
      <c r="E244">
        <v>96362</v>
      </c>
      <c r="F244">
        <v>0</v>
      </c>
      <c r="G244">
        <v>0</v>
      </c>
      <c r="H244">
        <v>0</v>
      </c>
      <c r="I244">
        <v>0</v>
      </c>
      <c r="J244">
        <v>0</v>
      </c>
    </row>
    <row r="245" spans="1:10" ht="28.8" x14ac:dyDescent="0.3">
      <c r="A245" s="106">
        <v>661</v>
      </c>
      <c r="B245" s="370" t="s">
        <v>269</v>
      </c>
      <c r="D245">
        <v>32.799999999999997</v>
      </c>
      <c r="E245">
        <v>8.1</v>
      </c>
      <c r="F245">
        <v>0</v>
      </c>
      <c r="G245">
        <v>0</v>
      </c>
      <c r="H245">
        <v>0</v>
      </c>
      <c r="I245">
        <v>0</v>
      </c>
      <c r="J245">
        <v>0</v>
      </c>
    </row>
    <row r="246" spans="1:10" ht="28.8" x14ac:dyDescent="0.3">
      <c r="A246" s="106">
        <v>662</v>
      </c>
      <c r="B246" s="370" t="s">
        <v>285</v>
      </c>
      <c r="D246">
        <v>408606</v>
      </c>
      <c r="E246">
        <v>193129</v>
      </c>
      <c r="F246">
        <v>1232183</v>
      </c>
      <c r="G246">
        <v>474562</v>
      </c>
      <c r="H246">
        <v>810344</v>
      </c>
      <c r="I246">
        <v>264351</v>
      </c>
      <c r="J246">
        <v>116460</v>
      </c>
    </row>
    <row r="247" spans="1:10" x14ac:dyDescent="0.3">
      <c r="A247" s="106">
        <v>663</v>
      </c>
      <c r="B247" s="370" t="s">
        <v>475</v>
      </c>
      <c r="D247">
        <v>1569344</v>
      </c>
      <c r="E247">
        <v>1239938</v>
      </c>
      <c r="F247">
        <v>0</v>
      </c>
      <c r="G247">
        <v>895704</v>
      </c>
      <c r="H247">
        <v>1170261</v>
      </c>
      <c r="I247">
        <v>236075</v>
      </c>
      <c r="J247">
        <v>525928</v>
      </c>
    </row>
    <row r="248" spans="1:10" x14ac:dyDescent="0.3">
      <c r="A248" s="106">
        <v>906</v>
      </c>
      <c r="B248" s="370" t="s">
        <v>476</v>
      </c>
      <c r="D248">
        <v>1</v>
      </c>
      <c r="E248">
        <v>1</v>
      </c>
      <c r="F248">
        <v>1</v>
      </c>
      <c r="G248">
        <v>1</v>
      </c>
      <c r="H248">
        <v>1</v>
      </c>
      <c r="I248">
        <v>1</v>
      </c>
      <c r="J248">
        <v>1</v>
      </c>
    </row>
    <row r="249" spans="1:10" ht="28.8" x14ac:dyDescent="0.3">
      <c r="A249" s="106">
        <v>907</v>
      </c>
      <c r="B249" s="370" t="s">
        <v>477</v>
      </c>
      <c r="D249">
        <v>2</v>
      </c>
      <c r="E249">
        <v>2</v>
      </c>
      <c r="F249">
        <v>2</v>
      </c>
      <c r="G249">
        <v>2</v>
      </c>
      <c r="H249">
        <v>2</v>
      </c>
      <c r="I249">
        <v>2</v>
      </c>
      <c r="J249">
        <v>2</v>
      </c>
    </row>
    <row r="250" spans="1:10" ht="43.2" x14ac:dyDescent="0.3">
      <c r="A250" s="106">
        <v>947</v>
      </c>
      <c r="B250" s="370" t="s">
        <v>478</v>
      </c>
      <c r="D250" t="s">
        <v>566</v>
      </c>
      <c r="E250" t="s">
        <v>567</v>
      </c>
      <c r="F250" t="s">
        <v>568</v>
      </c>
      <c r="G250" t="s">
        <v>569</v>
      </c>
      <c r="H250" t="s">
        <v>570</v>
      </c>
      <c r="I250" t="s">
        <v>571</v>
      </c>
      <c r="J250" t="s">
        <v>572</v>
      </c>
    </row>
    <row r="251" spans="1:10" ht="43.2" x14ac:dyDescent="0.3">
      <c r="A251" s="106">
        <v>948</v>
      </c>
      <c r="B251" s="370" t="s">
        <v>479</v>
      </c>
      <c r="D251" t="s">
        <v>573</v>
      </c>
      <c r="E251" t="s">
        <v>574</v>
      </c>
      <c r="F251" t="s">
        <v>575</v>
      </c>
      <c r="G251" t="s">
        <v>541</v>
      </c>
      <c r="H251" t="s">
        <v>576</v>
      </c>
      <c r="I251" t="s">
        <v>577</v>
      </c>
      <c r="J251" t="s">
        <v>578</v>
      </c>
    </row>
    <row r="252" spans="1:10" ht="28.8" x14ac:dyDescent="0.3">
      <c r="A252" s="106">
        <v>949</v>
      </c>
      <c r="B252" s="370" t="s">
        <v>480</v>
      </c>
      <c r="D252" t="s">
        <v>263</v>
      </c>
      <c r="E252" t="s">
        <v>263</v>
      </c>
      <c r="F252" t="s">
        <v>263</v>
      </c>
      <c r="G252" t="s">
        <v>263</v>
      </c>
      <c r="H252" t="s">
        <v>263</v>
      </c>
      <c r="I252" t="s">
        <v>263</v>
      </c>
      <c r="J252" t="s">
        <v>263</v>
      </c>
    </row>
    <row r="253" spans="1:10" ht="43.2" x14ac:dyDescent="0.3">
      <c r="A253" s="106">
        <v>950</v>
      </c>
      <c r="B253" s="370" t="s">
        <v>481</v>
      </c>
      <c r="D253" t="s">
        <v>17</v>
      </c>
      <c r="E253" t="s">
        <v>17</v>
      </c>
      <c r="F253" t="s">
        <v>17</v>
      </c>
      <c r="G253" t="s">
        <v>18</v>
      </c>
      <c r="H253" t="s">
        <v>17</v>
      </c>
      <c r="I253" t="s">
        <v>17</v>
      </c>
      <c r="J253" t="s">
        <v>17</v>
      </c>
    </row>
    <row r="254" spans="1:10" ht="28.8" x14ac:dyDescent="0.3">
      <c r="A254" s="106">
        <v>951</v>
      </c>
      <c r="B254" s="370" t="s">
        <v>482</v>
      </c>
      <c r="D254">
        <v>2</v>
      </c>
      <c r="E254">
        <v>2</v>
      </c>
      <c r="F254">
        <v>2</v>
      </c>
      <c r="G254">
        <v>2</v>
      </c>
      <c r="H254">
        <v>2</v>
      </c>
      <c r="I254">
        <v>2</v>
      </c>
      <c r="J254">
        <v>2</v>
      </c>
    </row>
    <row r="255" spans="1:10" ht="57.6" x14ac:dyDescent="0.3">
      <c r="A255" s="106">
        <v>952</v>
      </c>
      <c r="B255" s="370" t="s">
        <v>483</v>
      </c>
      <c r="D255" t="s">
        <v>579</v>
      </c>
      <c r="E255" t="s">
        <v>580</v>
      </c>
      <c r="F255" t="s">
        <v>581</v>
      </c>
      <c r="H255" t="s">
        <v>582</v>
      </c>
      <c r="I255" t="s">
        <v>583</v>
      </c>
      <c r="J255" t="s">
        <v>584</v>
      </c>
    </row>
    <row r="256" spans="1:10" ht="28.8" x14ac:dyDescent="0.3">
      <c r="A256" s="106">
        <v>953</v>
      </c>
      <c r="B256" s="370" t="s">
        <v>484</v>
      </c>
      <c r="D256">
        <v>2</v>
      </c>
      <c r="E256">
        <v>2</v>
      </c>
      <c r="F256">
        <v>2</v>
      </c>
      <c r="G256">
        <v>2</v>
      </c>
      <c r="H256">
        <v>2</v>
      </c>
      <c r="I256">
        <v>2</v>
      </c>
      <c r="J256">
        <v>2</v>
      </c>
    </row>
    <row r="257" spans="1:10" ht="57.6" x14ac:dyDescent="0.3">
      <c r="A257" s="106">
        <v>954</v>
      </c>
      <c r="B257" s="370" t="s">
        <v>261</v>
      </c>
      <c r="D257" t="s">
        <v>17</v>
      </c>
      <c r="E257" t="s">
        <v>17</v>
      </c>
      <c r="F257" t="s">
        <v>17</v>
      </c>
      <c r="G257" t="s">
        <v>17</v>
      </c>
      <c r="H257" t="s">
        <v>17</v>
      </c>
      <c r="I257" t="s">
        <v>17</v>
      </c>
      <c r="J257" t="s">
        <v>17</v>
      </c>
    </row>
    <row r="258" spans="1:10" ht="28.8" x14ac:dyDescent="0.3">
      <c r="A258" s="106">
        <v>955</v>
      </c>
      <c r="B258" s="370" t="s">
        <v>485</v>
      </c>
      <c r="D258">
        <v>0</v>
      </c>
      <c r="E258">
        <v>0</v>
      </c>
      <c r="F258">
        <v>0</v>
      </c>
      <c r="G258">
        <v>1</v>
      </c>
      <c r="H258">
        <v>0</v>
      </c>
      <c r="I258">
        <v>0</v>
      </c>
      <c r="J258">
        <v>0</v>
      </c>
    </row>
    <row r="259" spans="1:10" ht="72" x14ac:dyDescent="0.3">
      <c r="A259" s="106">
        <v>956</v>
      </c>
      <c r="B259" s="370" t="s">
        <v>262</v>
      </c>
      <c r="D259" t="s">
        <v>17</v>
      </c>
      <c r="E259" t="s">
        <v>17</v>
      </c>
      <c r="F259" t="s">
        <v>17</v>
      </c>
      <c r="G259" t="s">
        <v>17</v>
      </c>
      <c r="H259" t="s">
        <v>17</v>
      </c>
      <c r="I259" t="s">
        <v>17</v>
      </c>
      <c r="J259" t="s">
        <v>17</v>
      </c>
    </row>
    <row r="260" spans="1:10" ht="28.8" x14ac:dyDescent="0.3">
      <c r="A260" s="106">
        <v>957</v>
      </c>
      <c r="B260" s="370" t="s">
        <v>486</v>
      </c>
      <c r="D260">
        <v>0</v>
      </c>
      <c r="E260">
        <v>0</v>
      </c>
      <c r="F260">
        <v>0</v>
      </c>
      <c r="G260">
        <v>0</v>
      </c>
      <c r="H260">
        <v>0</v>
      </c>
      <c r="I260">
        <v>0</v>
      </c>
      <c r="J260">
        <v>0</v>
      </c>
    </row>
    <row r="261" spans="1:10" ht="72" x14ac:dyDescent="0.3">
      <c r="A261" s="106">
        <v>958</v>
      </c>
      <c r="B261" s="370" t="s">
        <v>487</v>
      </c>
      <c r="D261" t="s">
        <v>17</v>
      </c>
      <c r="E261" t="s">
        <v>17</v>
      </c>
      <c r="F261" t="s">
        <v>17</v>
      </c>
      <c r="G261" t="s">
        <v>17</v>
      </c>
      <c r="H261" t="s">
        <v>17</v>
      </c>
      <c r="I261" t="s">
        <v>17</v>
      </c>
      <c r="J261" t="s">
        <v>17</v>
      </c>
    </row>
    <row r="262" spans="1:10" ht="43.2" x14ac:dyDescent="0.3">
      <c r="A262" s="106">
        <v>959</v>
      </c>
      <c r="B262" s="370" t="s">
        <v>488</v>
      </c>
      <c r="D262">
        <v>3</v>
      </c>
      <c r="E262">
        <v>3</v>
      </c>
      <c r="F262">
        <v>2</v>
      </c>
      <c r="G262">
        <v>2</v>
      </c>
      <c r="H262">
        <v>3</v>
      </c>
      <c r="I262">
        <v>2</v>
      </c>
      <c r="J262">
        <v>3</v>
      </c>
    </row>
    <row r="263" spans="1:10" x14ac:dyDescent="0.3">
      <c r="A263" s="106">
        <v>960</v>
      </c>
      <c r="B263" s="370" t="s">
        <v>489</v>
      </c>
      <c r="D263" t="s">
        <v>585</v>
      </c>
      <c r="E263" t="s">
        <v>586</v>
      </c>
      <c r="F263" t="s">
        <v>587</v>
      </c>
      <c r="G263" t="s">
        <v>588</v>
      </c>
      <c r="H263" t="s">
        <v>589</v>
      </c>
      <c r="I263" t="s">
        <v>590</v>
      </c>
      <c r="J263" t="s">
        <v>591</v>
      </c>
    </row>
    <row r="264" spans="1:10" x14ac:dyDescent="0.3">
      <c r="A264" s="106">
        <v>962</v>
      </c>
      <c r="B264" s="370" t="s">
        <v>490</v>
      </c>
      <c r="D264" t="s">
        <v>492</v>
      </c>
      <c r="E264" t="s">
        <v>592</v>
      </c>
      <c r="F264" t="s">
        <v>532</v>
      </c>
      <c r="G264" t="s">
        <v>492</v>
      </c>
      <c r="H264" t="s">
        <v>492</v>
      </c>
      <c r="I264" t="s">
        <v>491</v>
      </c>
      <c r="J264" t="s">
        <v>493</v>
      </c>
    </row>
    <row r="265" spans="1:10" x14ac:dyDescent="0.3">
      <c r="A265" s="106">
        <v>964</v>
      </c>
      <c r="B265" s="370" t="s">
        <v>494</v>
      </c>
      <c r="D265" t="s">
        <v>593</v>
      </c>
      <c r="E265" t="s">
        <v>594</v>
      </c>
      <c r="F265" t="s">
        <v>531</v>
      </c>
      <c r="G265" t="s">
        <v>533</v>
      </c>
      <c r="H265" t="s">
        <v>595</v>
      </c>
      <c r="I265" t="s">
        <v>495</v>
      </c>
      <c r="J265" t="s">
        <v>596</v>
      </c>
    </row>
    <row r="266" spans="1:10" ht="28.8" x14ac:dyDescent="0.3">
      <c r="A266" s="106">
        <v>965</v>
      </c>
      <c r="B266" s="370" t="s">
        <v>496</v>
      </c>
      <c r="D266">
        <v>0</v>
      </c>
      <c r="E266">
        <v>0</v>
      </c>
      <c r="F266">
        <v>0</v>
      </c>
      <c r="G266">
        <v>0</v>
      </c>
      <c r="H266">
        <v>0</v>
      </c>
      <c r="I266">
        <v>0</v>
      </c>
      <c r="J266">
        <v>0</v>
      </c>
    </row>
    <row r="267" spans="1:10" ht="28.8" x14ac:dyDescent="0.3">
      <c r="A267" s="106">
        <v>966</v>
      </c>
      <c r="B267" s="370" t="s">
        <v>497</v>
      </c>
      <c r="D267" t="s">
        <v>597</v>
      </c>
      <c r="E267" t="s">
        <v>598</v>
      </c>
      <c r="F267" t="s">
        <v>599</v>
      </c>
      <c r="G267" t="s">
        <v>600</v>
      </c>
      <c r="H267" t="s">
        <v>601</v>
      </c>
      <c r="I267" t="s">
        <v>602</v>
      </c>
      <c r="J267" t="s">
        <v>603</v>
      </c>
    </row>
    <row r="268" spans="1:10" x14ac:dyDescent="0.3">
      <c r="A268" s="106">
        <v>968</v>
      </c>
      <c r="B268" s="370" t="s">
        <v>498</v>
      </c>
      <c r="D268" t="s">
        <v>604</v>
      </c>
      <c r="E268" t="s">
        <v>605</v>
      </c>
      <c r="F268" t="s">
        <v>606</v>
      </c>
      <c r="G268" t="s">
        <v>607</v>
      </c>
      <c r="H268" t="s">
        <v>608</v>
      </c>
      <c r="I268" t="s">
        <v>609</v>
      </c>
      <c r="J268" t="s">
        <v>610</v>
      </c>
    </row>
    <row r="269" spans="1:10" ht="28.8" x14ac:dyDescent="0.3">
      <c r="A269" s="106">
        <v>973</v>
      </c>
      <c r="B269" s="370" t="s">
        <v>627</v>
      </c>
      <c r="D269">
        <v>0</v>
      </c>
      <c r="E269">
        <v>0</v>
      </c>
      <c r="F269">
        <v>0</v>
      </c>
      <c r="G269">
        <v>0</v>
      </c>
      <c r="H269">
        <v>0</v>
      </c>
      <c r="I269">
        <v>0</v>
      </c>
      <c r="J269">
        <v>0</v>
      </c>
    </row>
    <row r="270" spans="1:10" ht="100.8" x14ac:dyDescent="0.3">
      <c r="A270" s="106">
        <v>974</v>
      </c>
      <c r="B270" s="370" t="s">
        <v>799</v>
      </c>
      <c r="D270">
        <v>0</v>
      </c>
      <c r="E270">
        <v>0</v>
      </c>
      <c r="F270">
        <v>0</v>
      </c>
      <c r="G270">
        <v>0</v>
      </c>
      <c r="H270">
        <v>0</v>
      </c>
      <c r="I270">
        <v>0</v>
      </c>
      <c r="J270">
        <v>0</v>
      </c>
    </row>
    <row r="271" spans="1:10" ht="28.8" x14ac:dyDescent="0.3">
      <c r="A271" s="106">
        <v>975</v>
      </c>
      <c r="B271" s="370" t="s">
        <v>311</v>
      </c>
      <c r="D271">
        <v>1</v>
      </c>
      <c r="E271">
        <v>1</v>
      </c>
      <c r="F271">
        <v>2</v>
      </c>
      <c r="G271">
        <v>1</v>
      </c>
      <c r="H271">
        <v>1</v>
      </c>
      <c r="I271">
        <v>2</v>
      </c>
      <c r="J271">
        <v>2</v>
      </c>
    </row>
    <row r="272" spans="1:10" ht="43.2" x14ac:dyDescent="0.3">
      <c r="A272" s="106">
        <v>976</v>
      </c>
      <c r="B272" s="370" t="s">
        <v>800</v>
      </c>
      <c r="D272">
        <v>1</v>
      </c>
      <c r="E272">
        <v>1</v>
      </c>
      <c r="F272">
        <v>3</v>
      </c>
      <c r="G272">
        <v>1</v>
      </c>
      <c r="H272">
        <v>1</v>
      </c>
      <c r="I272">
        <v>0</v>
      </c>
      <c r="J272">
        <v>3</v>
      </c>
    </row>
    <row r="273" spans="1:10" ht="43.2" x14ac:dyDescent="0.3">
      <c r="A273" s="106">
        <v>977</v>
      </c>
      <c r="B273" s="370" t="s">
        <v>801</v>
      </c>
      <c r="D273">
        <v>0</v>
      </c>
      <c r="E273">
        <v>0</v>
      </c>
      <c r="F273">
        <v>0</v>
      </c>
      <c r="G273">
        <v>0</v>
      </c>
      <c r="H273">
        <v>0</v>
      </c>
      <c r="I273">
        <v>0</v>
      </c>
      <c r="J273">
        <v>0</v>
      </c>
    </row>
    <row r="274" spans="1:10" ht="28.8" x14ac:dyDescent="0.3">
      <c r="A274" s="106">
        <v>978</v>
      </c>
      <c r="B274" s="370" t="s">
        <v>802</v>
      </c>
      <c r="D274">
        <v>2</v>
      </c>
      <c r="E274">
        <v>2</v>
      </c>
      <c r="F274" s="452">
        <v>2</v>
      </c>
      <c r="G274">
        <v>2</v>
      </c>
      <c r="H274">
        <v>2</v>
      </c>
      <c r="I274">
        <v>2</v>
      </c>
      <c r="J274">
        <v>2</v>
      </c>
    </row>
    <row r="275" spans="1:10" ht="57.6" x14ac:dyDescent="0.3">
      <c r="A275" s="106">
        <v>979</v>
      </c>
      <c r="B275" s="370" t="s">
        <v>771</v>
      </c>
      <c r="D275">
        <v>2</v>
      </c>
      <c r="E275">
        <v>2</v>
      </c>
      <c r="F275">
        <v>1</v>
      </c>
      <c r="G275">
        <v>1</v>
      </c>
      <c r="H275">
        <v>2</v>
      </c>
      <c r="I275">
        <v>1</v>
      </c>
      <c r="J275">
        <v>1</v>
      </c>
    </row>
    <row r="276" spans="1:10" ht="28.8" x14ac:dyDescent="0.3">
      <c r="A276" s="106">
        <v>980</v>
      </c>
      <c r="B276" s="370" t="s">
        <v>308</v>
      </c>
      <c r="D276" t="s">
        <v>803</v>
      </c>
      <c r="E276" t="s">
        <v>804</v>
      </c>
      <c r="F276" t="s">
        <v>805</v>
      </c>
      <c r="G276" t="s">
        <v>806</v>
      </c>
      <c r="H276" t="s">
        <v>804</v>
      </c>
      <c r="I276" t="s">
        <v>803</v>
      </c>
      <c r="J276" t="s">
        <v>807</v>
      </c>
    </row>
    <row r="277" spans="1:10" ht="43.2" x14ac:dyDescent="0.3">
      <c r="A277" s="106">
        <v>984</v>
      </c>
      <c r="B277" s="370" t="s">
        <v>808</v>
      </c>
      <c r="D277">
        <v>0</v>
      </c>
      <c r="E277">
        <v>0</v>
      </c>
      <c r="F277">
        <v>0</v>
      </c>
      <c r="G277">
        <v>0</v>
      </c>
      <c r="H277">
        <v>0</v>
      </c>
      <c r="I277">
        <v>0</v>
      </c>
      <c r="J277">
        <v>0</v>
      </c>
    </row>
    <row r="278" spans="1:10" ht="43.2" x14ac:dyDescent="0.3">
      <c r="A278" s="106">
        <v>985</v>
      </c>
      <c r="B278" s="370" t="s">
        <v>809</v>
      </c>
      <c r="D278">
        <v>0</v>
      </c>
      <c r="E278">
        <v>0</v>
      </c>
      <c r="F278">
        <v>0</v>
      </c>
      <c r="G278">
        <v>0</v>
      </c>
      <c r="H278">
        <v>0</v>
      </c>
      <c r="I278">
        <v>0</v>
      </c>
      <c r="J278">
        <v>0</v>
      </c>
    </row>
    <row r="279" spans="1:10" ht="43.2" x14ac:dyDescent="0.3">
      <c r="A279" s="106">
        <v>986</v>
      </c>
      <c r="B279" s="370" t="s">
        <v>810</v>
      </c>
      <c r="D279">
        <v>0</v>
      </c>
      <c r="E279">
        <v>0</v>
      </c>
      <c r="F279">
        <v>0</v>
      </c>
      <c r="G279">
        <v>0</v>
      </c>
      <c r="H279">
        <v>0</v>
      </c>
      <c r="I279">
        <v>0</v>
      </c>
      <c r="J279">
        <v>0</v>
      </c>
    </row>
    <row r="280" spans="1:10" ht="72" x14ac:dyDescent="0.3">
      <c r="A280" s="106">
        <v>987</v>
      </c>
      <c r="B280" s="370" t="s">
        <v>811</v>
      </c>
      <c r="D280">
        <v>0</v>
      </c>
      <c r="E280">
        <v>0</v>
      </c>
      <c r="F280">
        <v>0</v>
      </c>
      <c r="G280">
        <v>0</v>
      </c>
      <c r="H280">
        <v>0</v>
      </c>
      <c r="I280">
        <v>0</v>
      </c>
      <c r="J280">
        <v>0</v>
      </c>
    </row>
    <row r="281" spans="1:10" ht="28.8" x14ac:dyDescent="0.3">
      <c r="A281" s="106">
        <v>988</v>
      </c>
      <c r="B281" s="370" t="s">
        <v>812</v>
      </c>
      <c r="D281">
        <v>0</v>
      </c>
      <c r="E281">
        <v>0</v>
      </c>
      <c r="F281">
        <v>0</v>
      </c>
      <c r="G281">
        <v>0</v>
      </c>
      <c r="H281">
        <v>0</v>
      </c>
      <c r="I281">
        <v>0</v>
      </c>
      <c r="J281">
        <v>0</v>
      </c>
    </row>
    <row r="282" spans="1:10" ht="43.2" x14ac:dyDescent="0.3">
      <c r="A282" s="106">
        <v>989</v>
      </c>
      <c r="B282" s="370" t="s">
        <v>813</v>
      </c>
      <c r="D282">
        <v>0</v>
      </c>
      <c r="E282">
        <v>0</v>
      </c>
      <c r="F282">
        <v>0</v>
      </c>
      <c r="G282">
        <v>0</v>
      </c>
      <c r="H282">
        <v>0</v>
      </c>
      <c r="I282">
        <v>0</v>
      </c>
      <c r="J282">
        <v>0</v>
      </c>
    </row>
    <row r="283" spans="1:10" ht="28.8" x14ac:dyDescent="0.3">
      <c r="A283" s="106">
        <v>990</v>
      </c>
      <c r="B283" s="370" t="s">
        <v>814</v>
      </c>
      <c r="D283">
        <v>0</v>
      </c>
      <c r="E283">
        <v>0</v>
      </c>
      <c r="F283">
        <v>0</v>
      </c>
      <c r="G283">
        <v>0</v>
      </c>
      <c r="H283">
        <v>0</v>
      </c>
      <c r="I283">
        <v>0</v>
      </c>
      <c r="J283">
        <v>0</v>
      </c>
    </row>
    <row r="284" spans="1:10" ht="72" x14ac:dyDescent="0.3">
      <c r="A284" s="106">
        <v>991</v>
      </c>
      <c r="B284" s="370" t="s">
        <v>815</v>
      </c>
      <c r="D284">
        <v>0</v>
      </c>
      <c r="E284">
        <v>0</v>
      </c>
      <c r="F284">
        <v>0</v>
      </c>
      <c r="G284">
        <v>0</v>
      </c>
      <c r="H284">
        <v>0</v>
      </c>
      <c r="I284">
        <v>0</v>
      </c>
      <c r="J284">
        <v>0</v>
      </c>
    </row>
    <row r="285" spans="1:10" x14ac:dyDescent="0.3">
      <c r="A285" s="106">
        <v>995</v>
      </c>
      <c r="B285" s="370" t="s">
        <v>816</v>
      </c>
      <c r="D285">
        <v>0</v>
      </c>
      <c r="E285">
        <v>0</v>
      </c>
      <c r="F285">
        <v>0</v>
      </c>
      <c r="G285">
        <v>0</v>
      </c>
      <c r="H285">
        <v>0</v>
      </c>
      <c r="I285">
        <v>0</v>
      </c>
      <c r="J285">
        <v>0</v>
      </c>
    </row>
    <row r="286" spans="1:10" x14ac:dyDescent="0.3">
      <c r="A286" s="106">
        <v>996</v>
      </c>
      <c r="B286" s="370" t="s">
        <v>180</v>
      </c>
      <c r="D286">
        <v>0</v>
      </c>
      <c r="E286">
        <v>0</v>
      </c>
      <c r="F286">
        <v>0</v>
      </c>
      <c r="G286">
        <v>0</v>
      </c>
      <c r="H286">
        <v>0</v>
      </c>
      <c r="I286">
        <v>0</v>
      </c>
      <c r="J286">
        <v>0</v>
      </c>
    </row>
    <row r="287" spans="1:10" x14ac:dyDescent="0.3">
      <c r="A287" s="106">
        <v>998</v>
      </c>
      <c r="B287" s="370" t="s">
        <v>181</v>
      </c>
      <c r="D287">
        <v>56</v>
      </c>
      <c r="E287">
        <v>56</v>
      </c>
      <c r="F287">
        <v>56</v>
      </c>
      <c r="G287">
        <v>56</v>
      </c>
      <c r="H287">
        <v>56</v>
      </c>
      <c r="I287">
        <v>56</v>
      </c>
      <c r="J287">
        <v>56</v>
      </c>
    </row>
    <row r="288" spans="1:10" x14ac:dyDescent="0.3">
      <c r="A288" s="106">
        <v>999</v>
      </c>
      <c r="B288" s="370" t="s">
        <v>182</v>
      </c>
      <c r="D288">
        <v>561205</v>
      </c>
      <c r="E288">
        <v>561200</v>
      </c>
      <c r="F288">
        <v>561208</v>
      </c>
      <c r="G288">
        <v>561206</v>
      </c>
      <c r="H288">
        <v>561202</v>
      </c>
      <c r="I288">
        <v>561204</v>
      </c>
      <c r="J288">
        <v>561207</v>
      </c>
    </row>
    <row r="289" spans="1:10" s="655" customFormat="1" x14ac:dyDescent="0.3">
      <c r="A289" s="653">
        <v>9000</v>
      </c>
      <c r="B289" s="654" t="s">
        <v>499</v>
      </c>
      <c r="C289" s="655" t="s">
        <v>230</v>
      </c>
      <c r="D289" s="655">
        <v>217819036.80000001</v>
      </c>
      <c r="E289" s="655">
        <v>149211569.09999999</v>
      </c>
      <c r="F289" s="655">
        <v>231776714</v>
      </c>
      <c r="G289" s="655">
        <v>68743839</v>
      </c>
      <c r="H289" s="655">
        <v>91519114</v>
      </c>
      <c r="I289" s="655">
        <v>65387054</v>
      </c>
      <c r="J289" s="655">
        <v>71647211</v>
      </c>
    </row>
    <row r="290" spans="1:10" x14ac:dyDescent="0.3">
      <c r="A290" s="106">
        <v>9001</v>
      </c>
      <c r="B290" s="370" t="s">
        <v>500</v>
      </c>
      <c r="C290" t="s">
        <v>501</v>
      </c>
      <c r="D290">
        <v>21386166</v>
      </c>
      <c r="E290">
        <v>12794016</v>
      </c>
      <c r="F290">
        <v>18237015</v>
      </c>
      <c r="G290">
        <v>5830217</v>
      </c>
      <c r="H290">
        <v>6552241</v>
      </c>
      <c r="I290">
        <v>5104084</v>
      </c>
      <c r="J290">
        <v>6528842</v>
      </c>
    </row>
    <row r="291" spans="1:10" ht="28.8" x14ac:dyDescent="0.3">
      <c r="A291" s="106">
        <v>9002</v>
      </c>
      <c r="B291" s="370" t="s">
        <v>502</v>
      </c>
      <c r="C291" t="s">
        <v>503</v>
      </c>
      <c r="D291">
        <v>0</v>
      </c>
      <c r="E291">
        <v>153653</v>
      </c>
      <c r="F291">
        <v>10973333</v>
      </c>
      <c r="G291">
        <v>188316</v>
      </c>
      <c r="H291">
        <v>794927</v>
      </c>
      <c r="I291">
        <v>801589</v>
      </c>
      <c r="J291">
        <v>1136166</v>
      </c>
    </row>
    <row r="292" spans="1:10" ht="28.8" x14ac:dyDescent="0.3">
      <c r="A292" s="106">
        <v>9003</v>
      </c>
      <c r="B292" s="370" t="s">
        <v>504</v>
      </c>
      <c r="C292" t="s">
        <v>505</v>
      </c>
      <c r="D292">
        <v>24455220</v>
      </c>
      <c r="E292">
        <v>4449162</v>
      </c>
      <c r="F292">
        <v>11016222</v>
      </c>
      <c r="G292">
        <v>10755823</v>
      </c>
      <c r="H292">
        <v>9789667</v>
      </c>
      <c r="I292">
        <v>4999282</v>
      </c>
      <c r="J292">
        <v>2267552</v>
      </c>
    </row>
    <row r="293" spans="1:10" ht="57.6" x14ac:dyDescent="0.3">
      <c r="A293" s="106">
        <v>9004</v>
      </c>
      <c r="B293" s="370" t="s">
        <v>506</v>
      </c>
      <c r="C293" t="s">
        <v>507</v>
      </c>
      <c r="D293" t="s">
        <v>230</v>
      </c>
      <c r="E293" t="s">
        <v>230</v>
      </c>
      <c r="F293" t="s">
        <v>230</v>
      </c>
      <c r="G293" t="s">
        <v>230</v>
      </c>
      <c r="H293" t="s">
        <v>230</v>
      </c>
      <c r="I293" t="s">
        <v>230</v>
      </c>
      <c r="J293" t="s">
        <v>230</v>
      </c>
    </row>
    <row r="294" spans="1:10" ht="28.8" x14ac:dyDescent="0.3">
      <c r="A294" s="106">
        <v>9005</v>
      </c>
      <c r="B294" s="370" t="s">
        <v>508</v>
      </c>
      <c r="C294" t="s">
        <v>509</v>
      </c>
      <c r="D294">
        <v>6413786</v>
      </c>
      <c r="E294">
        <v>5876082</v>
      </c>
      <c r="F294">
        <v>7360345</v>
      </c>
      <c r="G294">
        <v>684350</v>
      </c>
      <c r="H294">
        <v>2920753</v>
      </c>
      <c r="I294">
        <v>1094457</v>
      </c>
      <c r="J294">
        <v>4692153</v>
      </c>
    </row>
    <row r="295" spans="1:10" x14ac:dyDescent="0.3">
      <c r="A295" s="106">
        <v>9006</v>
      </c>
      <c r="B295" s="370" t="s">
        <v>510</v>
      </c>
      <c r="C295" t="s">
        <v>511</v>
      </c>
      <c r="D295">
        <v>14581146</v>
      </c>
      <c r="E295">
        <v>10477529</v>
      </c>
      <c r="F295">
        <v>22898733</v>
      </c>
      <c r="G295">
        <v>7107968</v>
      </c>
      <c r="H295">
        <v>8967107</v>
      </c>
      <c r="I295">
        <v>7340000</v>
      </c>
      <c r="J295">
        <v>4549382</v>
      </c>
    </row>
    <row r="296" spans="1:10" ht="28.8" x14ac:dyDescent="0.3">
      <c r="A296" s="106">
        <v>9007</v>
      </c>
      <c r="B296" s="370" t="s">
        <v>550</v>
      </c>
      <c r="C296" t="s">
        <v>512</v>
      </c>
      <c r="D296">
        <v>0.43990000000000001</v>
      </c>
      <c r="E296">
        <v>0.56079999999999997</v>
      </c>
      <c r="F296">
        <v>0.32140000000000002</v>
      </c>
      <c r="G296">
        <v>9.6299999999999997E-2</v>
      </c>
      <c r="H296">
        <v>0.32569999999999999</v>
      </c>
      <c r="I296">
        <v>0.14910000000000001</v>
      </c>
      <c r="J296">
        <v>1.0314000000000001</v>
      </c>
    </row>
    <row r="297" spans="1:10" x14ac:dyDescent="0.3">
      <c r="A297" s="106">
        <v>9008</v>
      </c>
      <c r="B297" s="370" t="s">
        <v>513</v>
      </c>
      <c r="C297" t="s">
        <v>230</v>
      </c>
      <c r="D297">
        <v>0</v>
      </c>
      <c r="E297">
        <v>0</v>
      </c>
      <c r="F297">
        <v>0</v>
      </c>
      <c r="G297">
        <v>0</v>
      </c>
      <c r="H297">
        <v>0</v>
      </c>
      <c r="I297">
        <v>0</v>
      </c>
      <c r="J297">
        <v>0</v>
      </c>
    </row>
    <row r="298" spans="1:10" ht="28.8" x14ac:dyDescent="0.3">
      <c r="A298" s="106">
        <v>9010</v>
      </c>
      <c r="B298" s="370" t="s">
        <v>514</v>
      </c>
      <c r="C298" t="s">
        <v>515</v>
      </c>
      <c r="D298">
        <v>0</v>
      </c>
      <c r="E298">
        <v>0</v>
      </c>
      <c r="F298">
        <v>0</v>
      </c>
      <c r="G298">
        <v>0</v>
      </c>
      <c r="H298">
        <v>0</v>
      </c>
      <c r="I298">
        <v>0</v>
      </c>
      <c r="J298">
        <v>0</v>
      </c>
    </row>
    <row r="299" spans="1:10" ht="57.6" x14ac:dyDescent="0.3">
      <c r="A299" s="106">
        <v>9011</v>
      </c>
      <c r="B299" s="370" t="s">
        <v>786</v>
      </c>
      <c r="C299" t="s">
        <v>516</v>
      </c>
      <c r="D299">
        <v>0</v>
      </c>
      <c r="E299">
        <v>0</v>
      </c>
      <c r="F299">
        <v>0</v>
      </c>
      <c r="G299">
        <v>0</v>
      </c>
      <c r="H299">
        <v>0</v>
      </c>
      <c r="I299">
        <v>0</v>
      </c>
      <c r="J299">
        <v>0</v>
      </c>
    </row>
    <row r="300" spans="1:10" ht="57.6" x14ac:dyDescent="0.3">
      <c r="A300" s="106">
        <v>9012</v>
      </c>
      <c r="B300" s="370" t="s">
        <v>787</v>
      </c>
      <c r="C300" t="s">
        <v>516</v>
      </c>
      <c r="D300">
        <v>0</v>
      </c>
      <c r="E300">
        <v>0</v>
      </c>
      <c r="F300">
        <v>0</v>
      </c>
      <c r="G300">
        <v>0</v>
      </c>
      <c r="H300">
        <v>0</v>
      </c>
      <c r="I300">
        <v>0</v>
      </c>
      <c r="J300">
        <v>0</v>
      </c>
    </row>
    <row r="301" spans="1:10" x14ac:dyDescent="0.3">
      <c r="A301" s="106">
        <v>9013</v>
      </c>
      <c r="B301" s="370" t="s">
        <v>517</v>
      </c>
      <c r="C301" t="s">
        <v>518</v>
      </c>
      <c r="D301">
        <v>0</v>
      </c>
      <c r="E301">
        <v>0</v>
      </c>
      <c r="F301">
        <v>0</v>
      </c>
      <c r="G301">
        <v>0</v>
      </c>
      <c r="H301">
        <v>0</v>
      </c>
      <c r="I301">
        <v>0</v>
      </c>
      <c r="J301">
        <v>0</v>
      </c>
    </row>
    <row r="302" spans="1:10" ht="28.8" x14ac:dyDescent="0.3">
      <c r="A302" s="106">
        <v>9014</v>
      </c>
      <c r="B302" s="370" t="s">
        <v>519</v>
      </c>
      <c r="C302" t="s">
        <v>520</v>
      </c>
      <c r="D302">
        <v>0</v>
      </c>
      <c r="E302">
        <v>0</v>
      </c>
      <c r="F302">
        <v>0</v>
      </c>
      <c r="G302">
        <v>0</v>
      </c>
      <c r="H302">
        <v>0</v>
      </c>
      <c r="I302">
        <v>0</v>
      </c>
      <c r="J302">
        <v>0</v>
      </c>
    </row>
    <row r="303" spans="1:10" ht="57.6" x14ac:dyDescent="0.3">
      <c r="A303" s="106">
        <v>9015</v>
      </c>
      <c r="B303" s="370" t="s">
        <v>788</v>
      </c>
      <c r="C303" t="s">
        <v>230</v>
      </c>
      <c r="D303">
        <v>0</v>
      </c>
      <c r="E303">
        <v>0</v>
      </c>
      <c r="F303">
        <v>0</v>
      </c>
      <c r="G303">
        <v>0</v>
      </c>
      <c r="H303">
        <v>0</v>
      </c>
      <c r="I303">
        <v>0</v>
      </c>
      <c r="J303">
        <v>0</v>
      </c>
    </row>
    <row r="304" spans="1:10" ht="57.6" x14ac:dyDescent="0.3">
      <c r="A304" s="106">
        <v>9016</v>
      </c>
      <c r="B304" s="370" t="s">
        <v>789</v>
      </c>
      <c r="C304" t="s">
        <v>230</v>
      </c>
      <c r="D304">
        <v>0</v>
      </c>
      <c r="E304">
        <v>0</v>
      </c>
      <c r="F304">
        <v>0</v>
      </c>
      <c r="G304">
        <v>0</v>
      </c>
      <c r="H304">
        <v>0</v>
      </c>
      <c r="I304">
        <v>0</v>
      </c>
      <c r="J304">
        <v>0</v>
      </c>
    </row>
    <row r="305" spans="1:10" x14ac:dyDescent="0.3">
      <c r="A305" s="106">
        <v>9017</v>
      </c>
      <c r="B305" s="370" t="s">
        <v>521</v>
      </c>
      <c r="C305" t="s">
        <v>522</v>
      </c>
      <c r="D305">
        <v>0</v>
      </c>
      <c r="E305">
        <v>0</v>
      </c>
      <c r="F305">
        <v>0</v>
      </c>
      <c r="G305">
        <v>0</v>
      </c>
      <c r="H305">
        <v>0</v>
      </c>
      <c r="I305">
        <v>0</v>
      </c>
      <c r="J305">
        <v>0</v>
      </c>
    </row>
    <row r="306" spans="1:10" ht="43.2" x14ac:dyDescent="0.3">
      <c r="A306" s="106">
        <v>9018</v>
      </c>
      <c r="B306" s="370" t="s">
        <v>523</v>
      </c>
      <c r="C306" t="s">
        <v>524</v>
      </c>
      <c r="D306">
        <v>0</v>
      </c>
      <c r="E306">
        <v>111797</v>
      </c>
      <c r="F306">
        <v>843163</v>
      </c>
      <c r="G306">
        <v>188316</v>
      </c>
      <c r="H306">
        <v>50227</v>
      </c>
      <c r="I306">
        <v>611460</v>
      </c>
      <c r="J306">
        <v>1136166</v>
      </c>
    </row>
    <row r="307" spans="1:10" x14ac:dyDescent="0.3">
      <c r="A307" s="106">
        <v>9019</v>
      </c>
      <c r="B307" s="370" t="s">
        <v>525</v>
      </c>
      <c r="C307" t="s">
        <v>526</v>
      </c>
      <c r="D307">
        <v>0</v>
      </c>
      <c r="E307">
        <v>111797</v>
      </c>
      <c r="F307">
        <v>843163</v>
      </c>
      <c r="G307">
        <v>188316</v>
      </c>
      <c r="H307">
        <v>50227</v>
      </c>
      <c r="I307">
        <v>611460</v>
      </c>
      <c r="J307">
        <v>1136166</v>
      </c>
    </row>
    <row r="310" spans="1:10" x14ac:dyDescent="0.3">
      <c r="D310" s="426">
        <v>217819036.80000001</v>
      </c>
      <c r="E310" s="426">
        <v>149211569.09999999</v>
      </c>
      <c r="F310" s="426">
        <v>231776714</v>
      </c>
      <c r="G310" s="426">
        <v>68743839</v>
      </c>
      <c r="H310" s="426">
        <v>91519114</v>
      </c>
      <c r="I310" s="426">
        <v>65387054</v>
      </c>
      <c r="J310" s="426">
        <v>71647211</v>
      </c>
    </row>
    <row r="311" spans="1:10" x14ac:dyDescent="0.3">
      <c r="D311" s="426">
        <f>D289-D310</f>
        <v>0</v>
      </c>
      <c r="E311" s="426">
        <f t="shared" ref="E311:F311" si="0">E289-E310</f>
        <v>0</v>
      </c>
      <c r="F311" s="426">
        <f t="shared" si="0"/>
        <v>0</v>
      </c>
      <c r="G311" s="426">
        <f t="shared" ref="G311" si="1">G289-G310</f>
        <v>0</v>
      </c>
      <c r="H311" s="426">
        <f t="shared" ref="H311" si="2">H289-H310</f>
        <v>0</v>
      </c>
      <c r="I311" s="426">
        <f t="shared" ref="I311" si="3">I289-I310</f>
        <v>0</v>
      </c>
      <c r="J311" s="426">
        <f t="shared" ref="J311" si="4">J289-J310</f>
        <v>0</v>
      </c>
    </row>
    <row r="312" spans="1:10" x14ac:dyDescent="0.3">
      <c r="G312" s="426"/>
      <c r="H312" s="426"/>
    </row>
  </sheetData>
  <sheetProtection algorithmName="SHA-512" hashValue="PgEjGYnK+saNtYlHEtPSuVIZu2yt8gwuY4y9+pA2/ElYfE3SWAoqzuOC+iZnsWeTNL8nnOSSQTmbFsk//71WFw==" saltValue="Wgnldabgq04hkLbdTTKP5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B1" sqref="B1"/>
    </sheetView>
  </sheetViews>
  <sheetFormatPr defaultColWidth="9.109375" defaultRowHeight="14.4" x14ac:dyDescent="0.3"/>
  <cols>
    <col min="1" max="1" width="52.5546875" style="217" customWidth="1"/>
    <col min="2" max="12" width="9.109375" style="274"/>
    <col min="13" max="13" width="21.6640625" style="274" customWidth="1"/>
    <col min="14" max="14" width="16.88671875" style="274" customWidth="1"/>
    <col min="15" max="16" width="9.109375" style="274"/>
    <col min="17" max="17" width="18.109375" style="274" customWidth="1"/>
    <col min="18" max="18" width="11" style="274" customWidth="1"/>
    <col min="19" max="16384" width="9.109375" style="274"/>
  </cols>
  <sheetData>
    <row r="1" spans="1:20" x14ac:dyDescent="0.3">
      <c r="A1" s="217" t="s">
        <v>372</v>
      </c>
    </row>
    <row r="2" spans="1:20" ht="15" thickBot="1" x14ac:dyDescent="0.35">
      <c r="A2" s="272" t="s">
        <v>552</v>
      </c>
      <c r="B2" s="107" t="s">
        <v>559</v>
      </c>
      <c r="C2" s="270">
        <v>56</v>
      </c>
      <c r="D2" s="36"/>
      <c r="E2" s="36"/>
      <c r="G2" s="274">
        <v>100</v>
      </c>
      <c r="I2" s="274" t="s">
        <v>218</v>
      </c>
    </row>
    <row r="3" spans="1:20" ht="15" customHeight="1" thickBot="1" x14ac:dyDescent="0.35">
      <c r="A3" s="273" t="s">
        <v>553</v>
      </c>
      <c r="B3" s="107" t="s">
        <v>560</v>
      </c>
      <c r="C3" s="270">
        <v>56</v>
      </c>
      <c r="D3" s="35"/>
      <c r="E3" s="36"/>
      <c r="G3" s="274">
        <v>200</v>
      </c>
      <c r="I3" s="274" t="s">
        <v>219</v>
      </c>
      <c r="O3" s="276"/>
      <c r="P3" s="276"/>
      <c r="S3" s="276"/>
      <c r="T3" s="276"/>
    </row>
    <row r="4" spans="1:20" ht="15" customHeight="1" thickBot="1" x14ac:dyDescent="0.35">
      <c r="A4" s="273" t="s">
        <v>554</v>
      </c>
      <c r="B4" s="107" t="s">
        <v>561</v>
      </c>
      <c r="C4" s="270">
        <v>56</v>
      </c>
      <c r="D4" s="35"/>
      <c r="E4" s="36"/>
      <c r="G4" s="274">
        <v>300</v>
      </c>
      <c r="I4" s="274" t="s">
        <v>220</v>
      </c>
      <c r="O4" s="276"/>
      <c r="P4" s="276"/>
      <c r="S4" s="276"/>
      <c r="T4" s="276"/>
    </row>
    <row r="5" spans="1:20" ht="15" thickBot="1" x14ac:dyDescent="0.35">
      <c r="A5" s="273" t="s">
        <v>555</v>
      </c>
      <c r="B5" s="107" t="s">
        <v>562</v>
      </c>
      <c r="C5" s="270">
        <v>56</v>
      </c>
      <c r="D5" s="35"/>
      <c r="E5" s="36"/>
      <c r="G5" s="274">
        <v>400</v>
      </c>
      <c r="O5" s="276"/>
      <c r="P5" s="276"/>
      <c r="S5" s="276"/>
      <c r="T5" s="276"/>
    </row>
    <row r="6" spans="1:20" ht="15" thickBot="1" x14ac:dyDescent="0.35">
      <c r="A6" s="273" t="s">
        <v>556</v>
      </c>
      <c r="B6" s="107" t="s">
        <v>563</v>
      </c>
      <c r="C6" s="270">
        <v>56</v>
      </c>
      <c r="D6" s="35"/>
      <c r="E6" s="36"/>
      <c r="G6" s="274">
        <v>500</v>
      </c>
      <c r="O6" s="276"/>
      <c r="P6" s="276"/>
      <c r="S6" s="276"/>
      <c r="T6" s="276"/>
    </row>
    <row r="7" spans="1:20" ht="15" thickBot="1" x14ac:dyDescent="0.35">
      <c r="A7" s="273" t="s">
        <v>557</v>
      </c>
      <c r="B7" s="107" t="s">
        <v>564</v>
      </c>
      <c r="C7" s="270">
        <v>56</v>
      </c>
      <c r="D7" s="35"/>
      <c r="E7" s="36"/>
      <c r="O7" s="276"/>
      <c r="P7" s="276"/>
      <c r="S7" s="276"/>
      <c r="T7" s="276"/>
    </row>
    <row r="8" spans="1:20" ht="15" thickBot="1" x14ac:dyDescent="0.35">
      <c r="A8" s="273" t="s">
        <v>558</v>
      </c>
      <c r="B8" s="107" t="s">
        <v>565</v>
      </c>
      <c r="C8" s="270">
        <v>56</v>
      </c>
      <c r="D8" s="35"/>
      <c r="E8" s="36"/>
      <c r="O8" s="276"/>
      <c r="P8" s="276"/>
      <c r="S8" s="276"/>
      <c r="T8" s="276"/>
    </row>
    <row r="9" spans="1:20" ht="15" thickBot="1" x14ac:dyDescent="0.35">
      <c r="A9" s="273"/>
      <c r="B9" s="107"/>
      <c r="C9" s="270"/>
      <c r="D9" s="35"/>
      <c r="E9" s="36"/>
      <c r="O9" s="276"/>
      <c r="P9" s="276"/>
      <c r="S9" s="276"/>
      <c r="T9" s="276"/>
    </row>
    <row r="10" spans="1:20" ht="15" thickBot="1" x14ac:dyDescent="0.35">
      <c r="A10" s="273"/>
      <c r="B10" s="107"/>
      <c r="C10" s="270"/>
      <c r="D10" s="35"/>
      <c r="E10" s="36"/>
      <c r="O10" s="276"/>
      <c r="P10" s="276"/>
      <c r="S10" s="276"/>
      <c r="T10" s="276"/>
    </row>
    <row r="11" spans="1:20" ht="15" thickBot="1" x14ac:dyDescent="0.35">
      <c r="A11" s="273"/>
      <c r="B11" s="107"/>
      <c r="C11" s="270"/>
      <c r="D11" s="35"/>
      <c r="E11" s="36"/>
      <c r="O11" s="276"/>
      <c r="P11" s="276"/>
      <c r="S11" s="276"/>
      <c r="T11" s="276"/>
    </row>
    <row r="12" spans="1:20" ht="15" thickBot="1" x14ac:dyDescent="0.35">
      <c r="A12" s="273"/>
      <c r="B12" s="107"/>
      <c r="C12" s="270"/>
      <c r="D12" s="35"/>
      <c r="E12" s="36"/>
      <c r="O12" s="276"/>
      <c r="P12" s="276"/>
      <c r="S12" s="276"/>
      <c r="T12" s="276"/>
    </row>
    <row r="13" spans="1:20" ht="15" thickBot="1" x14ac:dyDescent="0.35">
      <c r="A13" s="273"/>
      <c r="B13" s="107"/>
      <c r="C13" s="270"/>
      <c r="D13" s="35"/>
      <c r="E13" s="36"/>
      <c r="O13" s="276"/>
      <c r="P13" s="276"/>
      <c r="S13" s="276"/>
      <c r="T13" s="276"/>
    </row>
    <row r="14" spans="1:20" ht="33" customHeight="1" thickBot="1" x14ac:dyDescent="0.35">
      <c r="A14" s="273"/>
      <c r="B14" s="107"/>
      <c r="C14" s="270"/>
      <c r="D14" s="35"/>
      <c r="E14" s="36"/>
      <c r="O14" s="276"/>
      <c r="P14" s="276"/>
      <c r="S14" s="276"/>
      <c r="T14" s="276"/>
    </row>
    <row r="15" spans="1:20" ht="15" thickBot="1" x14ac:dyDescent="0.35">
      <c r="A15" s="273"/>
      <c r="B15" s="107"/>
      <c r="C15" s="270"/>
      <c r="D15" s="35"/>
      <c r="E15" s="36"/>
      <c r="O15" s="276"/>
      <c r="P15" s="276"/>
      <c r="S15" s="276"/>
      <c r="T15" s="276"/>
    </row>
    <row r="16" spans="1:20" ht="15" thickBot="1" x14ac:dyDescent="0.35">
      <c r="A16" s="273"/>
      <c r="B16" s="107"/>
      <c r="C16" s="270"/>
      <c r="D16" s="35"/>
      <c r="E16" s="36"/>
      <c r="O16" s="276"/>
      <c r="P16" s="276"/>
      <c r="S16" s="276"/>
      <c r="T16" s="276"/>
    </row>
    <row r="17" spans="1:20" ht="15" thickBot="1" x14ac:dyDescent="0.35">
      <c r="A17" s="273"/>
      <c r="B17" s="107"/>
      <c r="C17" s="270"/>
      <c r="D17" s="35"/>
      <c r="E17" s="36"/>
      <c r="O17" s="276"/>
      <c r="P17" s="276"/>
      <c r="S17" s="276"/>
      <c r="T17" s="276"/>
    </row>
    <row r="18" spans="1:20" ht="15" thickBot="1" x14ac:dyDescent="0.35">
      <c r="A18" s="273"/>
      <c r="B18" s="107"/>
      <c r="C18" s="270"/>
      <c r="D18" s="35"/>
      <c r="E18" s="36"/>
      <c r="O18" s="276"/>
      <c r="P18" s="276"/>
      <c r="S18" s="276"/>
      <c r="T18" s="276"/>
    </row>
    <row r="19" spans="1:20" ht="15" thickBot="1" x14ac:dyDescent="0.35">
      <c r="A19" s="273"/>
      <c r="B19" s="107"/>
      <c r="C19" s="270"/>
      <c r="D19" s="35"/>
      <c r="E19" s="36"/>
      <c r="O19" s="276"/>
      <c r="P19" s="276"/>
      <c r="S19" s="276"/>
      <c r="T19" s="276"/>
    </row>
    <row r="20" spans="1:20" ht="15" thickBot="1" x14ac:dyDescent="0.35">
      <c r="A20" s="273"/>
      <c r="B20" s="107"/>
      <c r="C20" s="270"/>
      <c r="D20" s="35"/>
      <c r="E20" s="36"/>
      <c r="O20" s="276"/>
      <c r="P20" s="276"/>
      <c r="S20" s="276"/>
      <c r="T20" s="276"/>
    </row>
    <row r="21" spans="1:20" ht="15" thickBot="1" x14ac:dyDescent="0.35">
      <c r="A21" s="273"/>
      <c r="B21" s="107"/>
      <c r="C21" s="270"/>
      <c r="D21" s="35"/>
      <c r="E21" s="36"/>
      <c r="O21" s="276"/>
      <c r="P21" s="276"/>
      <c r="S21" s="276"/>
      <c r="T21" s="276"/>
    </row>
    <row r="22" spans="1:20" ht="15" thickBot="1" x14ac:dyDescent="0.35">
      <c r="A22" s="273"/>
      <c r="B22" s="107"/>
      <c r="C22" s="270"/>
      <c r="D22" s="35"/>
      <c r="E22" s="36"/>
      <c r="O22" s="276"/>
      <c r="P22" s="276"/>
      <c r="S22" s="276"/>
      <c r="T22" s="276"/>
    </row>
    <row r="23" spans="1:20" ht="15" thickBot="1" x14ac:dyDescent="0.35">
      <c r="A23" s="273"/>
      <c r="B23" s="107"/>
      <c r="C23" s="270"/>
      <c r="D23" s="35"/>
      <c r="E23" s="36"/>
      <c r="O23" s="276"/>
      <c r="P23" s="276"/>
      <c r="S23" s="276"/>
      <c r="T23" s="276"/>
    </row>
    <row r="24" spans="1:20" ht="15" thickBot="1" x14ac:dyDescent="0.35">
      <c r="A24" s="273"/>
      <c r="B24" s="107"/>
      <c r="C24" s="270"/>
      <c r="D24" s="35"/>
      <c r="E24" s="36"/>
      <c r="O24" s="276"/>
      <c r="P24" s="276"/>
      <c r="S24" s="276"/>
      <c r="T24" s="276"/>
    </row>
    <row r="25" spans="1:20" ht="15" thickBot="1" x14ac:dyDescent="0.35">
      <c r="A25" s="273"/>
      <c r="B25" s="107"/>
      <c r="C25" s="270"/>
      <c r="D25" s="35"/>
      <c r="E25" s="36"/>
      <c r="O25" s="276"/>
      <c r="P25" s="276"/>
      <c r="S25" s="276"/>
      <c r="T25" s="276"/>
    </row>
    <row r="26" spans="1:20" ht="15" thickBot="1" x14ac:dyDescent="0.35">
      <c r="A26" s="273"/>
      <c r="B26" s="107"/>
      <c r="C26" s="270"/>
      <c r="D26" s="35"/>
      <c r="E26" s="36"/>
      <c r="O26" s="276"/>
      <c r="P26" s="276"/>
      <c r="S26" s="276"/>
      <c r="T26" s="276"/>
    </row>
    <row r="27" spans="1:20" ht="15" thickBot="1" x14ac:dyDescent="0.35">
      <c r="A27" s="273"/>
      <c r="B27" s="107"/>
      <c r="C27" s="270"/>
      <c r="D27" s="35"/>
      <c r="E27" s="36"/>
      <c r="O27" s="276"/>
      <c r="P27" s="276"/>
      <c r="S27" s="276"/>
      <c r="T27" s="276"/>
    </row>
    <row r="28" spans="1:20" ht="15" thickBot="1" x14ac:dyDescent="0.35">
      <c r="A28" s="273"/>
      <c r="B28" s="107"/>
      <c r="C28" s="270"/>
      <c r="D28" s="35"/>
      <c r="E28" s="36"/>
      <c r="O28" s="276"/>
      <c r="P28" s="276"/>
      <c r="S28" s="276"/>
      <c r="T28" s="276"/>
    </row>
    <row r="29" spans="1:20" ht="21.6" customHeight="1" thickBot="1" x14ac:dyDescent="0.35">
      <c r="A29" s="273"/>
      <c r="B29" s="107"/>
      <c r="C29" s="270"/>
      <c r="D29" s="35"/>
      <c r="E29" s="36"/>
      <c r="O29" s="276"/>
      <c r="P29" s="276"/>
      <c r="S29" s="276"/>
      <c r="T29" s="276"/>
    </row>
    <row r="30" spans="1:20" ht="22.95" customHeight="1" thickBot="1" x14ac:dyDescent="0.35">
      <c r="A30" s="273"/>
      <c r="B30" s="107"/>
      <c r="C30" s="270"/>
      <c r="D30" s="35"/>
      <c r="E30" s="36"/>
      <c r="O30" s="276"/>
      <c r="P30" s="276"/>
      <c r="S30" s="276"/>
      <c r="T30" s="276"/>
    </row>
    <row r="31" spans="1:20" ht="15" thickBot="1" x14ac:dyDescent="0.35">
      <c r="A31" s="273"/>
      <c r="B31" s="107"/>
      <c r="C31" s="270"/>
      <c r="D31" s="35"/>
      <c r="E31" s="36"/>
      <c r="O31" s="276"/>
      <c r="P31" s="276"/>
      <c r="S31" s="276"/>
      <c r="T31" s="276"/>
    </row>
    <row r="32" spans="1:20" ht="15" thickBot="1" x14ac:dyDescent="0.35">
      <c r="A32" s="273"/>
      <c r="B32" s="107"/>
      <c r="C32" s="270"/>
      <c r="D32" s="35"/>
      <c r="E32" s="36"/>
      <c r="O32" s="276"/>
      <c r="P32" s="276"/>
      <c r="S32" s="276"/>
      <c r="T32" s="276"/>
    </row>
    <row r="33" spans="1:20" ht="15" thickBot="1" x14ac:dyDescent="0.35">
      <c r="A33" s="273"/>
      <c r="B33" s="107"/>
      <c r="C33" s="270"/>
      <c r="D33" s="35"/>
      <c r="E33" s="36"/>
      <c r="O33" s="276"/>
      <c r="P33" s="276"/>
      <c r="S33" s="276"/>
      <c r="T33" s="276"/>
    </row>
    <row r="34" spans="1:20" ht="15" thickBot="1" x14ac:dyDescent="0.35">
      <c r="A34" s="273"/>
      <c r="B34" s="107"/>
      <c r="C34" s="270"/>
      <c r="D34" s="35"/>
      <c r="E34" s="36"/>
      <c r="O34" s="276"/>
      <c r="P34" s="276"/>
      <c r="S34" s="276"/>
      <c r="T34" s="276"/>
    </row>
    <row r="35" spans="1:20" ht="15" thickBot="1" x14ac:dyDescent="0.35">
      <c r="A35" s="273"/>
      <c r="B35" s="107"/>
      <c r="C35" s="270"/>
      <c r="D35" s="35"/>
      <c r="E35" s="36"/>
      <c r="O35" s="276"/>
      <c r="P35" s="276"/>
      <c r="S35" s="276"/>
      <c r="T35" s="276"/>
    </row>
    <row r="36" spans="1:20" ht="15" thickBot="1" x14ac:dyDescent="0.35">
      <c r="A36" s="273"/>
      <c r="B36" s="107"/>
      <c r="C36" s="270"/>
      <c r="D36" s="35"/>
      <c r="E36" s="36"/>
      <c r="O36" s="276"/>
      <c r="P36" s="276"/>
      <c r="S36" s="276"/>
      <c r="T36" s="276"/>
    </row>
    <row r="37" spans="1:20" ht="15" thickBot="1" x14ac:dyDescent="0.35">
      <c r="A37" s="273"/>
      <c r="B37" s="107"/>
      <c r="C37" s="270"/>
      <c r="D37" s="35"/>
      <c r="E37" s="36"/>
      <c r="O37" s="276"/>
      <c r="P37" s="276"/>
      <c r="S37" s="276"/>
      <c r="T37" s="276"/>
    </row>
    <row r="38" spans="1:20" ht="15" thickBot="1" x14ac:dyDescent="0.35">
      <c r="A38" s="273"/>
      <c r="B38" s="107"/>
      <c r="C38" s="270"/>
      <c r="D38" s="35"/>
      <c r="E38" s="36"/>
      <c r="O38" s="276"/>
      <c r="P38" s="276"/>
      <c r="S38" s="276"/>
      <c r="T38" s="276"/>
    </row>
    <row r="39" spans="1:20" ht="15" thickBot="1" x14ac:dyDescent="0.35">
      <c r="A39" s="273"/>
      <c r="B39" s="107"/>
      <c r="C39" s="270"/>
      <c r="D39" s="35"/>
      <c r="E39" s="36"/>
      <c r="O39" s="276"/>
      <c r="P39" s="276"/>
      <c r="S39" s="276"/>
      <c r="T39" s="276"/>
    </row>
    <row r="40" spans="1:20" ht="15" thickBot="1" x14ac:dyDescent="0.35">
      <c r="A40" s="273"/>
      <c r="B40" s="107"/>
      <c r="C40" s="270"/>
      <c r="D40" s="35"/>
      <c r="E40" s="36"/>
      <c r="O40" s="276"/>
      <c r="P40" s="276"/>
      <c r="S40" s="276"/>
      <c r="T40" s="276"/>
    </row>
    <row r="41" spans="1:20" ht="15" thickBot="1" x14ac:dyDescent="0.35">
      <c r="A41" s="273"/>
      <c r="B41" s="107"/>
      <c r="C41" s="270"/>
      <c r="D41" s="35"/>
      <c r="E41" s="36"/>
      <c r="O41" s="276"/>
      <c r="P41" s="276"/>
      <c r="S41" s="276"/>
      <c r="T41" s="276"/>
    </row>
    <row r="42" spans="1:20" ht="15" thickBot="1" x14ac:dyDescent="0.35">
      <c r="A42" s="273"/>
      <c r="B42" s="107"/>
      <c r="C42" s="270"/>
      <c r="D42" s="35"/>
      <c r="E42" s="36"/>
      <c r="O42" s="276"/>
      <c r="P42" s="276"/>
      <c r="S42" s="276"/>
      <c r="T42" s="276"/>
    </row>
    <row r="43" spans="1:20" ht="15" thickBot="1" x14ac:dyDescent="0.35">
      <c r="A43" s="273"/>
      <c r="B43" s="107"/>
      <c r="C43" s="270"/>
      <c r="D43" s="35"/>
      <c r="E43" s="36"/>
      <c r="O43" s="276"/>
      <c r="P43" s="276"/>
      <c r="S43" s="276"/>
      <c r="T43" s="276"/>
    </row>
    <row r="44" spans="1:20" ht="15" thickBot="1" x14ac:dyDescent="0.35">
      <c r="A44" s="273"/>
      <c r="B44" s="107"/>
      <c r="C44" s="270"/>
      <c r="D44" s="35"/>
      <c r="E44" s="36"/>
      <c r="O44" s="276"/>
      <c r="P44" s="276"/>
      <c r="S44" s="276"/>
      <c r="T44" s="276"/>
    </row>
    <row r="45" spans="1:20" ht="15" thickBot="1" x14ac:dyDescent="0.35">
      <c r="A45" s="273"/>
      <c r="B45" s="107"/>
      <c r="C45" s="270"/>
      <c r="D45" s="35"/>
      <c r="E45" s="36"/>
      <c r="O45" s="276"/>
      <c r="P45" s="276"/>
      <c r="S45" s="276"/>
      <c r="T45" s="276"/>
    </row>
    <row r="46" spans="1:20" ht="15" thickBot="1" x14ac:dyDescent="0.35">
      <c r="A46" s="273"/>
      <c r="B46" s="107"/>
      <c r="C46" s="270"/>
      <c r="D46" s="35"/>
      <c r="E46" s="36"/>
      <c r="O46" s="276"/>
      <c r="P46" s="276"/>
      <c r="S46" s="276"/>
      <c r="T46" s="276"/>
    </row>
    <row r="47" spans="1:20" ht="15" thickBot="1" x14ac:dyDescent="0.35">
      <c r="A47" s="273"/>
      <c r="B47" s="107"/>
      <c r="C47" s="270"/>
      <c r="D47" s="35"/>
      <c r="E47" s="36"/>
      <c r="O47" s="276"/>
      <c r="P47" s="276"/>
      <c r="S47" s="276"/>
      <c r="T47" s="276"/>
    </row>
    <row r="48" spans="1:20" ht="15" thickBot="1" x14ac:dyDescent="0.35">
      <c r="A48" s="273"/>
      <c r="B48" s="107"/>
      <c r="C48" s="270"/>
      <c r="D48" s="35"/>
      <c r="E48" s="36"/>
      <c r="O48" s="276"/>
      <c r="P48" s="276"/>
      <c r="S48" s="276"/>
      <c r="T48" s="276"/>
    </row>
    <row r="49" spans="1:20" ht="15" thickBot="1" x14ac:dyDescent="0.35">
      <c r="A49" s="273"/>
      <c r="B49" s="107"/>
      <c r="C49" s="270"/>
      <c r="D49" s="35"/>
      <c r="E49" s="36"/>
      <c r="O49" s="276"/>
      <c r="P49" s="276"/>
      <c r="S49" s="276"/>
      <c r="T49" s="276"/>
    </row>
    <row r="50" spans="1:20" ht="15" thickBot="1" x14ac:dyDescent="0.35">
      <c r="A50" s="273"/>
      <c r="B50" s="107"/>
      <c r="C50" s="270"/>
      <c r="D50" s="35"/>
      <c r="E50" s="36"/>
      <c r="O50" s="276"/>
      <c r="P50" s="276"/>
      <c r="S50" s="276"/>
      <c r="T50" s="276"/>
    </row>
    <row r="51" spans="1:20" ht="15" thickBot="1" x14ac:dyDescent="0.35">
      <c r="A51" s="273"/>
      <c r="B51" s="107"/>
      <c r="C51" s="270"/>
      <c r="D51" s="35"/>
      <c r="E51" s="36"/>
      <c r="O51" s="276"/>
      <c r="P51" s="276"/>
      <c r="S51" s="276"/>
      <c r="T51" s="276"/>
    </row>
    <row r="52" spans="1:20" ht="15" thickBot="1" x14ac:dyDescent="0.35">
      <c r="A52" s="273"/>
      <c r="B52" s="107"/>
      <c r="C52" s="270"/>
      <c r="D52" s="35"/>
      <c r="E52" s="36"/>
      <c r="O52" s="276"/>
      <c r="P52" s="276"/>
      <c r="S52" s="276"/>
      <c r="T52" s="276"/>
    </row>
    <row r="53" spans="1:20" ht="15" thickBot="1" x14ac:dyDescent="0.35">
      <c r="A53" s="273"/>
      <c r="B53" s="107"/>
      <c r="C53" s="270"/>
      <c r="D53" s="35"/>
      <c r="E53" s="36"/>
      <c r="O53" s="276"/>
      <c r="P53" s="276"/>
      <c r="S53" s="276"/>
      <c r="T53" s="276"/>
    </row>
    <row r="54" spans="1:20" ht="15" thickBot="1" x14ac:dyDescent="0.35">
      <c r="A54" s="273"/>
      <c r="B54" s="107"/>
      <c r="C54" s="270"/>
      <c r="D54" s="35"/>
      <c r="E54" s="36"/>
      <c r="O54" s="276"/>
      <c r="P54" s="276"/>
      <c r="S54" s="276"/>
      <c r="T54" s="276"/>
    </row>
    <row r="55" spans="1:20" ht="15" thickBot="1" x14ac:dyDescent="0.35">
      <c r="A55" s="273"/>
      <c r="B55" s="107"/>
      <c r="C55" s="270"/>
      <c r="D55" s="35"/>
      <c r="E55" s="36"/>
      <c r="O55" s="276"/>
      <c r="P55" s="276"/>
      <c r="S55" s="276"/>
      <c r="T55" s="276"/>
    </row>
    <row r="56" spans="1:20" ht="15" thickBot="1" x14ac:dyDescent="0.35">
      <c r="A56" s="273"/>
      <c r="B56" s="107"/>
      <c r="C56" s="270"/>
      <c r="D56" s="35"/>
      <c r="E56" s="36"/>
      <c r="O56" s="276"/>
      <c r="P56" s="276"/>
      <c r="S56" s="276"/>
      <c r="T56" s="276"/>
    </row>
    <row r="57" spans="1:20" ht="15" thickBot="1" x14ac:dyDescent="0.35">
      <c r="A57" s="273"/>
      <c r="B57" s="107"/>
      <c r="C57" s="270"/>
      <c r="D57" s="35"/>
      <c r="E57" s="36"/>
      <c r="O57" s="276"/>
      <c r="P57" s="276"/>
      <c r="S57" s="276"/>
      <c r="T57" s="276"/>
    </row>
    <row r="58" spans="1:20" ht="15" thickBot="1" x14ac:dyDescent="0.35">
      <c r="A58" s="273"/>
      <c r="B58" s="107"/>
      <c r="C58" s="270"/>
      <c r="D58" s="35"/>
      <c r="E58" s="36"/>
      <c r="O58" s="276"/>
      <c r="P58" s="276"/>
      <c r="S58" s="276"/>
      <c r="T58" s="276"/>
    </row>
    <row r="59" spans="1:20" ht="15" thickBot="1" x14ac:dyDescent="0.35">
      <c r="A59" s="273"/>
      <c r="B59" s="107"/>
      <c r="C59" s="270"/>
      <c r="D59" s="35"/>
      <c r="E59" s="36"/>
      <c r="O59" s="276"/>
      <c r="P59" s="276"/>
      <c r="S59" s="276"/>
      <c r="T59" s="276"/>
    </row>
    <row r="60" spans="1:20" ht="15" thickBot="1" x14ac:dyDescent="0.35">
      <c r="A60" s="273"/>
      <c r="B60" s="107"/>
      <c r="C60" s="270"/>
      <c r="D60" s="35"/>
      <c r="E60" s="36"/>
      <c r="O60" s="276"/>
      <c r="P60" s="276"/>
      <c r="S60" s="276"/>
      <c r="T60" s="276"/>
    </row>
    <row r="61" spans="1:20" ht="15" thickBot="1" x14ac:dyDescent="0.35">
      <c r="A61" s="273"/>
      <c r="B61" s="107"/>
      <c r="C61" s="270"/>
      <c r="D61" s="35"/>
      <c r="E61" s="36"/>
      <c r="O61" s="276"/>
      <c r="P61" s="276"/>
      <c r="S61" s="276"/>
      <c r="T61" s="276"/>
    </row>
    <row r="62" spans="1:20" ht="15" thickBot="1" x14ac:dyDescent="0.35">
      <c r="A62" s="273"/>
      <c r="B62" s="107"/>
      <c r="C62" s="270"/>
      <c r="D62" s="35"/>
      <c r="E62" s="36"/>
      <c r="O62" s="276"/>
      <c r="P62" s="276"/>
      <c r="S62" s="276"/>
      <c r="T62" s="276"/>
    </row>
    <row r="63" spans="1:20" ht="15" thickBot="1" x14ac:dyDescent="0.35">
      <c r="A63" s="273"/>
      <c r="B63" s="107"/>
      <c r="C63" s="270"/>
      <c r="D63" s="35"/>
      <c r="E63" s="36"/>
      <c r="O63" s="276"/>
      <c r="P63" s="276"/>
      <c r="S63" s="276"/>
      <c r="T63" s="276"/>
    </row>
    <row r="64" spans="1:20" ht="15" thickBot="1" x14ac:dyDescent="0.35">
      <c r="A64" s="273"/>
      <c r="B64" s="107"/>
      <c r="C64" s="270"/>
      <c r="D64" s="35"/>
      <c r="E64" s="36"/>
      <c r="O64" s="276"/>
      <c r="P64" s="276"/>
      <c r="S64" s="276"/>
      <c r="T64" s="276"/>
    </row>
    <row r="65" spans="1:20" ht="15" thickBot="1" x14ac:dyDescent="0.35">
      <c r="A65" s="273"/>
      <c r="B65" s="107"/>
      <c r="C65" s="270"/>
      <c r="D65" s="35"/>
      <c r="E65" s="36"/>
      <c r="O65" s="276"/>
      <c r="P65" s="276"/>
      <c r="S65" s="276"/>
      <c r="T65" s="276"/>
    </row>
    <row r="66" spans="1:20" ht="15" thickBot="1" x14ac:dyDescent="0.35">
      <c r="A66" s="273"/>
      <c r="B66" s="107"/>
      <c r="C66" s="270"/>
      <c r="D66" s="35"/>
      <c r="E66" s="36"/>
      <c r="O66" s="276"/>
      <c r="P66" s="276"/>
      <c r="S66" s="276"/>
      <c r="T66" s="276"/>
    </row>
    <row r="67" spans="1:20" ht="15" thickBot="1" x14ac:dyDescent="0.35">
      <c r="A67" s="273"/>
      <c r="B67" s="107"/>
      <c r="C67" s="270"/>
      <c r="D67" s="35"/>
      <c r="E67" s="36"/>
      <c r="O67" s="276"/>
      <c r="P67" s="276"/>
      <c r="S67" s="276"/>
      <c r="T67" s="276"/>
    </row>
    <row r="68" spans="1:20" ht="15" thickBot="1" x14ac:dyDescent="0.35">
      <c r="A68" s="273"/>
      <c r="B68" s="107"/>
      <c r="C68" s="270"/>
      <c r="D68" s="35"/>
      <c r="E68" s="36"/>
      <c r="O68" s="276"/>
      <c r="P68" s="276"/>
      <c r="S68" s="276"/>
      <c r="T68" s="276"/>
    </row>
  </sheetData>
  <sheetProtection algorithmName="SHA-512" hashValue="I9vYkEifpfx24Wu6TWpiwYdu6nOl0WaqwBghTLXLfKhCfspuDXYgMX8P8X1N1zqjYmBkbs0Q3NX7vi0d1M79QA==" saltValue="Hy4RNsjMTgO/kbdPfv7Uq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B004-85D6-42A4-ADED-4DD36AC3F0F9}">
  <dimension ref="A1:B105"/>
  <sheetViews>
    <sheetView workbookViewId="0">
      <selection activeCell="B2" sqref="B2"/>
    </sheetView>
  </sheetViews>
  <sheetFormatPr defaultRowHeight="14.4" x14ac:dyDescent="0.3"/>
  <sheetData>
    <row r="1" spans="1:2" x14ac:dyDescent="0.3">
      <c r="A1">
        <v>2022</v>
      </c>
      <c r="B1">
        <v>2021</v>
      </c>
    </row>
    <row r="2" spans="1:2" x14ac:dyDescent="0.3">
      <c r="A2">
        <v>333</v>
      </c>
      <c r="B2">
        <v>333</v>
      </c>
    </row>
    <row r="3" spans="1:2" x14ac:dyDescent="0.3">
      <c r="A3">
        <v>500</v>
      </c>
      <c r="B3">
        <v>500</v>
      </c>
    </row>
    <row r="4" spans="1:2" x14ac:dyDescent="0.3">
      <c r="A4">
        <v>385</v>
      </c>
      <c r="B4">
        <v>385</v>
      </c>
    </row>
    <row r="5" spans="1:2" x14ac:dyDescent="0.3">
      <c r="A5">
        <v>575</v>
      </c>
      <c r="B5">
        <v>575</v>
      </c>
    </row>
    <row r="6" spans="1:2" x14ac:dyDescent="0.3">
      <c r="A6">
        <v>576</v>
      </c>
      <c r="B6">
        <v>576</v>
      </c>
    </row>
    <row r="7" spans="1:2" x14ac:dyDescent="0.3">
      <c r="A7">
        <v>626</v>
      </c>
      <c r="B7">
        <v>626</v>
      </c>
    </row>
    <row r="8" spans="1:2" x14ac:dyDescent="0.3">
      <c r="A8">
        <v>627</v>
      </c>
      <c r="B8">
        <v>627</v>
      </c>
    </row>
    <row r="9" spans="1:2" x14ac:dyDescent="0.3">
      <c r="A9">
        <v>628</v>
      </c>
      <c r="B9">
        <v>628</v>
      </c>
    </row>
    <row r="10" spans="1:2" x14ac:dyDescent="0.3">
      <c r="A10">
        <v>629</v>
      </c>
      <c r="B10">
        <v>629</v>
      </c>
    </row>
    <row r="11" spans="1:2" x14ac:dyDescent="0.3">
      <c r="A11">
        <v>630</v>
      </c>
      <c r="B11">
        <v>630</v>
      </c>
    </row>
    <row r="12" spans="1:2" x14ac:dyDescent="0.3">
      <c r="A12">
        <v>631</v>
      </c>
      <c r="B12">
        <v>631</v>
      </c>
    </row>
    <row r="13" spans="1:2" x14ac:dyDescent="0.3">
      <c r="A13">
        <v>338</v>
      </c>
      <c r="B13">
        <v>338</v>
      </c>
    </row>
    <row r="14" spans="1:2" x14ac:dyDescent="0.3">
      <c r="A14">
        <v>335</v>
      </c>
      <c r="B14">
        <v>335</v>
      </c>
    </row>
    <row r="15" spans="1:2" x14ac:dyDescent="0.3">
      <c r="A15">
        <v>252</v>
      </c>
      <c r="B15">
        <v>252</v>
      </c>
    </row>
    <row r="16" spans="1:2" x14ac:dyDescent="0.3">
      <c r="A16">
        <v>253</v>
      </c>
      <c r="B16">
        <v>253</v>
      </c>
    </row>
    <row r="17" spans="1:2" x14ac:dyDescent="0.3">
      <c r="A17">
        <v>254</v>
      </c>
      <c r="B17">
        <v>254</v>
      </c>
    </row>
    <row r="19" spans="1:2" x14ac:dyDescent="0.3">
      <c r="A19">
        <v>502</v>
      </c>
      <c r="B19">
        <v>502</v>
      </c>
    </row>
    <row r="20" spans="1:2" x14ac:dyDescent="0.3">
      <c r="A20">
        <v>503</v>
      </c>
      <c r="B20">
        <v>503</v>
      </c>
    </row>
    <row r="22" spans="1:2" x14ac:dyDescent="0.3">
      <c r="A22">
        <v>388</v>
      </c>
      <c r="B22">
        <v>388</v>
      </c>
    </row>
    <row r="23" spans="1:2" x14ac:dyDescent="0.3">
      <c r="A23">
        <v>339</v>
      </c>
      <c r="B23">
        <v>339</v>
      </c>
    </row>
    <row r="24" spans="1:2" x14ac:dyDescent="0.3">
      <c r="A24">
        <v>504</v>
      </c>
      <c r="B24">
        <v>504</v>
      </c>
    </row>
    <row r="25" spans="1:2" x14ac:dyDescent="0.3">
      <c r="A25">
        <v>505</v>
      </c>
      <c r="B25">
        <v>505</v>
      </c>
    </row>
    <row r="26" spans="1:2" x14ac:dyDescent="0.3">
      <c r="A26">
        <v>341</v>
      </c>
      <c r="B26">
        <v>341</v>
      </c>
    </row>
    <row r="27" spans="1:2" x14ac:dyDescent="0.3">
      <c r="A27">
        <v>386</v>
      </c>
      <c r="B27">
        <v>386</v>
      </c>
    </row>
    <row r="28" spans="1:2" x14ac:dyDescent="0.3">
      <c r="A28">
        <v>387</v>
      </c>
      <c r="B28">
        <v>387</v>
      </c>
    </row>
    <row r="29" spans="1:2" x14ac:dyDescent="0.3">
      <c r="A29">
        <v>389</v>
      </c>
      <c r="B29">
        <v>389</v>
      </c>
    </row>
    <row r="30" spans="1:2" x14ac:dyDescent="0.3">
      <c r="A30">
        <v>255</v>
      </c>
      <c r="B30">
        <v>255</v>
      </c>
    </row>
    <row r="31" spans="1:2" x14ac:dyDescent="0.3">
      <c r="A31">
        <v>376</v>
      </c>
      <c r="B31">
        <v>376</v>
      </c>
    </row>
    <row r="33" spans="1:2" x14ac:dyDescent="0.3">
      <c r="A33">
        <v>592</v>
      </c>
      <c r="B33">
        <v>592</v>
      </c>
    </row>
    <row r="34" spans="1:2" x14ac:dyDescent="0.3">
      <c r="A34">
        <v>591</v>
      </c>
      <c r="B34">
        <v>591</v>
      </c>
    </row>
    <row r="36" spans="1:2" x14ac:dyDescent="0.3">
      <c r="A36">
        <v>506</v>
      </c>
      <c r="B36">
        <v>506</v>
      </c>
    </row>
    <row r="37" spans="1:2" x14ac:dyDescent="0.3">
      <c r="A37">
        <v>536</v>
      </c>
      <c r="B37">
        <v>536</v>
      </c>
    </row>
    <row r="38" spans="1:2" x14ac:dyDescent="0.3">
      <c r="A38">
        <v>586</v>
      </c>
      <c r="B38">
        <v>586</v>
      </c>
    </row>
    <row r="39" spans="1:2" x14ac:dyDescent="0.3">
      <c r="A39">
        <v>379</v>
      </c>
      <c r="B39">
        <v>379</v>
      </c>
    </row>
    <row r="40" spans="1:2" x14ac:dyDescent="0.3">
      <c r="A40">
        <v>4</v>
      </c>
      <c r="B40">
        <v>4</v>
      </c>
    </row>
    <row r="41" spans="1:2" x14ac:dyDescent="0.3">
      <c r="A41">
        <v>5</v>
      </c>
      <c r="B41">
        <v>5</v>
      </c>
    </row>
    <row r="42" spans="1:2" x14ac:dyDescent="0.3">
      <c r="A42">
        <v>380</v>
      </c>
      <c r="B42">
        <v>380</v>
      </c>
    </row>
    <row r="43" spans="1:2" x14ac:dyDescent="0.3">
      <c r="A43">
        <v>391</v>
      </c>
      <c r="B43">
        <v>391</v>
      </c>
    </row>
    <row r="44" spans="1:2" x14ac:dyDescent="0.3">
      <c r="A44">
        <v>7</v>
      </c>
      <c r="B44">
        <v>7</v>
      </c>
    </row>
    <row r="45" spans="1:2" x14ac:dyDescent="0.3">
      <c r="A45">
        <v>645</v>
      </c>
      <c r="B45">
        <v>645</v>
      </c>
    </row>
    <row r="46" spans="1:2" x14ac:dyDescent="0.3">
      <c r="A46">
        <v>646</v>
      </c>
      <c r="B46">
        <v>646</v>
      </c>
    </row>
    <row r="47" spans="1:2" x14ac:dyDescent="0.3">
      <c r="A47">
        <v>9</v>
      </c>
      <c r="B47">
        <v>9</v>
      </c>
    </row>
    <row r="48" spans="1:2" x14ac:dyDescent="0.3">
      <c r="A48">
        <v>1052</v>
      </c>
      <c r="B48" s="495"/>
    </row>
    <row r="50" spans="1:2" x14ac:dyDescent="0.3">
      <c r="A50">
        <v>16</v>
      </c>
      <c r="B50">
        <v>16</v>
      </c>
    </row>
    <row r="51" spans="1:2" x14ac:dyDescent="0.3">
      <c r="A51">
        <v>532</v>
      </c>
      <c r="B51">
        <v>532</v>
      </c>
    </row>
    <row r="52" spans="1:2" x14ac:dyDescent="0.3">
      <c r="A52">
        <v>17</v>
      </c>
      <c r="B52">
        <v>17</v>
      </c>
    </row>
    <row r="53" spans="1:2" x14ac:dyDescent="0.3">
      <c r="A53">
        <v>20</v>
      </c>
      <c r="B53">
        <v>20</v>
      </c>
    </row>
    <row r="54" spans="1:2" x14ac:dyDescent="0.3">
      <c r="A54">
        <v>533</v>
      </c>
      <c r="B54">
        <v>533</v>
      </c>
    </row>
    <row r="55" spans="1:2" x14ac:dyDescent="0.3">
      <c r="A55">
        <v>508</v>
      </c>
      <c r="B55">
        <v>508</v>
      </c>
    </row>
    <row r="56" spans="1:2" x14ac:dyDescent="0.3">
      <c r="A56">
        <v>509</v>
      </c>
      <c r="B56">
        <v>509</v>
      </c>
    </row>
    <row r="57" spans="1:2" x14ac:dyDescent="0.3">
      <c r="A57">
        <v>22</v>
      </c>
      <c r="B57">
        <v>22</v>
      </c>
    </row>
    <row r="58" spans="1:2" x14ac:dyDescent="0.3">
      <c r="A58">
        <v>23</v>
      </c>
      <c r="B58">
        <v>23</v>
      </c>
    </row>
    <row r="59" spans="1:2" x14ac:dyDescent="0.3">
      <c r="A59">
        <v>507</v>
      </c>
      <c r="B59">
        <v>507</v>
      </c>
    </row>
    <row r="60" spans="1:2" x14ac:dyDescent="0.3">
      <c r="A60">
        <v>647</v>
      </c>
      <c r="B60">
        <v>647</v>
      </c>
    </row>
    <row r="62" spans="1:2" x14ac:dyDescent="0.3">
      <c r="A62">
        <v>534</v>
      </c>
      <c r="B62">
        <v>534</v>
      </c>
    </row>
    <row r="63" spans="1:2" x14ac:dyDescent="0.3">
      <c r="A63">
        <v>13</v>
      </c>
      <c r="B63">
        <v>13</v>
      </c>
    </row>
    <row r="64" spans="1:2" x14ac:dyDescent="0.3">
      <c r="A64">
        <v>14</v>
      </c>
      <c r="B64">
        <v>14</v>
      </c>
    </row>
    <row r="65" spans="1:2" x14ac:dyDescent="0.3">
      <c r="A65">
        <v>32</v>
      </c>
      <c r="B65">
        <v>32</v>
      </c>
    </row>
    <row r="66" spans="1:2" x14ac:dyDescent="0.3">
      <c r="A66">
        <v>31</v>
      </c>
      <c r="B66">
        <v>31</v>
      </c>
    </row>
    <row r="67" spans="1:2" x14ac:dyDescent="0.3">
      <c r="A67">
        <v>193</v>
      </c>
      <c r="B67">
        <v>193</v>
      </c>
    </row>
    <row r="68" spans="1:2" x14ac:dyDescent="0.3">
      <c r="A68">
        <v>33</v>
      </c>
      <c r="B68">
        <v>33</v>
      </c>
    </row>
    <row r="70" spans="1:2" x14ac:dyDescent="0.3">
      <c r="A70">
        <v>512</v>
      </c>
      <c r="B70">
        <v>512</v>
      </c>
    </row>
    <row r="72" spans="1:2" x14ac:dyDescent="0.3">
      <c r="A72">
        <v>622</v>
      </c>
      <c r="B72">
        <v>622</v>
      </c>
    </row>
    <row r="73" spans="1:2" x14ac:dyDescent="0.3">
      <c r="A73">
        <v>577</v>
      </c>
      <c r="B73">
        <v>577</v>
      </c>
    </row>
    <row r="75" spans="1:2" x14ac:dyDescent="0.3">
      <c r="A75">
        <v>547</v>
      </c>
      <c r="B75">
        <v>547</v>
      </c>
    </row>
    <row r="76" spans="1:2" x14ac:dyDescent="0.3">
      <c r="A76">
        <v>659</v>
      </c>
      <c r="B76">
        <v>659</v>
      </c>
    </row>
    <row r="77" spans="1:2" x14ac:dyDescent="0.3">
      <c r="A77">
        <v>660</v>
      </c>
      <c r="B77">
        <v>660</v>
      </c>
    </row>
    <row r="78" spans="1:2" x14ac:dyDescent="0.3">
      <c r="A78">
        <v>661</v>
      </c>
      <c r="B78">
        <v>661</v>
      </c>
    </row>
    <row r="81" spans="1:2" x14ac:dyDescent="0.3">
      <c r="A81">
        <v>6</v>
      </c>
      <c r="B81">
        <v>6</v>
      </c>
    </row>
    <row r="83" spans="1:2" x14ac:dyDescent="0.3">
      <c r="A83">
        <v>620</v>
      </c>
      <c r="B83">
        <v>620</v>
      </c>
    </row>
    <row r="85" spans="1:2" x14ac:dyDescent="0.3">
      <c r="A85">
        <v>947</v>
      </c>
      <c r="B85">
        <v>947</v>
      </c>
    </row>
    <row r="86" spans="1:2" x14ac:dyDescent="0.3">
      <c r="A86">
        <v>948</v>
      </c>
      <c r="B86">
        <v>948</v>
      </c>
    </row>
    <row r="87" spans="1:2" x14ac:dyDescent="0.3">
      <c r="A87">
        <v>949</v>
      </c>
      <c r="B87">
        <v>949</v>
      </c>
    </row>
    <row r="88" spans="1:2" x14ac:dyDescent="0.3">
      <c r="A88">
        <v>950</v>
      </c>
      <c r="B88">
        <v>950</v>
      </c>
    </row>
    <row r="89" spans="1:2" x14ac:dyDescent="0.3">
      <c r="A89">
        <v>952</v>
      </c>
      <c r="B89">
        <v>952</v>
      </c>
    </row>
    <row r="90" spans="1:2" x14ac:dyDescent="0.3">
      <c r="A90">
        <v>954</v>
      </c>
      <c r="B90">
        <v>954</v>
      </c>
    </row>
    <row r="91" spans="1:2" x14ac:dyDescent="0.3">
      <c r="A91">
        <v>956</v>
      </c>
      <c r="B91">
        <v>956</v>
      </c>
    </row>
    <row r="92" spans="1:2" x14ac:dyDescent="0.3">
      <c r="A92">
        <v>958</v>
      </c>
      <c r="B92">
        <v>958</v>
      </c>
    </row>
    <row r="100" spans="1:2" x14ac:dyDescent="0.3">
      <c r="A100">
        <v>960</v>
      </c>
      <c r="B100">
        <v>960</v>
      </c>
    </row>
    <row r="101" spans="1:2" x14ac:dyDescent="0.3">
      <c r="A101">
        <v>962</v>
      </c>
      <c r="B101">
        <v>962</v>
      </c>
    </row>
    <row r="102" spans="1:2" x14ac:dyDescent="0.3">
      <c r="A102">
        <v>964</v>
      </c>
      <c r="B102">
        <v>964</v>
      </c>
    </row>
    <row r="103" spans="1:2" x14ac:dyDescent="0.3">
      <c r="A103">
        <v>966</v>
      </c>
      <c r="B103">
        <v>966</v>
      </c>
    </row>
    <row r="105" spans="1:2" x14ac:dyDescent="0.3">
      <c r="A105">
        <v>968</v>
      </c>
      <c r="B105">
        <v>968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23"/>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91" customWidth="1"/>
    <col min="2" max="2" width="16.33203125" style="4" customWidth="1"/>
    <col min="3" max="3" width="17.44140625" style="4" customWidth="1"/>
    <col min="4" max="4" width="46.33203125" style="276" customWidth="1"/>
    <col min="5" max="5" width="17.109375" style="16" customWidth="1"/>
    <col min="6" max="6" width="21.5546875" style="276" customWidth="1"/>
    <col min="7" max="7" width="26.6640625" style="324" customWidth="1"/>
    <col min="8" max="8" width="25.109375" style="217" customWidth="1"/>
    <col min="9" max="9" width="24" style="276" customWidth="1"/>
    <col min="10" max="10" width="13.5546875" style="16" customWidth="1"/>
    <col min="11" max="11" width="11.6640625" style="16" customWidth="1"/>
    <col min="12" max="12" width="4" hidden="1" customWidth="1"/>
    <col min="13" max="13" width="11" style="16" hidden="1" customWidth="1"/>
    <col min="14" max="14" width="3.33203125" style="137"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76"/>
  </cols>
  <sheetData>
    <row r="1" spans="1:122" ht="15" thickBot="1" x14ac:dyDescent="0.35">
      <c r="B1" s="326" t="s">
        <v>251</v>
      </c>
      <c r="C1" s="326"/>
      <c r="E1" s="277" t="s">
        <v>7</v>
      </c>
      <c r="F1" s="278">
        <v>2023</v>
      </c>
      <c r="G1" s="77" t="s">
        <v>56</v>
      </c>
      <c r="H1" s="279"/>
      <c r="I1" s="280"/>
      <c r="J1" s="281"/>
      <c r="M1" s="16" t="s">
        <v>17</v>
      </c>
      <c r="O1" s="16">
        <v>1</v>
      </c>
    </row>
    <row r="2" spans="1:122" ht="44.25" customHeight="1" thickBot="1" x14ac:dyDescent="0.35">
      <c r="B2" s="703" t="s">
        <v>188</v>
      </c>
      <c r="C2" s="704"/>
      <c r="D2" s="282" t="s">
        <v>372</v>
      </c>
      <c r="E2" s="701" t="s">
        <v>190</v>
      </c>
      <c r="F2" s="701"/>
      <c r="G2" s="702"/>
      <c r="H2" s="409" t="s">
        <v>839</v>
      </c>
      <c r="M2" s="16" t="s">
        <v>18</v>
      </c>
      <c r="N2" s="137">
        <v>50</v>
      </c>
      <c r="O2" s="16">
        <v>2</v>
      </c>
    </row>
    <row r="3" spans="1:122" ht="15" thickBot="1" x14ac:dyDescent="0.35">
      <c r="B3" s="327" t="s">
        <v>0</v>
      </c>
      <c r="C3" s="328"/>
      <c r="D3" s="284" t="e">
        <f>VLOOKUP(D2,'Unit Names(H)'!A2:B139,2,FALSE)</f>
        <v>#N/A</v>
      </c>
      <c r="E3" s="369"/>
      <c r="F3" s="285"/>
      <c r="G3" s="286"/>
      <c r="H3" s="283"/>
      <c r="N3" s="137">
        <v>51</v>
      </c>
      <c r="O3" s="16">
        <v>3</v>
      </c>
    </row>
    <row r="4" spans="1:122" ht="15" thickBot="1" x14ac:dyDescent="0.35">
      <c r="B4" s="329" t="s">
        <v>336</v>
      </c>
      <c r="C4" s="330"/>
      <c r="D4" s="287"/>
      <c r="E4" s="287"/>
      <c r="F4" s="288"/>
      <c r="G4" s="289"/>
      <c r="H4" s="283"/>
      <c r="I4" s="1"/>
      <c r="M4" s="16" t="s">
        <v>210</v>
      </c>
      <c r="N4" s="137">
        <v>52</v>
      </c>
      <c r="O4" s="16">
        <v>4</v>
      </c>
    </row>
    <row r="5" spans="1:122" ht="37.5" customHeight="1" x14ac:dyDescent="0.3">
      <c r="A5" s="266" t="s">
        <v>249</v>
      </c>
      <c r="B5" s="192" t="s">
        <v>42</v>
      </c>
      <c r="C5" s="192" t="s">
        <v>58</v>
      </c>
      <c r="D5" s="290" t="s">
        <v>1</v>
      </c>
      <c r="E5" s="290">
        <v>2022</v>
      </c>
      <c r="F5" s="291">
        <v>2023</v>
      </c>
      <c r="G5" s="292" t="s">
        <v>370</v>
      </c>
      <c r="H5" s="293" t="s">
        <v>194</v>
      </c>
      <c r="I5" s="278" t="s">
        <v>2</v>
      </c>
      <c r="M5" s="16" t="s">
        <v>277</v>
      </c>
    </row>
    <row r="6" spans="1:122" ht="22.5" customHeight="1" x14ac:dyDescent="0.3">
      <c r="B6" s="343" t="s">
        <v>57</v>
      </c>
      <c r="C6" s="344"/>
      <c r="D6" s="345"/>
      <c r="E6" s="346"/>
      <c r="F6" s="347"/>
      <c r="G6" s="339"/>
      <c r="H6" s="15"/>
      <c r="I6" s="51"/>
      <c r="M6" s="16" t="s">
        <v>263</v>
      </c>
    </row>
    <row r="7" spans="1:122" s="16" customFormat="1" ht="63.75" customHeight="1" x14ac:dyDescent="0.3">
      <c r="A7" s="411">
        <v>333</v>
      </c>
      <c r="B7" s="266" t="s">
        <v>26</v>
      </c>
      <c r="C7" s="266" t="s">
        <v>59</v>
      </c>
      <c r="D7" s="275" t="s">
        <v>337</v>
      </c>
      <c r="E7" s="265" t="e">
        <f>INDEX('PY1 Data(H)'!$A$1:$CZ$122,MATCH('Unit Data from Audit Worksheet'!$A7,'PY1 Data(H)'!$A$1:$A$122,0),MATCH('Unit Data from Audit Worksheet'!$D$2,'PY1 Data(H)'!$A$1:$CZ$1,0))</f>
        <v>#N/A</v>
      </c>
      <c r="F7" s="136">
        <v>0</v>
      </c>
      <c r="G7" s="295"/>
      <c r="H7" s="296"/>
      <c r="I7" s="297"/>
      <c r="J7" s="204"/>
      <c r="L7"/>
      <c r="M7" s="16" t="s">
        <v>278</v>
      </c>
      <c r="N7" s="13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6">
        <v>500</v>
      </c>
      <c r="B8" s="266" t="s">
        <v>21</v>
      </c>
      <c r="C8" s="266" t="s">
        <v>59</v>
      </c>
      <c r="D8" s="275" t="s">
        <v>338</v>
      </c>
      <c r="E8" s="265" t="e">
        <f>INDEX('PY1 Data(H)'!$A$1:$CZ$122,MATCH('Unit Data from Audit Worksheet'!$A8,'PY1 Data(H)'!$A$1:$A$122,0),MATCH('Unit Data from Audit Worksheet'!$D$2,'PY1 Data(H)'!$A$1:$CZ$1,0))</f>
        <v>#N/A</v>
      </c>
      <c r="F8" s="136">
        <v>0</v>
      </c>
      <c r="G8" s="295">
        <f>IF(F8&lt;0,"Note: Number is normally positive.",)</f>
        <v>0</v>
      </c>
      <c r="H8" s="296"/>
      <c r="I8" s="296"/>
      <c r="J8" s="204"/>
      <c r="L8"/>
      <c r="M8" s="16" t="s">
        <v>279</v>
      </c>
      <c r="N8" s="13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21">
        <v>385</v>
      </c>
      <c r="B9" s="3" t="s">
        <v>24</v>
      </c>
      <c r="C9" s="266" t="s">
        <v>59</v>
      </c>
      <c r="D9" s="65" t="s">
        <v>60</v>
      </c>
      <c r="E9" s="265" t="e">
        <f>INDEX('PY1 Data(H)'!$A$1:$CZ$122,MATCH('Unit Data from Audit Worksheet'!$A9,'PY1 Data(H)'!$A$1:$A$122,0),MATCH('Unit Data from Audit Worksheet'!$D$2,'PY1 Data(H)'!$A$1:$CZ$1,0))-INDEX('PY1 Data(H)'!$A$1:$CZ$122,MATCH('Unit Data from Audit Worksheet'!$A11,'PY1 Data(H)'!$A$1:$A$122,0),MATCH('Unit Data from Audit Worksheet'!$D$2,'PY1 Data(H)'!$A$1:$CZ$1,0))</f>
        <v>#N/A</v>
      </c>
      <c r="F9" s="136">
        <v>0</v>
      </c>
      <c r="G9" s="295">
        <f>IF((F7+F8)&gt;F9,"Error: Please review Account numbers (333+500)&gt;385",)</f>
        <v>0</v>
      </c>
      <c r="H9" s="15"/>
      <c r="I9" s="296"/>
      <c r="J9"/>
    </row>
    <row r="10" spans="1:122" s="16" customFormat="1" ht="90" customHeight="1" x14ac:dyDescent="0.3">
      <c r="A10" s="66">
        <v>575</v>
      </c>
      <c r="B10" s="266" t="s">
        <v>28</v>
      </c>
      <c r="C10" s="266" t="s">
        <v>59</v>
      </c>
      <c r="D10" s="331" t="s">
        <v>339</v>
      </c>
      <c r="E10" s="265" t="e">
        <f>INDEX('PY1 Data(H)'!$A$1:$CZ$122,MATCH('Unit Data from Audit Worksheet'!$A10,'PY1 Data(H)'!$A$1:$A$122,0),MATCH('Unit Data from Audit Worksheet'!$D$2,'PY1 Data(H)'!$A$1:$CZ$1,0))</f>
        <v>#N/A</v>
      </c>
      <c r="F10" s="136">
        <v>0</v>
      </c>
      <c r="G10" s="295">
        <f>IF(F10&lt;0,"Note: Number is normally positive.",)</f>
        <v>0</v>
      </c>
      <c r="H10" s="298"/>
      <c r="I10" s="299"/>
      <c r="J10"/>
      <c r="L10"/>
      <c r="N10" s="13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6">
        <v>576</v>
      </c>
      <c r="B11" s="266" t="s">
        <v>28</v>
      </c>
      <c r="C11" s="266" t="s">
        <v>59</v>
      </c>
      <c r="D11" s="331" t="s">
        <v>340</v>
      </c>
      <c r="E11" s="265" t="e">
        <f>INDEX('PY1 Data(H)'!$A$1:$CZ$122,MATCH('Unit Data from Audit Worksheet'!$A11,'PY1 Data(H)'!$A$1:$A$122,0),MATCH('Unit Data from Audit Worksheet'!$D$2,'PY1 Data(H)'!$A$1:$CZ$1,0))</f>
        <v>#N/A</v>
      </c>
      <c r="F11" s="136">
        <v>0</v>
      </c>
      <c r="G11" s="295">
        <f>IF(F11&lt;0,"Error: Enter as positive.",)</f>
        <v>0</v>
      </c>
      <c r="H11" s="298"/>
      <c r="I11" s="299"/>
      <c r="J11"/>
      <c r="L11"/>
      <c r="N11" s="13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21">
        <v>626</v>
      </c>
      <c r="B12" s="332" t="s">
        <v>283</v>
      </c>
      <c r="C12" s="332" t="s">
        <v>59</v>
      </c>
      <c r="D12" s="158" t="s">
        <v>341</v>
      </c>
      <c r="E12" s="265" t="e">
        <f>INDEX('PY1 Data(H)'!$A$1:$CZ$122,MATCH('Unit Data from Audit Worksheet'!$A12,'PY1 Data(H)'!$A$1:$A$122,0),MATCH('Unit Data from Audit Worksheet'!$D$2,'PY1 Data(H)'!$A$1:$CZ$1,0))-INDEX('PY1 Data(H)'!$A$1:$CZ$122,MATCH('Unit Data from Audit Worksheet'!$A11,'PY1 Data(H)'!$A$1:$A$122,0),MATCH('Unit Data from Audit Worksheet'!$D$2,'PY1 Data(H)'!$A$1:$CZ$1,0))</f>
        <v>#N/A</v>
      </c>
      <c r="F12" s="136">
        <v>0</v>
      </c>
      <c r="G12" s="295">
        <f>IF(F12&lt;0,"Error: Enter as positive.",)</f>
        <v>0</v>
      </c>
      <c r="H12" s="300"/>
      <c r="I12" s="300"/>
      <c r="J12"/>
    </row>
    <row r="13" spans="1:122" ht="89.25" customHeight="1" x14ac:dyDescent="0.3">
      <c r="A13" s="140">
        <v>627</v>
      </c>
      <c r="B13" s="595" t="s">
        <v>236</v>
      </c>
      <c r="C13" s="332" t="s">
        <v>59</v>
      </c>
      <c r="D13" s="158" t="s">
        <v>342</v>
      </c>
      <c r="E13" s="265" t="e">
        <f>INDEX('PY1 Data(H)'!$A$1:$CZ$122,MATCH('Unit Data from Audit Worksheet'!$A13,'PY1 Data(H)'!$A$1:$A$122,0),MATCH('Unit Data from Audit Worksheet'!$D$2,'PY1 Data(H)'!$A$1:$CZ$1,0))</f>
        <v>#N/A</v>
      </c>
      <c r="F13" s="136">
        <v>0</v>
      </c>
      <c r="G13" s="295">
        <f>IF(F13&gt;F12,"Please review account numbers 627 &gt;626",)</f>
        <v>0</v>
      </c>
      <c r="H13" s="300"/>
      <c r="I13" s="300"/>
      <c r="J13"/>
    </row>
    <row r="14" spans="1:122" ht="105" customHeight="1" x14ac:dyDescent="0.3">
      <c r="A14" s="140">
        <v>628</v>
      </c>
      <c r="B14" s="595" t="s">
        <v>236</v>
      </c>
      <c r="C14" s="332" t="s">
        <v>59</v>
      </c>
      <c r="D14" s="158" t="s">
        <v>343</v>
      </c>
      <c r="E14" s="265" t="e">
        <f>INDEX('PY1 Data(H)'!$A$1:$CZ$122,MATCH('Unit Data from Audit Worksheet'!$A14,'PY1 Data(H)'!$A$1:$A$122,0),MATCH('Unit Data from Audit Worksheet'!$D$2,'PY1 Data(H)'!$A$1:$CZ$1,0))</f>
        <v>#N/A</v>
      </c>
      <c r="F14" s="136">
        <v>0</v>
      </c>
      <c r="G14" s="295">
        <f>IF(F14&gt;F12,"Please review account numbers 628 &gt; 626",)</f>
        <v>0</v>
      </c>
      <c r="H14" s="300"/>
      <c r="I14" s="300"/>
      <c r="J14"/>
    </row>
    <row r="15" spans="1:122" ht="95.25" customHeight="1" x14ac:dyDescent="0.3">
      <c r="A15" s="140">
        <v>629</v>
      </c>
      <c r="B15" s="595" t="s">
        <v>236</v>
      </c>
      <c r="C15" s="332" t="s">
        <v>59</v>
      </c>
      <c r="D15" s="158" t="s">
        <v>344</v>
      </c>
      <c r="E15" s="265" t="e">
        <f>INDEX('PY1 Data(H)'!$A$1:$CZ$122,MATCH('Unit Data from Audit Worksheet'!$A15,'PY1 Data(H)'!$A$1:$A$122,0),MATCH('Unit Data from Audit Worksheet'!$D$2,'PY1 Data(H)'!$A$1:$CZ$1,0))</f>
        <v>#N/A</v>
      </c>
      <c r="F15" s="136">
        <v>0</v>
      </c>
      <c r="G15" s="295">
        <f>IF(F15&gt;F12,"Please review account numbers 629 &gt; 626",)</f>
        <v>0</v>
      </c>
      <c r="H15" s="300"/>
      <c r="I15" s="300"/>
      <c r="J15"/>
    </row>
    <row r="16" spans="1:122" ht="69" customHeight="1" x14ac:dyDescent="0.3">
      <c r="A16" s="140">
        <v>630</v>
      </c>
      <c r="B16" s="595" t="s">
        <v>236</v>
      </c>
      <c r="C16" s="332" t="s">
        <v>59</v>
      </c>
      <c r="D16" s="158" t="s">
        <v>274</v>
      </c>
      <c r="E16" s="265" t="e">
        <f>INDEX('PY1 Data(H)'!$A$1:$CZ$122,MATCH('Unit Data from Audit Worksheet'!$A16,'PY1 Data(H)'!$A$1:$A$122,0),MATCH('Unit Data from Audit Worksheet'!$D$2,'PY1 Data(H)'!$A$1:$CZ$1,0))</f>
        <v>#N/A</v>
      </c>
      <c r="F16" s="136">
        <v>0</v>
      </c>
      <c r="G16" s="295">
        <f>IF(F16&gt;F12,"Please review account numbers 630 &gt; 626",)</f>
        <v>0</v>
      </c>
      <c r="H16" s="300"/>
      <c r="I16" s="300"/>
      <c r="J16"/>
    </row>
    <row r="17" spans="1:10" ht="95.25" customHeight="1" x14ac:dyDescent="0.3">
      <c r="A17" s="140">
        <v>631</v>
      </c>
      <c r="B17" s="595" t="s">
        <v>236</v>
      </c>
      <c r="C17" s="332" t="s">
        <v>59</v>
      </c>
      <c r="D17" s="158" t="s">
        <v>345</v>
      </c>
      <c r="E17" s="265" t="e">
        <f>INDEX('PY1 Data(H)'!$A$1:$CZ$122,MATCH('Unit Data from Audit Worksheet'!$A17,'PY1 Data(H)'!$A$1:$A$122,0),MATCH('Unit Data from Audit Worksheet'!$D$2,'PY1 Data(H)'!$A$1:$CZ$1,0))</f>
        <v>#N/A</v>
      </c>
      <c r="F17" s="136">
        <v>0</v>
      </c>
      <c r="G17" s="295">
        <f>IF(F17&gt;F12,"Please review account numbers 631 &gt; 626",)</f>
        <v>0</v>
      </c>
      <c r="H17" s="300"/>
      <c r="I17" s="300"/>
      <c r="J17"/>
    </row>
    <row r="18" spans="1:10" ht="55.5" customHeight="1" x14ac:dyDescent="0.3">
      <c r="A18" s="421">
        <v>338</v>
      </c>
      <c r="B18" s="3" t="s">
        <v>22</v>
      </c>
      <c r="C18" s="266" t="s">
        <v>59</v>
      </c>
      <c r="D18" s="65" t="s">
        <v>61</v>
      </c>
      <c r="E18" s="265" t="e">
        <f>INDEX('PY1 Data(H)'!$A$1:$CZ$122,MATCH('Unit Data from Audit Worksheet'!$A18,'PY1 Data(H)'!$A$1:$A$122,0),MATCH('Unit Data from Audit Worksheet'!$D$2,'PY1 Data(H)'!$A$1:$CZ$1,0))-INDEX('PY1 Data(H)'!$A$1:$CZ$122,MATCH('Unit Data from Audit Worksheet'!$A11,'PY1 Data(H)'!$A$1:$A$122,0),MATCH('Unit Data from Audit Worksheet'!$D$2,'PY1 Data(H)'!$A$1:$CZ$1,0))</f>
        <v>#N/A</v>
      </c>
      <c r="F18" s="136">
        <v>0</v>
      </c>
      <c r="G18" s="295" t="str">
        <f>IF(F12&gt;F18,"Error: Please review accts 626 &gt; 338","")</f>
        <v/>
      </c>
      <c r="H18" s="15"/>
      <c r="I18" s="296"/>
      <c r="J18"/>
    </row>
    <row r="19" spans="1:10" ht="89.25" customHeight="1" x14ac:dyDescent="0.3">
      <c r="A19" s="66">
        <v>335</v>
      </c>
      <c r="B19" s="3" t="s">
        <v>22</v>
      </c>
      <c r="C19" s="266" t="s">
        <v>59</v>
      </c>
      <c r="D19" s="275" t="s">
        <v>346</v>
      </c>
      <c r="E19" s="265" t="e">
        <f>INDEX('PY1 Data(H)'!$A$1:$CZ$122,MATCH('Unit Data from Audit Worksheet'!$A19,'PY1 Data(H)'!$A$1:$A$122,0),MATCH('Unit Data from Audit Worksheet'!$D$2,'PY1 Data(H)'!$A$1:$CZ$1,0))</f>
        <v>#N/A</v>
      </c>
      <c r="F19" s="136">
        <v>0</v>
      </c>
      <c r="G19" s="295">
        <f>IF(F19&lt;0,"Error: Enter as positive.",)</f>
        <v>0</v>
      </c>
      <c r="H19" s="15"/>
      <c r="I19" s="179"/>
      <c r="J19"/>
    </row>
    <row r="20" spans="1:10" ht="65.400000000000006" customHeight="1" x14ac:dyDescent="0.3">
      <c r="A20" s="66">
        <v>252</v>
      </c>
      <c r="B20" s="3" t="s">
        <v>22</v>
      </c>
      <c r="C20" s="266" t="s">
        <v>59</v>
      </c>
      <c r="D20" s="65" t="s">
        <v>62</v>
      </c>
      <c r="E20" s="265" t="e">
        <f>INDEX('PY1 Data(H)'!$A$1:$CZ$122,MATCH('Unit Data from Audit Worksheet'!$A20,'PY1 Data(H)'!$A$1:$A$122,0),MATCH('Unit Data from Audit Worksheet'!$D$2,'PY1 Data(H)'!$A$1:$CZ$1,0))</f>
        <v>#N/A</v>
      </c>
      <c r="F20" s="136">
        <v>0</v>
      </c>
      <c r="G20" s="301"/>
      <c r="H20" s="15"/>
      <c r="I20" s="51"/>
      <c r="J20"/>
    </row>
    <row r="21" spans="1:10" ht="55.8" customHeight="1" x14ac:dyDescent="0.3">
      <c r="A21" s="66">
        <v>253</v>
      </c>
      <c r="B21" s="3" t="s">
        <v>22</v>
      </c>
      <c r="C21" s="266" t="s">
        <v>59</v>
      </c>
      <c r="D21" s="65" t="s">
        <v>63</v>
      </c>
      <c r="E21" s="265" t="e">
        <f>INDEX('PY1 Data(H)'!$A$1:$CZ$122,MATCH('Unit Data from Audit Worksheet'!$A21,'PY1 Data(H)'!$A$1:$A$122,0),MATCH('Unit Data from Audit Worksheet'!$D$2,'PY1 Data(H)'!$A$1:$CZ$1,0))</f>
        <v>#N/A</v>
      </c>
      <c r="F21" s="136">
        <v>0</v>
      </c>
      <c r="G21" s="295"/>
      <c r="H21" s="15"/>
      <c r="I21" s="51"/>
      <c r="J21"/>
    </row>
    <row r="22" spans="1:10" ht="97.8" customHeight="1" x14ac:dyDescent="0.3">
      <c r="A22" s="66">
        <v>254</v>
      </c>
      <c r="B22" s="3" t="s">
        <v>22</v>
      </c>
      <c r="C22" s="266" t="s">
        <v>59</v>
      </c>
      <c r="D22" s="65" t="s">
        <v>347</v>
      </c>
      <c r="E22" s="265" t="e">
        <f>INDEX('PY1 Data(H)'!$A$1:$CZ$122,MATCH('Unit Data from Audit Worksheet'!$A22,'PY1 Data(H)'!$A$1:$A$122,0),MATCH('Unit Data from Audit Worksheet'!$D$2,'PY1 Data(H)'!$A$1:$CZ$1,0))</f>
        <v>#N/A</v>
      </c>
      <c r="F22" s="136">
        <v>0</v>
      </c>
      <c r="G22" s="295">
        <f>IF(H22=0,,"Error: Total assets and deferred outflows less total liabilities and deferred inflows do not equal total net position. Account numbers  385-338-252-253-254 = 0.  The amount the formula is off is located in the cell to the right")</f>
        <v>0</v>
      </c>
      <c r="H22" s="298">
        <f>F9-F18-F20-F21-F22</f>
        <v>0</v>
      </c>
      <c r="I22" s="51"/>
      <c r="J22"/>
    </row>
    <row r="23" spans="1:10" ht="21.75" customHeight="1" x14ac:dyDescent="0.3">
      <c r="A23" s="66"/>
      <c r="B23" s="350" t="s">
        <v>64</v>
      </c>
      <c r="C23" s="597"/>
      <c r="D23" s="336"/>
      <c r="E23" s="337"/>
      <c r="F23" s="348"/>
      <c r="G23" s="349"/>
      <c r="H23" s="15"/>
      <c r="I23" s="51"/>
      <c r="J23"/>
    </row>
    <row r="24" spans="1:10" ht="59.25" customHeight="1" x14ac:dyDescent="0.3">
      <c r="A24" s="66">
        <v>502</v>
      </c>
      <c r="B24" s="3" t="s">
        <v>21</v>
      </c>
      <c r="C24" s="266" t="s">
        <v>66</v>
      </c>
      <c r="D24" s="275" t="s">
        <v>348</v>
      </c>
      <c r="E24" s="265" t="e">
        <f>INDEX('PY1 Data(H)'!$A$1:$CZ$122,MATCH('Unit Data from Audit Worksheet'!$A24,'PY1 Data(H)'!$A$1:$A$122,0),MATCH('Unit Data from Audit Worksheet'!$D$2,'PY1 Data(H)'!$A$1:$CZ$1,0))</f>
        <v>#N/A</v>
      </c>
      <c r="F24" s="136">
        <v>0</v>
      </c>
      <c r="G24" s="295">
        <f>IF(F24&lt;0,"Note: Number is normally positive.",)</f>
        <v>0</v>
      </c>
      <c r="H24" s="15"/>
      <c r="I24" s="51"/>
      <c r="J24"/>
    </row>
    <row r="25" spans="1:10" ht="59.25" customHeight="1" x14ac:dyDescent="0.3">
      <c r="A25" s="66">
        <v>503</v>
      </c>
      <c r="B25" s="3" t="s">
        <v>21</v>
      </c>
      <c r="C25" s="266" t="s">
        <v>66</v>
      </c>
      <c r="D25" s="65" t="s">
        <v>65</v>
      </c>
      <c r="E25" s="265" t="e">
        <f>INDEX('PY1 Data(H)'!$A$1:$CZ$122,MATCH('Unit Data from Audit Worksheet'!$A25,'PY1 Data(H)'!$A$1:$A$122,0),MATCH('Unit Data from Audit Worksheet'!$D$2,'PY1 Data(H)'!$A$1:$CZ$1,0))</f>
        <v>#N/A</v>
      </c>
      <c r="F25" s="136">
        <v>0</v>
      </c>
      <c r="G25" s="295">
        <f>IF(F25&lt;0,"Note: Number is normally positive.",)</f>
        <v>0</v>
      </c>
      <c r="H25" s="15"/>
      <c r="I25" s="51"/>
      <c r="J25"/>
    </row>
    <row r="26" spans="1:10" ht="27" customHeight="1" x14ac:dyDescent="0.3">
      <c r="A26" s="66"/>
      <c r="B26" s="350" t="s">
        <v>67</v>
      </c>
      <c r="C26" s="597"/>
      <c r="D26" s="336"/>
      <c r="E26" s="337"/>
      <c r="F26" s="338"/>
      <c r="G26" s="339"/>
      <c r="H26" s="15"/>
      <c r="I26" s="51"/>
      <c r="J26"/>
    </row>
    <row r="27" spans="1:10" ht="49.5" customHeight="1" x14ac:dyDescent="0.3">
      <c r="A27" s="66">
        <v>388</v>
      </c>
      <c r="B27" s="3" t="s">
        <v>24</v>
      </c>
      <c r="C27" s="3" t="s">
        <v>72</v>
      </c>
      <c r="D27" s="65" t="s">
        <v>68</v>
      </c>
      <c r="E27" s="265" t="e">
        <f>INDEX('PY1 Data(H)'!$A$1:$CZ$122,MATCH('Unit Data from Audit Worksheet'!$A27,'PY1 Data(H)'!$A$1:$A$122,0),MATCH('Unit Data from Audit Worksheet'!$D$2,'PY1 Data(H)'!$A$1:$CZ$1,0))</f>
        <v>#N/A</v>
      </c>
      <c r="F27" s="136">
        <v>0</v>
      </c>
      <c r="G27" s="295">
        <f t="shared" ref="G27:G33" si="0">IF(F27&lt;0,"Error: Enter as positive.",)</f>
        <v>0</v>
      </c>
      <c r="H27" s="15"/>
      <c r="I27" s="51"/>
      <c r="J27"/>
    </row>
    <row r="28" spans="1:10" ht="51.75" customHeight="1" x14ac:dyDescent="0.3">
      <c r="A28" s="66">
        <v>339</v>
      </c>
      <c r="B28" s="3" t="s">
        <v>22</v>
      </c>
      <c r="C28" s="3" t="s">
        <v>72</v>
      </c>
      <c r="D28" s="65" t="s">
        <v>69</v>
      </c>
      <c r="E28" s="265" t="e">
        <f>INDEX('PY1 Data(H)'!$A$1:$CZ$122,MATCH('Unit Data from Audit Worksheet'!$A28,'PY1 Data(H)'!$A$1:$A$122,0),MATCH('Unit Data from Audit Worksheet'!$D$2,'PY1 Data(H)'!$A$1:$CZ$1,0))</f>
        <v>#N/A</v>
      </c>
      <c r="F28" s="136">
        <v>0</v>
      </c>
      <c r="G28" s="295">
        <f t="shared" si="0"/>
        <v>0</v>
      </c>
      <c r="H28" s="15"/>
      <c r="I28" s="51"/>
      <c r="J28"/>
    </row>
    <row r="29" spans="1:10" ht="50.25" customHeight="1" x14ac:dyDescent="0.3">
      <c r="A29" s="66">
        <v>504</v>
      </c>
      <c r="B29" s="3" t="s">
        <v>22</v>
      </c>
      <c r="C29" s="3" t="s">
        <v>72</v>
      </c>
      <c r="D29" s="65" t="s">
        <v>70</v>
      </c>
      <c r="E29" s="265" t="e">
        <f>INDEX('PY1 Data(H)'!$A$1:$CZ$122,MATCH('Unit Data from Audit Worksheet'!$A29,'PY1 Data(H)'!$A$1:$A$122,0),MATCH('Unit Data from Audit Worksheet'!$D$2,'PY1 Data(H)'!$A$1:$CZ$1,0))</f>
        <v>#N/A</v>
      </c>
      <c r="F29" s="136">
        <v>0</v>
      </c>
      <c r="G29" s="295">
        <f t="shared" si="0"/>
        <v>0</v>
      </c>
      <c r="H29" s="15"/>
      <c r="I29" s="51"/>
      <c r="J29"/>
    </row>
    <row r="30" spans="1:10" ht="60" customHeight="1" x14ac:dyDescent="0.3">
      <c r="A30" s="66">
        <v>505</v>
      </c>
      <c r="B30" s="3" t="s">
        <v>22</v>
      </c>
      <c r="C30" s="3" t="s">
        <v>72</v>
      </c>
      <c r="D30" s="269" t="s">
        <v>71</v>
      </c>
      <c r="E30" s="265" t="e">
        <f>INDEX('PY1 Data(H)'!$A$1:$CZ$122,MATCH('Unit Data from Audit Worksheet'!$A30,'PY1 Data(H)'!$A$1:$A$122,0),MATCH('Unit Data from Audit Worksheet'!$D$2,'PY1 Data(H)'!$A$1:$CZ$1,0))</f>
        <v>#N/A</v>
      </c>
      <c r="F30" s="136">
        <v>0</v>
      </c>
      <c r="G30" s="295">
        <f t="shared" si="0"/>
        <v>0</v>
      </c>
      <c r="H30" s="15"/>
      <c r="I30" s="51"/>
      <c r="J30"/>
    </row>
    <row r="31" spans="1:10" ht="67.95" customHeight="1" x14ac:dyDescent="0.3">
      <c r="A31" s="66">
        <v>341</v>
      </c>
      <c r="B31" s="3" t="s">
        <v>22</v>
      </c>
      <c r="C31" s="3" t="s">
        <v>72</v>
      </c>
      <c r="D31" s="275" t="s">
        <v>349</v>
      </c>
      <c r="E31" s="265" t="e">
        <f>INDEX('PY1 Data(H)'!$A$1:$CZ$122,MATCH('Unit Data from Audit Worksheet'!$A31,'PY1 Data(H)'!$A$1:$A$122,0),MATCH('Unit Data from Audit Worksheet'!$D$2,'PY1 Data(H)'!$A$1:$CZ$1,0))</f>
        <v>#N/A</v>
      </c>
      <c r="F31" s="136">
        <v>0</v>
      </c>
      <c r="G31" s="295">
        <f t="shared" si="0"/>
        <v>0</v>
      </c>
      <c r="H31" s="15"/>
      <c r="I31" s="51"/>
      <c r="J31"/>
    </row>
    <row r="32" spans="1:10" ht="44.25" customHeight="1" x14ac:dyDescent="0.3">
      <c r="A32" s="66">
        <v>386</v>
      </c>
      <c r="B32" s="3" t="s">
        <v>22</v>
      </c>
      <c r="C32" s="3" t="s">
        <v>72</v>
      </c>
      <c r="D32" s="65" t="s">
        <v>350</v>
      </c>
      <c r="E32" s="265" t="e">
        <f>INDEX('PY1 Data(H)'!$A$1:$CZ$122,MATCH('Unit Data from Audit Worksheet'!$A32,'PY1 Data(H)'!$A$1:$A$122,0),MATCH('Unit Data from Audit Worksheet'!$D$2,'PY1 Data(H)'!$A$1:$CZ$1,0))</f>
        <v>#N/A</v>
      </c>
      <c r="F32" s="136">
        <v>0</v>
      </c>
      <c r="G32" s="295">
        <f t="shared" si="0"/>
        <v>0</v>
      </c>
      <c r="H32" s="15"/>
      <c r="I32" s="51"/>
      <c r="J32"/>
    </row>
    <row r="33" spans="1:122" ht="48.75" customHeight="1" x14ac:dyDescent="0.3">
      <c r="A33" s="66">
        <v>387</v>
      </c>
      <c r="B33" s="3" t="s">
        <v>24</v>
      </c>
      <c r="C33" s="3" t="s">
        <v>72</v>
      </c>
      <c r="D33" s="65" t="s">
        <v>351</v>
      </c>
      <c r="E33" s="265" t="e">
        <f>INDEX('PY1 Data(H)'!$A$1:$CZ$122,MATCH('Unit Data from Audit Worksheet'!$A33,'PY1 Data(H)'!$A$1:$A$122,0),MATCH('Unit Data from Audit Worksheet'!$D$2,'PY1 Data(H)'!$A$1:$CZ$1,0))</f>
        <v>#N/A</v>
      </c>
      <c r="F33" s="136">
        <v>0</v>
      </c>
      <c r="G33" s="295">
        <f t="shared" si="0"/>
        <v>0</v>
      </c>
      <c r="H33" s="15"/>
      <c r="I33" s="51"/>
      <c r="J33"/>
    </row>
    <row r="34" spans="1:122" ht="92.25" customHeight="1" x14ac:dyDescent="0.3">
      <c r="A34" s="66">
        <v>389</v>
      </c>
      <c r="B34" s="3" t="s">
        <v>24</v>
      </c>
      <c r="C34" s="3" t="s">
        <v>72</v>
      </c>
      <c r="D34" s="275" t="s">
        <v>352</v>
      </c>
      <c r="E34" s="265" t="e">
        <f>INDEX('PY1 Data(H)'!$A$1:$CZ$122,MATCH('Unit Data from Audit Worksheet'!$A34,'PY1 Data(H)'!$A$1:$A$122,0),MATCH('Unit Data from Audit Worksheet'!$D$2,'PY1 Data(H)'!$A$1:$CZ$1,0))</f>
        <v>#N/A</v>
      </c>
      <c r="F34" s="136">
        <v>0</v>
      </c>
      <c r="G34" s="295"/>
      <c r="H34" s="15"/>
      <c r="I34" s="51"/>
      <c r="J34"/>
    </row>
    <row r="35" spans="1:122" ht="138" customHeight="1" x14ac:dyDescent="0.3">
      <c r="A35" s="66">
        <v>255</v>
      </c>
      <c r="B35" s="3" t="s">
        <v>22</v>
      </c>
      <c r="C35" s="3" t="s">
        <v>72</v>
      </c>
      <c r="D35" s="275" t="s">
        <v>353</v>
      </c>
      <c r="E35" s="265" t="e">
        <f>INDEX('PY1 Data(H)'!$A$1:$CZ$122,MATCH('Unit Data from Audit Worksheet'!$A35,'PY1 Data(H)'!$A$1:$A$122,0),MATCH('Unit Data from Audit Worksheet'!$D$2,'PY1 Data(H)'!$A$1:$CZ$1,0))</f>
        <v>#N/A</v>
      </c>
      <c r="F35" s="136">
        <v>0</v>
      </c>
      <c r="G35" s="511">
        <f>IF(H35=0,,"Error: Total revenues less total expenses do not equal total change in net position. Account numbers 339+504+505+341+386-387+389-388-255 = 0  The amount the formula is off is located in the cell to the right")</f>
        <v>0</v>
      </c>
      <c r="H35" s="298">
        <f>F28+F29+F30+F31+F32-F33+F34-F27-F35</f>
        <v>0</v>
      </c>
      <c r="I35" s="51"/>
      <c r="J35"/>
    </row>
    <row r="36" spans="1:122" ht="138" customHeight="1" x14ac:dyDescent="0.3">
      <c r="A36" s="66">
        <v>376</v>
      </c>
      <c r="B36" s="266" t="s">
        <v>22</v>
      </c>
      <c r="C36" s="266" t="s">
        <v>72</v>
      </c>
      <c r="D36" s="275" t="s">
        <v>354</v>
      </c>
      <c r="E36" s="265" t="e">
        <f>INDEX('PY1 Data(H)'!$A$1:$CZ$122,MATCH('Unit Data from Audit Worksheet'!$A36,'PY1 Data(H)'!$A$1:$A$122,0),MATCH('Unit Data from Audit Worksheet'!$D$2,'PY1 Data(H)'!$A$1:$CZ$1,0))</f>
        <v>#N/A</v>
      </c>
      <c r="F36" s="134">
        <v>0</v>
      </c>
      <c r="G36" s="511" t="e">
        <f>IF(H36=0,,"Error: Beginning Balance does not agree with our records.  Account numbers  252+253+254-255-376-(Prior Year 252+253+254)=0  The amount the formula is off is located in the cell to the right")</f>
        <v>#N/A</v>
      </c>
      <c r="H36" s="644" t="e">
        <f>F20+F21+F22-F35-F36-(E20+E21+E22)</f>
        <v>#N/A</v>
      </c>
      <c r="I36" s="688" t="e">
        <f>IF(H36=0," ","If the out of balance is because prior years data is not populated in cells E20,E21,E22, disregard the error message.  Do not include prior year's ending balances in cell F36")</f>
        <v>#N/A</v>
      </c>
      <c r="J36"/>
    </row>
    <row r="37" spans="1:122" ht="25.5" customHeight="1" x14ac:dyDescent="0.3">
      <c r="A37" s="66"/>
      <c r="B37" s="350" t="s">
        <v>211</v>
      </c>
      <c r="C37" s="597"/>
      <c r="D37" s="336"/>
      <c r="E37" s="337"/>
      <c r="F37" s="338"/>
      <c r="G37" s="339"/>
      <c r="H37" s="15"/>
      <c r="I37" s="51"/>
      <c r="J37"/>
    </row>
    <row r="38" spans="1:122" s="16" customFormat="1" ht="86.25" customHeight="1" x14ac:dyDescent="0.3">
      <c r="A38" s="66">
        <v>592</v>
      </c>
      <c r="B38" s="266" t="s">
        <v>23</v>
      </c>
      <c r="C38" s="266" t="s">
        <v>213</v>
      </c>
      <c r="D38" s="275" t="s">
        <v>355</v>
      </c>
      <c r="E38" s="265" t="e">
        <f>INDEX('PY1 Data(H)'!$A$1:$CZ$122,MATCH('Unit Data from Audit Worksheet'!$A38,'PY1 Data(H)'!$A$1:$A$122,0),MATCH('Unit Data from Audit Worksheet'!$D$2,'PY1 Data(H)'!$A$1:$CZ$1,0))</f>
        <v>#N/A</v>
      </c>
      <c r="F38" s="136">
        <v>0</v>
      </c>
      <c r="G38" s="295"/>
      <c r="H38" s="296"/>
      <c r="I38" s="297"/>
      <c r="J38"/>
      <c r="L38"/>
      <c r="N38" s="137"/>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thickBot="1" x14ac:dyDescent="0.35">
      <c r="A39" s="66">
        <v>591</v>
      </c>
      <c r="B39" s="266" t="s">
        <v>23</v>
      </c>
      <c r="C39" s="266" t="s">
        <v>213</v>
      </c>
      <c r="D39" s="65" t="s">
        <v>214</v>
      </c>
      <c r="E39" s="265" t="e">
        <f>INDEX('PY1 Data(H)'!$A$1:$CZ$122,MATCH('Unit Data from Audit Worksheet'!$A39,'PY1 Data(H)'!$A$1:$A$122,0),MATCH('Unit Data from Audit Worksheet'!$D$2,'PY1 Data(H)'!$A$1:$CZ$1,0))</f>
        <v>#N/A</v>
      </c>
      <c r="F39" s="136">
        <v>0</v>
      </c>
      <c r="G39" s="295">
        <f>IF(F39&lt;0,"Error: Enter as positive.",)</f>
        <v>0</v>
      </c>
      <c r="H39" s="296"/>
      <c r="I39" s="297"/>
      <c r="J39"/>
      <c r="L39"/>
      <c r="N39" s="137"/>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25.5" customHeight="1" thickBot="1" x14ac:dyDescent="0.35">
      <c r="A40" s="624"/>
      <c r="B40" s="625" t="s">
        <v>723</v>
      </c>
      <c r="C40" s="626"/>
      <c r="D40" s="626"/>
      <c r="E40" s="626"/>
      <c r="F40" s="626"/>
      <c r="G40" s="627"/>
      <c r="H40" s="296"/>
      <c r="I40" s="297"/>
      <c r="J40" s="129"/>
      <c r="L40" s="129"/>
      <c r="N40" s="137"/>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row>
    <row r="41" spans="1:122" s="16" customFormat="1" ht="15" customHeight="1" x14ac:dyDescent="0.3">
      <c r="A41" s="624"/>
      <c r="B41" s="628" t="s">
        <v>724</v>
      </c>
      <c r="C41" s="629"/>
      <c r="D41" s="629"/>
      <c r="E41" s="629"/>
      <c r="F41" s="629"/>
      <c r="G41" s="630"/>
      <c r="H41" s="296"/>
      <c r="I41" s="297"/>
      <c r="J41" s="129"/>
      <c r="L41" s="129"/>
      <c r="N41" s="137"/>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row>
    <row r="42" spans="1:122" s="16" customFormat="1" ht="15" customHeight="1" x14ac:dyDescent="0.3">
      <c r="A42" s="624"/>
      <c r="B42" s="631" t="s">
        <v>725</v>
      </c>
      <c r="C42" s="632"/>
      <c r="D42" s="632"/>
      <c r="E42" s="632"/>
      <c r="F42" s="632"/>
      <c r="G42" s="633"/>
      <c r="H42" s="296"/>
      <c r="I42" s="297"/>
      <c r="J42" s="129"/>
      <c r="L42" s="129"/>
      <c r="N42" s="137"/>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row>
    <row r="43" spans="1:122" s="16" customFormat="1" ht="15" customHeight="1" x14ac:dyDescent="0.3">
      <c r="A43" s="624"/>
      <c r="B43" s="634" t="s">
        <v>726</v>
      </c>
      <c r="C43" s="632"/>
      <c r="D43" s="632"/>
      <c r="E43" s="632"/>
      <c r="F43" s="632"/>
      <c r="G43" s="633"/>
      <c r="H43" s="296"/>
      <c r="I43" s="297"/>
      <c r="J43" s="129"/>
      <c r="L43" s="129"/>
      <c r="N43" s="137"/>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row>
    <row r="44" spans="1:122" s="16" customFormat="1" ht="15" customHeight="1" thickBot="1" x14ac:dyDescent="0.35">
      <c r="A44" s="624"/>
      <c r="B44" s="635" t="s">
        <v>727</v>
      </c>
      <c r="C44" s="636"/>
      <c r="D44" s="636"/>
      <c r="E44" s="636"/>
      <c r="F44" s="636"/>
      <c r="G44" s="637"/>
      <c r="H44" s="296"/>
      <c r="I44" s="297"/>
      <c r="J44" s="129"/>
      <c r="L44" s="129"/>
      <c r="N44" s="137"/>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row>
    <row r="45" spans="1:122" s="16" customFormat="1" ht="71.25" customHeight="1" x14ac:dyDescent="0.3">
      <c r="A45" s="624">
        <v>1072</v>
      </c>
      <c r="B45" s="638"/>
      <c r="C45" s="491" t="s">
        <v>728</v>
      </c>
      <c r="D45" s="639" t="s">
        <v>729</v>
      </c>
      <c r="E45" s="476" t="s">
        <v>730</v>
      </c>
      <c r="F45" s="136">
        <v>0</v>
      </c>
      <c r="G45" s="640"/>
      <c r="H45" s="296"/>
      <c r="I45" s="297"/>
      <c r="J45" s="129"/>
      <c r="L45" s="129"/>
      <c r="N45" s="137"/>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row>
    <row r="46" spans="1:122" s="16" customFormat="1" ht="71.25" customHeight="1" x14ac:dyDescent="0.3">
      <c r="A46" s="624">
        <v>1073</v>
      </c>
      <c r="B46" s="638"/>
      <c r="C46" s="641" t="s">
        <v>728</v>
      </c>
      <c r="D46" s="639" t="s">
        <v>731</v>
      </c>
      <c r="E46" s="476" t="s">
        <v>730</v>
      </c>
      <c r="F46" s="136">
        <v>0</v>
      </c>
      <c r="G46" s="640"/>
      <c r="H46" s="296"/>
      <c r="I46" s="297"/>
      <c r="J46" s="129"/>
      <c r="L46" s="129"/>
      <c r="N46" s="137"/>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row>
    <row r="47" spans="1:122" s="16" customFormat="1" ht="71.25" customHeight="1" x14ac:dyDescent="0.3">
      <c r="A47" s="624">
        <v>1074</v>
      </c>
      <c r="B47" s="638"/>
      <c r="C47" s="491" t="s">
        <v>732</v>
      </c>
      <c r="D47" s="639" t="s">
        <v>733</v>
      </c>
      <c r="E47" s="476" t="s">
        <v>730</v>
      </c>
      <c r="F47" s="136">
        <v>0</v>
      </c>
      <c r="G47" s="640"/>
      <c r="H47" s="296"/>
      <c r="I47" s="297"/>
      <c r="J47" s="129"/>
      <c r="L47" s="129"/>
      <c r="N47" s="137"/>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row>
    <row r="48" spans="1:122" ht="27" customHeight="1" x14ac:dyDescent="0.3">
      <c r="A48" s="66"/>
      <c r="B48" s="350" t="s">
        <v>73</v>
      </c>
      <c r="C48" s="597"/>
      <c r="D48" s="340"/>
      <c r="E48" s="337"/>
      <c r="F48" s="341"/>
      <c r="G48" s="342"/>
      <c r="H48" s="15"/>
      <c r="I48" s="51"/>
      <c r="J48"/>
    </row>
    <row r="49" spans="1:122" s="16" customFormat="1" ht="55.5" customHeight="1" x14ac:dyDescent="0.3">
      <c r="A49" s="66">
        <v>506</v>
      </c>
      <c r="B49" s="598" t="s">
        <v>21</v>
      </c>
      <c r="C49" s="598" t="s">
        <v>77</v>
      </c>
      <c r="D49" s="65" t="s">
        <v>356</v>
      </c>
      <c r="E49" s="265" t="e">
        <f>INDEX('PY1 Data(H)'!$A$1:$CZ$122,MATCH('Unit Data from Audit Worksheet'!$A49,'PY1 Data(H)'!$A$1:$A$122,0),MATCH('Unit Data from Audit Worksheet'!$D$2,'PY1 Data(H)'!$A$1:$CZ$1,0))</f>
        <v>#N/A</v>
      </c>
      <c r="F49" s="136">
        <v>0</v>
      </c>
      <c r="G49" s="295">
        <f>IF(F49&lt;0,"Note: Number is normally positive.",)</f>
        <v>0</v>
      </c>
      <c r="H49" s="296"/>
      <c r="I49" s="51"/>
      <c r="J49"/>
      <c r="L49"/>
      <c r="N49" s="137"/>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row>
    <row r="50" spans="1:122" s="16" customFormat="1" ht="45.75" customHeight="1" x14ac:dyDescent="0.3">
      <c r="A50" s="66">
        <v>536</v>
      </c>
      <c r="B50" s="598" t="s">
        <v>21</v>
      </c>
      <c r="C50" s="598" t="s">
        <v>77</v>
      </c>
      <c r="D50" s="65" t="s">
        <v>74</v>
      </c>
      <c r="E50" s="265" t="e">
        <f>INDEX('PY1 Data(H)'!$A$1:$CZ$122,MATCH('Unit Data from Audit Worksheet'!$A50,'PY1 Data(H)'!$A$1:$A$122,0),MATCH('Unit Data from Audit Worksheet'!$D$2,'PY1 Data(H)'!$A$1:$CZ$1,0))</f>
        <v>#N/A</v>
      </c>
      <c r="F50" s="136">
        <v>0</v>
      </c>
      <c r="G50" s="295">
        <f>IF(F50&lt;0,"Note: Number is normally positive.",)</f>
        <v>0</v>
      </c>
      <c r="H50" s="296"/>
      <c r="I50" s="297"/>
      <c r="J50"/>
      <c r="L50"/>
      <c r="N50" s="137"/>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s="16" customFormat="1" ht="51.75" customHeight="1" x14ac:dyDescent="0.3">
      <c r="A51" s="66">
        <v>586</v>
      </c>
      <c r="B51" s="598" t="s">
        <v>23</v>
      </c>
      <c r="C51" s="598" t="s">
        <v>77</v>
      </c>
      <c r="D51" s="268" t="s">
        <v>204</v>
      </c>
      <c r="E51" s="265" t="e">
        <f>INDEX('PY1 Data(H)'!$A$1:$CZ$122,MATCH('Unit Data from Audit Worksheet'!$A51,'PY1 Data(H)'!$A$1:$A$122,0),MATCH('Unit Data from Audit Worksheet'!$D$2,'PY1 Data(H)'!$A$1:$CZ$1,0))</f>
        <v>#N/A</v>
      </c>
      <c r="F51" s="136">
        <v>0</v>
      </c>
      <c r="G51" s="295">
        <f>IF(F51&lt;0,"Note: Number is normally positive.",)</f>
        <v>0</v>
      </c>
      <c r="H51" s="296"/>
      <c r="I51" s="297"/>
      <c r="J51"/>
      <c r="L51"/>
      <c r="N51" s="137"/>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row>
    <row r="52" spans="1:122" ht="37.5" customHeight="1" x14ac:dyDescent="0.3">
      <c r="A52" s="66">
        <v>379</v>
      </c>
      <c r="B52" s="598" t="s">
        <v>24</v>
      </c>
      <c r="C52" s="598" t="s">
        <v>77</v>
      </c>
      <c r="D52" s="65" t="s">
        <v>60</v>
      </c>
      <c r="E52" s="265" t="e">
        <f>INDEX('PY1 Data(H)'!$A$1:$CZ$122,MATCH('Unit Data from Audit Worksheet'!$A52,'PY1 Data(H)'!$A$1:$A$122,0),MATCH('Unit Data from Audit Worksheet'!$D$2,'PY1 Data(H)'!$A$1:$CZ$1,0))</f>
        <v>#N/A</v>
      </c>
      <c r="F52" s="136">
        <v>0</v>
      </c>
      <c r="G52" s="295">
        <f>IF((F49+F50)&gt;F52,"Error: Please review account numbers (506+536)&gt;379",)</f>
        <v>0</v>
      </c>
      <c r="H52" s="15"/>
      <c r="I52" s="51"/>
      <c r="J52"/>
    </row>
    <row r="53" spans="1:122" ht="99.75" customHeight="1" x14ac:dyDescent="0.3">
      <c r="A53" s="66">
        <v>4</v>
      </c>
      <c r="B53" s="598" t="s">
        <v>21</v>
      </c>
      <c r="C53" s="598" t="s">
        <v>77</v>
      </c>
      <c r="D53" s="139" t="s">
        <v>357</v>
      </c>
      <c r="E53" s="265" t="e">
        <f>INDEX('PY1 Data(H)'!$A$1:$CZ$122,MATCH('Unit Data from Audit Worksheet'!$A53,'PY1 Data(H)'!$A$1:$A$122,0),MATCH('Unit Data from Audit Worksheet'!$D$2,'PY1 Data(H)'!$A$1:$CZ$1,0))</f>
        <v>#N/A</v>
      </c>
      <c r="F53" s="136">
        <v>0</v>
      </c>
      <c r="G53" s="295">
        <f t="shared" ref="G53:G57" si="1">IF(F53&lt;0,"Error: Enter as positive.",)</f>
        <v>0</v>
      </c>
      <c r="H53" s="15"/>
      <c r="I53" s="51"/>
      <c r="J53"/>
    </row>
    <row r="54" spans="1:122" ht="132" customHeight="1" x14ac:dyDescent="0.3">
      <c r="A54" s="66">
        <v>5</v>
      </c>
      <c r="B54" s="598" t="s">
        <v>21</v>
      </c>
      <c r="C54" s="598" t="s">
        <v>77</v>
      </c>
      <c r="D54" s="156" t="s">
        <v>358</v>
      </c>
      <c r="E54" s="265" t="e">
        <f>INDEX('PY1 Data(H)'!$A$1:$CZ$122,MATCH('Unit Data from Audit Worksheet'!$A54,'PY1 Data(H)'!$A$1:$A$122,0),MATCH('Unit Data from Audit Worksheet'!$D$2,'PY1 Data(H)'!$A$1:$CZ$1,0))</f>
        <v>#N/A</v>
      </c>
      <c r="F54" s="136">
        <v>0</v>
      </c>
      <c r="G54" s="295">
        <f t="shared" si="1"/>
        <v>0</v>
      </c>
      <c r="H54" s="15"/>
      <c r="I54" s="51"/>
      <c r="J54"/>
    </row>
    <row r="55" spans="1:122" ht="93.75" customHeight="1" x14ac:dyDescent="0.3">
      <c r="A55" s="66">
        <v>380</v>
      </c>
      <c r="B55" s="598" t="s">
        <v>24</v>
      </c>
      <c r="C55" s="598" t="s">
        <v>77</v>
      </c>
      <c r="D55" s="156" t="s">
        <v>359</v>
      </c>
      <c r="E55" s="265" t="e">
        <f>INDEX('PY1 Data(H)'!$A$1:$CZ$122,MATCH('Unit Data from Audit Worksheet'!$A55,'PY1 Data(H)'!$A$1:$A$122,0),MATCH('Unit Data from Audit Worksheet'!$D$2,'PY1 Data(H)'!$A$1:$CZ$1,0))</f>
        <v>#N/A</v>
      </c>
      <c r="F55" s="136">
        <v>0</v>
      </c>
      <c r="G55" s="295">
        <f t="shared" si="1"/>
        <v>0</v>
      </c>
      <c r="H55" s="15"/>
      <c r="I55" s="51"/>
      <c r="J55"/>
    </row>
    <row r="56" spans="1:122" ht="48.75" customHeight="1" x14ac:dyDescent="0.3">
      <c r="A56" s="66">
        <v>391</v>
      </c>
      <c r="B56" s="598" t="s">
        <v>27</v>
      </c>
      <c r="C56" s="598" t="s">
        <v>77</v>
      </c>
      <c r="D56" s="65" t="s">
        <v>75</v>
      </c>
      <c r="E56" s="265" t="e">
        <f>INDEX('PY1 Data(H)'!$A$1:$CZ$122,MATCH('Unit Data from Audit Worksheet'!$A56,'PY1 Data(H)'!$A$1:$A$122,0),MATCH('Unit Data from Audit Worksheet'!$D$2,'PY1 Data(H)'!$A$1:$CZ$1,0))</f>
        <v>#N/A</v>
      </c>
      <c r="F56" s="136">
        <v>0</v>
      </c>
      <c r="G56" s="295">
        <f t="shared" si="1"/>
        <v>0</v>
      </c>
      <c r="H56" s="15"/>
      <c r="I56" s="51"/>
      <c r="J56"/>
    </row>
    <row r="57" spans="1:122" ht="51.75" customHeight="1" x14ac:dyDescent="0.3">
      <c r="A57" s="66">
        <v>7</v>
      </c>
      <c r="B57" s="598" t="s">
        <v>27</v>
      </c>
      <c r="C57" s="598" t="s">
        <v>77</v>
      </c>
      <c r="D57" s="65" t="s">
        <v>76</v>
      </c>
      <c r="E57" s="265" t="e">
        <f>INDEX('PY1 Data(H)'!$A$1:$CZ$122,MATCH('Unit Data from Audit Worksheet'!$A57,'PY1 Data(H)'!$A$1:$A$122,0),MATCH('Unit Data from Audit Worksheet'!$D$2,'PY1 Data(H)'!$A$1:$CZ$1,0))</f>
        <v>#N/A</v>
      </c>
      <c r="F57" s="136">
        <v>0</v>
      </c>
      <c r="G57" s="295">
        <f t="shared" si="1"/>
        <v>0</v>
      </c>
      <c r="H57" s="15"/>
      <c r="I57" s="51"/>
      <c r="J57"/>
    </row>
    <row r="58" spans="1:122" ht="78.75" customHeight="1" x14ac:dyDescent="0.3">
      <c r="A58" s="140">
        <v>645</v>
      </c>
      <c r="B58" s="595" t="s">
        <v>236</v>
      </c>
      <c r="C58" s="595" t="s">
        <v>77</v>
      </c>
      <c r="D58" s="482" t="s">
        <v>250</v>
      </c>
      <c r="E58" s="265" t="e">
        <f>INDEX('PY1 Data(H)'!$A$1:$CZ$122,MATCH('Unit Data from Audit Worksheet'!$A58,'PY1 Data(H)'!$A$1:$A$122,0),MATCH('Unit Data from Audit Worksheet'!$D$2,'PY1 Data(H)'!$A$1:$CZ$1,0))</f>
        <v>#N/A</v>
      </c>
      <c r="F58" s="136">
        <v>0</v>
      </c>
      <c r="G58" s="295">
        <f>IF(F58&lt;0,"Note: Number is normally positive.",)</f>
        <v>0</v>
      </c>
      <c r="H58" s="296"/>
      <c r="I58" s="297"/>
      <c r="J58"/>
    </row>
    <row r="59" spans="1:122" ht="78.75" customHeight="1" x14ac:dyDescent="0.3">
      <c r="A59" s="140">
        <v>646</v>
      </c>
      <c r="B59" s="595" t="s">
        <v>236</v>
      </c>
      <c r="C59" s="595" t="s">
        <v>77</v>
      </c>
      <c r="D59" s="139" t="s">
        <v>237</v>
      </c>
      <c r="E59" s="265" t="e">
        <f>INDEX('PY1 Data(H)'!$A$1:$CZ$122,MATCH('Unit Data from Audit Worksheet'!$A59,'PY1 Data(H)'!$A$1:$A$122,0),MATCH('Unit Data from Audit Worksheet'!$D$2,'PY1 Data(H)'!$A$1:$CZ$1,0))</f>
        <v>#N/A</v>
      </c>
      <c r="F59" s="136">
        <v>0</v>
      </c>
      <c r="G59" s="295">
        <f>IF(F59&lt;0,"Note: Number is normally positive.",)</f>
        <v>0</v>
      </c>
      <c r="H59" s="296"/>
      <c r="I59" s="297"/>
      <c r="J59"/>
    </row>
    <row r="60" spans="1:122" ht="69.599999999999994" customHeight="1" x14ac:dyDescent="0.3">
      <c r="A60" s="66">
        <v>9</v>
      </c>
      <c r="B60" s="598" t="s">
        <v>24</v>
      </c>
      <c r="C60" s="598" t="s">
        <v>77</v>
      </c>
      <c r="D60" s="275" t="s">
        <v>360</v>
      </c>
      <c r="E60" s="265" t="e">
        <f>INDEX('PY1 Data(H)'!$A$1:$CZ$122,MATCH('Unit Data from Audit Worksheet'!$A60,'PY1 Data(H)'!$A$1:$A$122,0),MATCH('Unit Data from Audit Worksheet'!$D$2,'PY1 Data(H)'!$A$1:$CZ$1,0))</f>
        <v>#N/A</v>
      </c>
      <c r="F60" s="136">
        <v>0</v>
      </c>
      <c r="G60" s="295">
        <f>IF(F52-F53-F54-F55-F60=0,,"Error: Total assets less total liabilities do not equal total fund balance. Account numbers 379-4-5-380-9= 0  The amount of the formula is in the cell to the right")</f>
        <v>0</v>
      </c>
      <c r="H60" s="298">
        <f>F52-F53-F54-F55-F60</f>
        <v>0</v>
      </c>
      <c r="I60" s="51"/>
      <c r="J60"/>
    </row>
    <row r="61" spans="1:122" s="16" customFormat="1" ht="63.75" customHeight="1" x14ac:dyDescent="0.3">
      <c r="A61" s="66">
        <v>1052</v>
      </c>
      <c r="B61" s="642" t="s">
        <v>305</v>
      </c>
      <c r="C61" s="642" t="s">
        <v>80</v>
      </c>
      <c r="D61" s="643" t="s">
        <v>628</v>
      </c>
      <c r="E61" s="265" t="e">
        <f>INDEX('PY1 Data(H)'!$A$1:$CZ$122,MATCH('Unit Data from Audit Worksheet'!$A61,'PY1 Data(H)'!$A$1:$A$122,0),MATCH('Unit Data from Audit Worksheet'!$D$2,'PY1 Data(H)'!$A$1:$CZ$1,0))</f>
        <v>#N/A</v>
      </c>
      <c r="F61" s="136">
        <v>0</v>
      </c>
      <c r="G61" s="295"/>
      <c r="H61" s="296"/>
      <c r="I61" s="297"/>
      <c r="J61" s="129"/>
      <c r="L61" s="129"/>
      <c r="N61" s="137"/>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c r="CG61" s="129"/>
      <c r="CH61" s="129"/>
      <c r="CI61" s="129"/>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row>
    <row r="62" spans="1:122" ht="30" customHeight="1" x14ac:dyDescent="0.3">
      <c r="A62" s="66"/>
      <c r="B62" s="350" t="s">
        <v>79</v>
      </c>
      <c r="C62" s="597"/>
      <c r="D62" s="336"/>
      <c r="E62" s="337"/>
      <c r="F62" s="338"/>
      <c r="G62" s="339"/>
      <c r="H62" s="15"/>
      <c r="I62" s="51"/>
      <c r="J62"/>
    </row>
    <row r="63" spans="1:122" ht="57.75" customHeight="1" x14ac:dyDescent="0.3">
      <c r="A63" s="66">
        <v>16</v>
      </c>
      <c r="B63" s="3" t="s">
        <v>25</v>
      </c>
      <c r="C63" s="3" t="s">
        <v>80</v>
      </c>
      <c r="D63" s="65" t="s">
        <v>78</v>
      </c>
      <c r="E63" s="265" t="e">
        <f>INDEX('PY1 Data(H)'!$A$1:$CZ$122,MATCH('Unit Data from Audit Worksheet'!$A63,'PY1 Data(H)'!$A$1:$A$122,0),MATCH('Unit Data from Audit Worksheet'!$D$2,'PY1 Data(H)'!$A$1:$CZ$1,0))</f>
        <v>#N/A</v>
      </c>
      <c r="F63" s="136">
        <v>0</v>
      </c>
      <c r="G63" s="295"/>
      <c r="H63" s="15"/>
      <c r="I63" s="51"/>
      <c r="J63"/>
    </row>
    <row r="64" spans="1:122" ht="69.75" customHeight="1" x14ac:dyDescent="0.3">
      <c r="A64" s="66">
        <v>532</v>
      </c>
      <c r="B64" s="3" t="s">
        <v>21</v>
      </c>
      <c r="C64" s="3" t="s">
        <v>80</v>
      </c>
      <c r="D64" s="271" t="s">
        <v>361</v>
      </c>
      <c r="E64" s="265" t="e">
        <f>INDEX('PY1 Data(H)'!$A$1:$CZ$122,MATCH('Unit Data from Audit Worksheet'!$A64,'PY1 Data(H)'!$A$1:$A$122,0),MATCH('Unit Data from Audit Worksheet'!$D$2,'PY1 Data(H)'!$A$1:$CZ$1,0))</f>
        <v>#N/A</v>
      </c>
      <c r="F64" s="136">
        <v>0</v>
      </c>
      <c r="G64" s="295">
        <f>IF(F64&lt;0,"Error: Enter as positive.",)</f>
        <v>0</v>
      </c>
      <c r="H64" s="15"/>
      <c r="I64" s="51"/>
      <c r="J64"/>
    </row>
    <row r="65" spans="1:1880" ht="54" customHeight="1" x14ac:dyDescent="0.3">
      <c r="A65" s="66">
        <v>17</v>
      </c>
      <c r="B65" s="3" t="s">
        <v>24</v>
      </c>
      <c r="C65" s="3" t="s">
        <v>80</v>
      </c>
      <c r="D65" s="65" t="s">
        <v>362</v>
      </c>
      <c r="E65" s="265" t="e">
        <f>INDEX('PY1 Data(H)'!$A$1:$CZ$122,MATCH('Unit Data from Audit Worksheet'!$A65,'PY1 Data(H)'!$A$1:$A$122,0),MATCH('Unit Data from Audit Worksheet'!$D$2,'PY1 Data(H)'!$A$1:$CZ$1,0))</f>
        <v>#N/A</v>
      </c>
      <c r="F65" s="136">
        <v>0</v>
      </c>
      <c r="G65" s="295"/>
      <c r="H65" s="15"/>
      <c r="I65" s="51"/>
      <c r="J65"/>
    </row>
    <row r="66" spans="1:1880" ht="58.5" customHeight="1" x14ac:dyDescent="0.3">
      <c r="A66" s="66">
        <v>20</v>
      </c>
      <c r="B66" s="3" t="s">
        <v>21</v>
      </c>
      <c r="C66" s="3" t="s">
        <v>80</v>
      </c>
      <c r="D66" s="65" t="s">
        <v>363</v>
      </c>
      <c r="E66" s="265" t="e">
        <f>INDEX('PY1 Data(H)'!$A$1:$CZ$122,MATCH('Unit Data from Audit Worksheet'!$A66,'PY1 Data(H)'!$A$1:$A$122,0),MATCH('Unit Data from Audit Worksheet'!$D$2,'PY1 Data(H)'!$A$1:$CZ$1,0))</f>
        <v>#N/A</v>
      </c>
      <c r="F66" s="136">
        <v>0</v>
      </c>
      <c r="G66" s="295">
        <f>IF(F66&lt;0,"Error: Enter as positive.",)</f>
        <v>0</v>
      </c>
      <c r="H66" s="15"/>
      <c r="I66" s="51"/>
      <c r="J66"/>
    </row>
    <row r="67" spans="1:1880" ht="54" customHeight="1" x14ac:dyDescent="0.3">
      <c r="A67" s="66">
        <v>533</v>
      </c>
      <c r="B67" s="3" t="s">
        <v>21</v>
      </c>
      <c r="C67" s="3" t="s">
        <v>80</v>
      </c>
      <c r="D67" s="271" t="s">
        <v>364</v>
      </c>
      <c r="E67" s="265" t="e">
        <f>INDEX('PY1 Data(H)'!$A$1:$CZ$122,MATCH('Unit Data from Audit Worksheet'!$A67,'PY1 Data(H)'!$A$1:$A$122,0),MATCH('Unit Data from Audit Worksheet'!$D$2,'PY1 Data(H)'!$A$1:$CZ$1,0))</f>
        <v>#N/A</v>
      </c>
      <c r="F67" s="136">
        <v>0</v>
      </c>
      <c r="G67" s="302"/>
      <c r="H67" s="15"/>
      <c r="I67" s="51"/>
      <c r="J67"/>
    </row>
    <row r="68" spans="1:1880" ht="69" customHeight="1" x14ac:dyDescent="0.3">
      <c r="A68" s="66">
        <v>22</v>
      </c>
      <c r="B68" s="3" t="s">
        <v>24</v>
      </c>
      <c r="C68" s="3" t="s">
        <v>80</v>
      </c>
      <c r="D68" s="65" t="s">
        <v>189</v>
      </c>
      <c r="E68" s="265" t="e">
        <f>INDEX('PY1 Data(H)'!$A$1:$CZ$122,MATCH('Unit Data from Audit Worksheet'!$A68,'PY1 Data(H)'!$A$1:$A$122,0),MATCH('Unit Data from Audit Worksheet'!$D$2,'PY1 Data(H)'!$A$1:$CZ$1,0))</f>
        <v>#N/A</v>
      </c>
      <c r="F68" s="136">
        <v>0</v>
      </c>
      <c r="G68" s="302"/>
      <c r="H68" s="15"/>
      <c r="I68" s="51"/>
      <c r="J68"/>
    </row>
    <row r="69" spans="1:1880" ht="138" customHeight="1" x14ac:dyDescent="0.3">
      <c r="A69" s="66">
        <v>23</v>
      </c>
      <c r="B69" s="3" t="s">
        <v>24</v>
      </c>
      <c r="C69" s="3" t="s">
        <v>80</v>
      </c>
      <c r="D69" s="275" t="s">
        <v>365</v>
      </c>
      <c r="E69" s="265" t="e">
        <f>INDEX('PY1 Data(H)'!$A$1:$CZ$122,MATCH('Unit Data from Audit Worksheet'!$A69,'PY1 Data(H)'!$A$1:$A$122,0),MATCH('Unit Data from Audit Worksheet'!$D$2,'PY1 Data(H)'!$A$1:$CZ$1,0))</f>
        <v>#N/A</v>
      </c>
      <c r="F69" s="136">
        <v>0</v>
      </c>
      <c r="G69" s="295">
        <f>IF(H69=0,,"Error: Total revenues less total expenditures do not equal total change in fund balance.  Account numbers 16-532+17-20+533+22-23=0  The amount of the formula is located in the cell to the right")</f>
        <v>0</v>
      </c>
      <c r="H69" s="298">
        <f>+F63-F64+F65-F66+F67+F68-F69</f>
        <v>0</v>
      </c>
      <c r="I69" s="51"/>
      <c r="J69"/>
    </row>
    <row r="70" spans="1:1880" ht="138" customHeight="1" x14ac:dyDescent="0.3">
      <c r="A70" s="66">
        <v>507</v>
      </c>
      <c r="B70" s="266" t="s">
        <v>24</v>
      </c>
      <c r="C70" s="266" t="s">
        <v>80</v>
      </c>
      <c r="D70" s="275" t="s">
        <v>366</v>
      </c>
      <c r="E70" s="265" t="e">
        <f>INDEX('PY1 Data(H)'!$A$1:$CZ$122,MATCH('Unit Data from Audit Worksheet'!$A70,'PY1 Data(H)'!$A$1:$A$122,0),MATCH('Unit Data from Audit Worksheet'!$D$2,'PY1 Data(H)'!$A$1:$CZ$1,0))</f>
        <v>#N/A</v>
      </c>
      <c r="F70" s="136">
        <v>0</v>
      </c>
      <c r="G70" s="295" t="e">
        <f>IF(F60-F69-F70=E60,,"Error: Beginning Balance does not agree with our records.  (Acct# 9-23-507)= Prior Years Acct # 9 The amount of the formula is in the cell to the right")</f>
        <v>#N/A</v>
      </c>
      <c r="H70" s="645" t="e">
        <f>+F60-F69-F70-E60</f>
        <v>#N/A</v>
      </c>
      <c r="I70" s="688" t="e">
        <f>IF(H70=0," ","If the out of balance is because prior years data is not populated in cell E60, disregard the error message. Do not include prior year's ending balance in cell F70.")</f>
        <v>#N/A</v>
      </c>
      <c r="J70"/>
    </row>
    <row r="71" spans="1:1880" x14ac:dyDescent="0.3">
      <c r="A71" s="66"/>
      <c r="B71" s="596" t="s">
        <v>29</v>
      </c>
      <c r="C71" s="597"/>
      <c r="D71" s="335"/>
      <c r="E71" s="335"/>
      <c r="F71" s="353"/>
      <c r="G71" s="349"/>
      <c r="H71" s="15"/>
      <c r="I71" s="51"/>
      <c r="J71"/>
    </row>
    <row r="72" spans="1:1880" ht="105.6" customHeight="1" x14ac:dyDescent="0.3">
      <c r="A72" s="66">
        <v>512</v>
      </c>
      <c r="B72" s="191"/>
      <c r="C72" s="333" t="s">
        <v>81</v>
      </c>
      <c r="D72" s="18" t="s">
        <v>367</v>
      </c>
      <c r="E72" s="265" t="e">
        <f>INDEX('PY1 Data(H)'!$A$1:$CZ$122,MATCH('Unit Data from Audit Worksheet'!$A72,'PY1 Data(H)'!$A$1:$A$122,0),MATCH('Unit Data from Audit Worksheet'!$D$2,'PY1 Data(H)'!$A$1:$CZ$1,0))</f>
        <v>#N/A</v>
      </c>
      <c r="F72" s="135">
        <v>0</v>
      </c>
      <c r="G72" s="295">
        <f>IF(F72&lt;0,"Error: Enter as positive.",)</f>
        <v>0</v>
      </c>
      <c r="H72" s="15"/>
      <c r="I72" s="51"/>
      <c r="J72"/>
    </row>
    <row r="73" spans="1:1880" s="307" customFormat="1" ht="33" customHeight="1" x14ac:dyDescent="0.3">
      <c r="A73" s="66"/>
      <c r="B73" s="622" t="s">
        <v>232</v>
      </c>
      <c r="C73" s="599"/>
      <c r="D73" s="59"/>
      <c r="E73" s="306"/>
      <c r="F73" s="303"/>
      <c r="G73" s="294"/>
      <c r="H73" s="15"/>
      <c r="I73" s="305"/>
      <c r="J73"/>
      <c r="K73" s="16"/>
      <c r="L73"/>
      <c r="M73" s="16"/>
      <c r="N73" s="137"/>
      <c r="O73" s="16"/>
      <c r="P73" s="16"/>
      <c r="Q73" s="16"/>
      <c r="R73" s="16"/>
      <c r="S73" s="16"/>
      <c r="T73" s="16"/>
      <c r="U73" s="16"/>
      <c r="V73" s="16"/>
      <c r="W73" s="16"/>
      <c r="X73" s="16"/>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c r="AMF73" s="16"/>
      <c r="AMG73" s="16"/>
      <c r="AMH73" s="16"/>
      <c r="AMI73" s="16"/>
      <c r="AMJ73" s="16"/>
      <c r="AMK73" s="16"/>
      <c r="AML73" s="16"/>
      <c r="AMM73" s="16"/>
      <c r="AMN73" s="16"/>
      <c r="AMO73" s="16"/>
      <c r="AMP73" s="16"/>
      <c r="AMQ73" s="16"/>
      <c r="AMR73" s="16"/>
      <c r="AMS73" s="16"/>
      <c r="AMT73" s="16"/>
      <c r="AMU73" s="16"/>
      <c r="AMV73" s="16"/>
      <c r="AMW73" s="16"/>
      <c r="AMX73" s="16"/>
      <c r="AMY73" s="16"/>
      <c r="AMZ73" s="16"/>
      <c r="ANA73" s="16"/>
      <c r="ANB73" s="16"/>
      <c r="ANC73" s="16"/>
      <c r="AND73" s="16"/>
      <c r="ANE73" s="16"/>
      <c r="ANF73" s="16"/>
      <c r="ANG73" s="16"/>
      <c r="ANH73" s="16"/>
      <c r="ANI73" s="16"/>
      <c r="ANJ73" s="16"/>
      <c r="ANK73" s="16"/>
      <c r="ANL73" s="16"/>
      <c r="ANM73" s="16"/>
      <c r="ANN73" s="16"/>
      <c r="ANO73" s="16"/>
      <c r="ANP73" s="16"/>
      <c r="ANQ73" s="16"/>
      <c r="ANR73" s="16"/>
      <c r="ANS73" s="16"/>
      <c r="ANT73" s="16"/>
      <c r="ANU73" s="16"/>
      <c r="ANV73" s="16"/>
      <c r="ANW73" s="16"/>
      <c r="ANX73" s="16"/>
      <c r="ANY73" s="16"/>
      <c r="ANZ73" s="16"/>
      <c r="AOA73" s="16"/>
      <c r="AOB73" s="16"/>
      <c r="AOC73" s="16"/>
      <c r="AOD73" s="16"/>
      <c r="AOE73" s="16"/>
      <c r="AOF73" s="16"/>
      <c r="AOG73" s="16"/>
      <c r="AOH73" s="16"/>
      <c r="AOI73" s="16"/>
      <c r="AOJ73" s="16"/>
      <c r="AOK73" s="16"/>
      <c r="AOL73" s="16"/>
      <c r="AOM73" s="16"/>
      <c r="AON73" s="16"/>
      <c r="AOO73" s="16"/>
      <c r="AOP73" s="16"/>
      <c r="AOQ73" s="16"/>
      <c r="AOR73" s="16"/>
      <c r="AOS73" s="16"/>
      <c r="AOT73" s="16"/>
      <c r="AOU73" s="16"/>
      <c r="AOV73" s="16"/>
      <c r="AOW73" s="16"/>
      <c r="AOX73" s="16"/>
      <c r="AOY73" s="16"/>
      <c r="AOZ73" s="16"/>
      <c r="APA73" s="16"/>
      <c r="APB73" s="16"/>
      <c r="APC73" s="16"/>
      <c r="APD73" s="16"/>
      <c r="APE73" s="16"/>
      <c r="APF73" s="16"/>
      <c r="APG73" s="16"/>
      <c r="APH73" s="16"/>
      <c r="API73" s="16"/>
      <c r="APJ73" s="16"/>
      <c r="APK73" s="16"/>
      <c r="APL73" s="16"/>
      <c r="APM73" s="16"/>
      <c r="APN73" s="16"/>
      <c r="APO73" s="16"/>
      <c r="APP73" s="16"/>
      <c r="APQ73" s="16"/>
      <c r="APR73" s="16"/>
      <c r="APS73" s="16"/>
      <c r="APT73" s="16"/>
      <c r="APU73" s="16"/>
      <c r="APV73" s="16"/>
      <c r="APW73" s="16"/>
      <c r="APX73" s="16"/>
      <c r="APY73" s="16"/>
      <c r="APZ73" s="16"/>
      <c r="AQA73" s="16"/>
      <c r="AQB73" s="16"/>
      <c r="AQC73" s="16"/>
      <c r="AQD73" s="16"/>
      <c r="AQE73" s="16"/>
      <c r="AQF73" s="16"/>
      <c r="AQG73" s="16"/>
      <c r="AQH73" s="16"/>
      <c r="AQI73" s="16"/>
      <c r="AQJ73" s="16"/>
      <c r="AQK73" s="16"/>
      <c r="AQL73" s="16"/>
      <c r="AQM73" s="16"/>
      <c r="AQN73" s="16"/>
      <c r="AQO73" s="16"/>
      <c r="AQP73" s="16"/>
      <c r="AQQ73" s="16"/>
      <c r="AQR73" s="16"/>
      <c r="AQS73" s="16"/>
      <c r="AQT73" s="16"/>
      <c r="AQU73" s="16"/>
      <c r="AQV73" s="16"/>
      <c r="AQW73" s="16"/>
      <c r="AQX73" s="16"/>
      <c r="AQY73" s="16"/>
      <c r="AQZ73" s="16"/>
      <c r="ARA73" s="16"/>
      <c r="ARB73" s="16"/>
      <c r="ARC73" s="16"/>
      <c r="ARD73" s="16"/>
      <c r="ARE73" s="16"/>
      <c r="ARF73" s="16"/>
      <c r="ARG73" s="16"/>
      <c r="ARH73" s="16"/>
      <c r="ARI73" s="16"/>
      <c r="ARJ73" s="16"/>
      <c r="ARK73" s="16"/>
      <c r="ARL73" s="16"/>
      <c r="ARM73" s="16"/>
      <c r="ARN73" s="16"/>
      <c r="ARO73" s="16"/>
      <c r="ARP73" s="16"/>
      <c r="ARQ73" s="16"/>
      <c r="ARR73" s="16"/>
      <c r="ARS73" s="16"/>
      <c r="ART73" s="16"/>
      <c r="ARU73" s="16"/>
      <c r="ARV73" s="16"/>
      <c r="ARW73" s="16"/>
      <c r="ARX73" s="16"/>
      <c r="ARY73" s="16"/>
      <c r="ARZ73" s="16"/>
      <c r="ASA73" s="16"/>
      <c r="ASB73" s="16"/>
      <c r="ASC73" s="16"/>
      <c r="ASD73" s="16"/>
      <c r="ASE73" s="16"/>
      <c r="ASF73" s="16"/>
      <c r="ASG73" s="16"/>
      <c r="ASH73" s="16"/>
      <c r="ASI73" s="16"/>
      <c r="ASJ73" s="16"/>
      <c r="ASK73" s="16"/>
      <c r="ASL73" s="16"/>
      <c r="ASM73" s="16"/>
      <c r="ASN73" s="16"/>
      <c r="ASO73" s="16"/>
      <c r="ASP73" s="16"/>
      <c r="ASQ73" s="16"/>
      <c r="ASR73" s="16"/>
      <c r="ASS73" s="16"/>
      <c r="AST73" s="16"/>
      <c r="ASU73" s="16"/>
      <c r="ASV73" s="16"/>
      <c r="ASW73" s="16"/>
      <c r="ASX73" s="16"/>
      <c r="ASY73" s="16"/>
      <c r="ASZ73" s="16"/>
      <c r="ATA73" s="16"/>
      <c r="ATB73" s="16"/>
      <c r="ATC73" s="16"/>
      <c r="ATD73" s="16"/>
      <c r="ATE73" s="16"/>
      <c r="ATF73" s="16"/>
      <c r="ATG73" s="16"/>
      <c r="ATH73" s="16"/>
      <c r="ATI73" s="16"/>
      <c r="ATJ73" s="16"/>
      <c r="ATK73" s="16"/>
      <c r="ATL73" s="16"/>
      <c r="ATM73" s="16"/>
      <c r="ATN73" s="16"/>
      <c r="ATO73" s="16"/>
      <c r="ATP73" s="16"/>
      <c r="ATQ73" s="16"/>
      <c r="ATR73" s="16"/>
      <c r="ATS73" s="16"/>
      <c r="ATT73" s="16"/>
      <c r="ATU73" s="16"/>
      <c r="ATV73" s="16"/>
      <c r="ATW73" s="16"/>
      <c r="ATX73" s="16"/>
      <c r="ATY73" s="16"/>
      <c r="ATZ73" s="16"/>
      <c r="AUA73" s="16"/>
      <c r="AUB73" s="16"/>
      <c r="AUC73" s="16"/>
      <c r="AUD73" s="16"/>
      <c r="AUE73" s="16"/>
      <c r="AUF73" s="16"/>
      <c r="AUG73" s="16"/>
      <c r="AUH73" s="16"/>
      <c r="AUI73" s="16"/>
      <c r="AUJ73" s="16"/>
      <c r="AUK73" s="16"/>
      <c r="AUL73" s="16"/>
      <c r="AUM73" s="16"/>
      <c r="AUN73" s="16"/>
      <c r="AUO73" s="16"/>
      <c r="AUP73" s="16"/>
      <c r="AUQ73" s="16"/>
      <c r="AUR73" s="16"/>
      <c r="AUS73" s="16"/>
      <c r="AUT73" s="16"/>
      <c r="AUU73" s="16"/>
      <c r="AUV73" s="16"/>
      <c r="AUW73" s="16"/>
      <c r="AUX73" s="16"/>
      <c r="AUY73" s="16"/>
      <c r="AUZ73" s="16"/>
      <c r="AVA73" s="16"/>
      <c r="AVB73" s="16"/>
      <c r="AVC73" s="16"/>
      <c r="AVD73" s="16"/>
      <c r="AVE73" s="16"/>
      <c r="AVF73" s="16"/>
      <c r="AVG73" s="16"/>
      <c r="AVH73" s="16"/>
      <c r="AVI73" s="16"/>
      <c r="AVJ73" s="16"/>
      <c r="AVK73" s="16"/>
      <c r="AVL73" s="16"/>
      <c r="AVM73" s="16"/>
      <c r="AVN73" s="16"/>
      <c r="AVO73" s="16"/>
      <c r="AVP73" s="16"/>
      <c r="AVQ73" s="16"/>
      <c r="AVR73" s="16"/>
      <c r="AVS73" s="16"/>
      <c r="AVT73" s="16"/>
      <c r="AVU73" s="16"/>
      <c r="AVV73" s="16"/>
      <c r="AVW73" s="16"/>
      <c r="AVX73" s="16"/>
      <c r="AVY73" s="16"/>
      <c r="AVZ73" s="16"/>
      <c r="AWA73" s="16"/>
      <c r="AWB73" s="16"/>
      <c r="AWC73" s="16"/>
      <c r="AWD73" s="16"/>
      <c r="AWE73" s="16"/>
      <c r="AWF73" s="16"/>
      <c r="AWG73" s="16"/>
      <c r="AWH73" s="16"/>
      <c r="AWI73" s="16"/>
      <c r="AWJ73" s="16"/>
      <c r="AWK73" s="16"/>
      <c r="AWL73" s="16"/>
      <c r="AWM73" s="16"/>
      <c r="AWN73" s="16"/>
      <c r="AWO73" s="16"/>
      <c r="AWP73" s="16"/>
      <c r="AWQ73" s="16"/>
      <c r="AWR73" s="16"/>
      <c r="AWS73" s="16"/>
      <c r="AWT73" s="16"/>
      <c r="AWU73" s="16"/>
      <c r="AWV73" s="16"/>
      <c r="AWW73" s="16"/>
      <c r="AWX73" s="16"/>
      <c r="AWY73" s="16"/>
      <c r="AWZ73" s="16"/>
      <c r="AXA73" s="16"/>
      <c r="AXB73" s="16"/>
      <c r="AXC73" s="16"/>
      <c r="AXD73" s="16"/>
      <c r="AXE73" s="16"/>
      <c r="AXF73" s="16"/>
      <c r="AXG73" s="16"/>
      <c r="AXH73" s="16"/>
      <c r="AXI73" s="16"/>
      <c r="AXJ73" s="16"/>
      <c r="AXK73" s="16"/>
      <c r="AXL73" s="16"/>
      <c r="AXM73" s="16"/>
      <c r="AXN73" s="16"/>
      <c r="AXO73" s="16"/>
      <c r="AXP73" s="16"/>
      <c r="AXQ73" s="16"/>
      <c r="AXR73" s="16"/>
      <c r="AXS73" s="16"/>
      <c r="AXT73" s="16"/>
      <c r="AXU73" s="16"/>
      <c r="AXV73" s="16"/>
      <c r="AXW73" s="16"/>
      <c r="AXX73" s="16"/>
      <c r="AXY73" s="16"/>
      <c r="AXZ73" s="16"/>
      <c r="AYA73" s="16"/>
      <c r="AYB73" s="16"/>
      <c r="AYC73" s="16"/>
      <c r="AYD73" s="16"/>
      <c r="AYE73" s="16"/>
      <c r="AYF73" s="16"/>
      <c r="AYG73" s="16"/>
      <c r="AYH73" s="16"/>
      <c r="AYI73" s="16"/>
      <c r="AYJ73" s="16"/>
      <c r="AYK73" s="16"/>
      <c r="AYL73" s="16"/>
      <c r="AYM73" s="16"/>
      <c r="AYN73" s="16"/>
      <c r="AYO73" s="16"/>
      <c r="AYP73" s="16"/>
      <c r="AYQ73" s="16"/>
      <c r="AYR73" s="16"/>
      <c r="AYS73" s="16"/>
      <c r="AYT73" s="16"/>
      <c r="AYU73" s="16"/>
      <c r="AYV73" s="16"/>
      <c r="AYW73" s="16"/>
      <c r="AYX73" s="16"/>
      <c r="AYY73" s="16"/>
      <c r="AYZ73" s="16"/>
      <c r="AZA73" s="16"/>
      <c r="AZB73" s="16"/>
      <c r="AZC73" s="16"/>
      <c r="AZD73" s="16"/>
      <c r="AZE73" s="16"/>
      <c r="AZF73" s="16"/>
      <c r="AZG73" s="16"/>
      <c r="AZH73" s="16"/>
      <c r="AZI73" s="16"/>
      <c r="AZJ73" s="16"/>
      <c r="AZK73" s="16"/>
      <c r="AZL73" s="16"/>
      <c r="AZM73" s="16"/>
      <c r="AZN73" s="16"/>
      <c r="AZO73" s="16"/>
      <c r="AZP73" s="16"/>
      <c r="AZQ73" s="16"/>
      <c r="AZR73" s="16"/>
      <c r="AZS73" s="16"/>
      <c r="AZT73" s="16"/>
      <c r="AZU73" s="16"/>
      <c r="AZV73" s="16"/>
      <c r="AZW73" s="16"/>
      <c r="AZX73" s="16"/>
      <c r="AZY73" s="16"/>
      <c r="AZZ73" s="16"/>
      <c r="BAA73" s="16"/>
      <c r="BAB73" s="16"/>
      <c r="BAC73" s="16"/>
      <c r="BAD73" s="16"/>
      <c r="BAE73" s="16"/>
      <c r="BAF73" s="16"/>
      <c r="BAG73" s="16"/>
      <c r="BAH73" s="16"/>
      <c r="BAI73" s="16"/>
      <c r="BAJ73" s="16"/>
      <c r="BAK73" s="16"/>
      <c r="BAL73" s="16"/>
      <c r="BAM73" s="16"/>
      <c r="BAN73" s="16"/>
      <c r="BAO73" s="16"/>
      <c r="BAP73" s="16"/>
      <c r="BAQ73" s="16"/>
      <c r="BAR73" s="16"/>
      <c r="BAS73" s="16"/>
      <c r="BAT73" s="16"/>
      <c r="BAU73" s="16"/>
      <c r="BAV73" s="16"/>
      <c r="BAW73" s="16"/>
      <c r="BAX73" s="16"/>
      <c r="BAY73" s="16"/>
      <c r="BAZ73" s="16"/>
      <c r="BBA73" s="16"/>
      <c r="BBB73" s="16"/>
      <c r="BBC73" s="16"/>
      <c r="BBD73" s="16"/>
      <c r="BBE73" s="16"/>
      <c r="BBF73" s="16"/>
      <c r="BBG73" s="16"/>
      <c r="BBH73" s="16"/>
      <c r="BBI73" s="16"/>
      <c r="BBJ73" s="16"/>
      <c r="BBK73" s="16"/>
      <c r="BBL73" s="16"/>
      <c r="BBM73" s="16"/>
      <c r="BBN73" s="16"/>
      <c r="BBO73" s="16"/>
      <c r="BBP73" s="16"/>
      <c r="BBQ73" s="16"/>
      <c r="BBR73" s="16"/>
      <c r="BBS73" s="16"/>
      <c r="BBT73" s="16"/>
      <c r="BBU73" s="16"/>
      <c r="BBV73" s="16"/>
      <c r="BBW73" s="16"/>
      <c r="BBX73" s="16"/>
      <c r="BBY73" s="16"/>
      <c r="BBZ73" s="16"/>
      <c r="BCA73" s="16"/>
      <c r="BCB73" s="16"/>
      <c r="BCC73" s="16"/>
      <c r="BCD73" s="16"/>
      <c r="BCE73" s="16"/>
      <c r="BCF73" s="16"/>
      <c r="BCG73" s="16"/>
      <c r="BCH73" s="16"/>
      <c r="BCI73" s="16"/>
      <c r="BCJ73" s="16"/>
      <c r="BCK73" s="16"/>
      <c r="BCL73" s="16"/>
      <c r="BCM73" s="16"/>
      <c r="BCN73" s="16"/>
      <c r="BCO73" s="16"/>
      <c r="BCP73" s="16"/>
      <c r="BCQ73" s="16"/>
      <c r="BCR73" s="16"/>
      <c r="BCS73" s="16"/>
      <c r="BCT73" s="16"/>
      <c r="BCU73" s="16"/>
      <c r="BCV73" s="16"/>
      <c r="BCW73" s="16"/>
      <c r="BCX73" s="16"/>
      <c r="BCY73" s="16"/>
      <c r="BCZ73" s="16"/>
      <c r="BDA73" s="16"/>
      <c r="BDB73" s="16"/>
      <c r="BDC73" s="16"/>
      <c r="BDD73" s="16"/>
      <c r="BDE73" s="16"/>
      <c r="BDF73" s="16"/>
      <c r="BDG73" s="16"/>
      <c r="BDH73" s="16"/>
      <c r="BDI73" s="16"/>
      <c r="BDJ73" s="16"/>
      <c r="BDK73" s="16"/>
      <c r="BDL73" s="16"/>
      <c r="BDM73" s="16"/>
      <c r="BDN73" s="16"/>
      <c r="BDO73" s="16"/>
      <c r="BDP73" s="16"/>
      <c r="BDQ73" s="16"/>
      <c r="BDR73" s="16"/>
      <c r="BDS73" s="16"/>
      <c r="BDT73" s="16"/>
      <c r="BDU73" s="16"/>
      <c r="BDV73" s="16"/>
      <c r="BDW73" s="16"/>
      <c r="BDX73" s="16"/>
      <c r="BDY73" s="16"/>
      <c r="BDZ73" s="16"/>
      <c r="BEA73" s="16"/>
      <c r="BEB73" s="16"/>
      <c r="BEC73" s="16"/>
      <c r="BED73" s="16"/>
      <c r="BEE73" s="16"/>
      <c r="BEF73" s="16"/>
      <c r="BEG73" s="16"/>
      <c r="BEH73" s="16"/>
      <c r="BEI73" s="16"/>
      <c r="BEJ73" s="16"/>
      <c r="BEK73" s="16"/>
      <c r="BEL73" s="16"/>
      <c r="BEM73" s="16"/>
      <c r="BEN73" s="16"/>
      <c r="BEO73" s="16"/>
      <c r="BEP73" s="16"/>
      <c r="BEQ73" s="16"/>
      <c r="BER73" s="16"/>
      <c r="BES73" s="16"/>
      <c r="BET73" s="16"/>
      <c r="BEU73" s="16"/>
      <c r="BEV73" s="16"/>
      <c r="BEW73" s="16"/>
      <c r="BEX73" s="16"/>
      <c r="BEY73" s="16"/>
      <c r="BEZ73" s="16"/>
      <c r="BFA73" s="16"/>
      <c r="BFB73" s="16"/>
      <c r="BFC73" s="16"/>
      <c r="BFD73" s="16"/>
      <c r="BFE73" s="16"/>
      <c r="BFF73" s="16"/>
      <c r="BFG73" s="16"/>
      <c r="BFH73" s="16"/>
      <c r="BFI73" s="16"/>
      <c r="BFJ73" s="16"/>
      <c r="BFK73" s="16"/>
      <c r="BFL73" s="16"/>
      <c r="BFM73" s="16"/>
      <c r="BFN73" s="16"/>
      <c r="BFO73" s="16"/>
      <c r="BFP73" s="16"/>
      <c r="BFQ73" s="16"/>
      <c r="BFR73" s="16"/>
      <c r="BFS73" s="16"/>
      <c r="BFT73" s="16"/>
      <c r="BFU73" s="16"/>
      <c r="BFV73" s="16"/>
      <c r="BFW73" s="16"/>
      <c r="BFX73" s="16"/>
      <c r="BFY73" s="16"/>
      <c r="BFZ73" s="16"/>
      <c r="BGA73" s="16"/>
      <c r="BGB73" s="16"/>
      <c r="BGC73" s="16"/>
      <c r="BGD73" s="16"/>
      <c r="BGE73" s="16"/>
      <c r="BGF73" s="16"/>
      <c r="BGG73" s="16"/>
      <c r="BGH73" s="16"/>
      <c r="BGI73" s="16"/>
      <c r="BGJ73" s="16"/>
      <c r="BGK73" s="16"/>
      <c r="BGL73" s="16"/>
      <c r="BGM73" s="16"/>
      <c r="BGN73" s="16"/>
      <c r="BGO73" s="16"/>
      <c r="BGP73" s="16"/>
      <c r="BGQ73" s="16"/>
      <c r="BGR73" s="16"/>
      <c r="BGS73" s="16"/>
      <c r="BGT73" s="16"/>
      <c r="BGU73" s="16"/>
      <c r="BGV73" s="16"/>
      <c r="BGW73" s="16"/>
      <c r="BGX73" s="16"/>
      <c r="BGY73" s="16"/>
      <c r="BGZ73" s="16"/>
      <c r="BHA73" s="16"/>
      <c r="BHB73" s="16"/>
      <c r="BHC73" s="16"/>
      <c r="BHD73" s="16"/>
      <c r="BHE73" s="16"/>
      <c r="BHF73" s="16"/>
      <c r="BHG73" s="16"/>
      <c r="BHH73" s="16"/>
      <c r="BHI73" s="16"/>
      <c r="BHJ73" s="16"/>
      <c r="BHK73" s="16"/>
      <c r="BHL73" s="16"/>
      <c r="BHM73" s="16"/>
      <c r="BHN73" s="16"/>
      <c r="BHO73" s="16"/>
      <c r="BHP73" s="16"/>
      <c r="BHQ73" s="16"/>
      <c r="BHR73" s="16"/>
      <c r="BHS73" s="16"/>
      <c r="BHT73" s="16"/>
      <c r="BHU73" s="16"/>
      <c r="BHV73" s="16"/>
      <c r="BHW73" s="16"/>
      <c r="BHX73" s="16"/>
      <c r="BHY73" s="16"/>
      <c r="BHZ73" s="16"/>
      <c r="BIA73" s="16"/>
      <c r="BIB73" s="16"/>
      <c r="BIC73" s="16"/>
      <c r="BID73" s="16"/>
      <c r="BIE73" s="16"/>
      <c r="BIF73" s="16"/>
      <c r="BIG73" s="16"/>
      <c r="BIH73" s="16"/>
      <c r="BII73" s="16"/>
      <c r="BIJ73" s="16"/>
      <c r="BIK73" s="16"/>
      <c r="BIL73" s="16"/>
      <c r="BIM73" s="16"/>
      <c r="BIN73" s="16"/>
      <c r="BIO73" s="16"/>
      <c r="BIP73" s="16"/>
      <c r="BIQ73" s="16"/>
      <c r="BIR73" s="16"/>
      <c r="BIS73" s="16"/>
      <c r="BIT73" s="16"/>
      <c r="BIU73" s="16"/>
      <c r="BIV73" s="16"/>
      <c r="BIW73" s="16"/>
      <c r="BIX73" s="16"/>
      <c r="BIY73" s="16"/>
      <c r="BIZ73" s="16"/>
      <c r="BJA73" s="16"/>
      <c r="BJB73" s="16"/>
      <c r="BJC73" s="16"/>
      <c r="BJD73" s="16"/>
      <c r="BJE73" s="16"/>
      <c r="BJF73" s="16"/>
      <c r="BJG73" s="16"/>
      <c r="BJH73" s="16"/>
      <c r="BJI73" s="16"/>
      <c r="BJJ73" s="16"/>
      <c r="BJK73" s="16"/>
      <c r="BJL73" s="16"/>
      <c r="BJM73" s="16"/>
      <c r="BJN73" s="16"/>
      <c r="BJO73" s="16"/>
      <c r="BJP73" s="16"/>
      <c r="BJQ73" s="16"/>
      <c r="BJR73" s="16"/>
      <c r="BJS73" s="16"/>
      <c r="BJT73" s="16"/>
      <c r="BJU73" s="16"/>
      <c r="BJV73" s="16"/>
      <c r="BJW73" s="16"/>
      <c r="BJX73" s="16"/>
      <c r="BJY73" s="16"/>
      <c r="BJZ73" s="16"/>
      <c r="BKA73" s="16"/>
      <c r="BKB73" s="16"/>
      <c r="BKC73" s="16"/>
      <c r="BKD73" s="16"/>
      <c r="BKE73" s="16"/>
      <c r="BKF73" s="16"/>
      <c r="BKG73" s="16"/>
      <c r="BKH73" s="16"/>
      <c r="BKI73" s="16"/>
      <c r="BKJ73" s="16"/>
      <c r="BKK73" s="16"/>
      <c r="BKL73" s="16"/>
      <c r="BKM73" s="16"/>
      <c r="BKN73" s="16"/>
      <c r="BKO73" s="16"/>
      <c r="BKP73" s="16"/>
      <c r="BKQ73" s="16"/>
      <c r="BKR73" s="16"/>
      <c r="BKS73" s="16"/>
      <c r="BKT73" s="16"/>
      <c r="BKU73" s="16"/>
      <c r="BKV73" s="16"/>
      <c r="BKW73" s="16"/>
      <c r="BKX73" s="16"/>
      <c r="BKY73" s="16"/>
      <c r="BKZ73" s="16"/>
      <c r="BLA73" s="16"/>
      <c r="BLB73" s="16"/>
      <c r="BLC73" s="16"/>
      <c r="BLD73" s="16"/>
      <c r="BLE73" s="16"/>
      <c r="BLF73" s="16"/>
      <c r="BLG73" s="16"/>
      <c r="BLH73" s="16"/>
      <c r="BLI73" s="16"/>
      <c r="BLJ73" s="16"/>
      <c r="BLK73" s="16"/>
      <c r="BLL73" s="16"/>
      <c r="BLM73" s="16"/>
      <c r="BLN73" s="16"/>
      <c r="BLO73" s="16"/>
      <c r="BLP73" s="16"/>
      <c r="BLQ73" s="16"/>
      <c r="BLR73" s="16"/>
      <c r="BLS73" s="16"/>
      <c r="BLT73" s="16"/>
      <c r="BLU73" s="16"/>
      <c r="BLV73" s="16"/>
      <c r="BLW73" s="16"/>
      <c r="BLX73" s="16"/>
      <c r="BLY73" s="16"/>
      <c r="BLZ73" s="16"/>
      <c r="BMA73" s="16"/>
      <c r="BMB73" s="16"/>
      <c r="BMC73" s="16"/>
      <c r="BMD73" s="16"/>
      <c r="BME73" s="16"/>
      <c r="BMF73" s="16"/>
      <c r="BMG73" s="16"/>
      <c r="BMH73" s="16"/>
      <c r="BMI73" s="16"/>
      <c r="BMJ73" s="16"/>
      <c r="BMK73" s="16"/>
      <c r="BML73" s="16"/>
      <c r="BMM73" s="16"/>
      <c r="BMN73" s="16"/>
      <c r="BMO73" s="16"/>
      <c r="BMP73" s="16"/>
      <c r="BMQ73" s="16"/>
      <c r="BMR73" s="16"/>
      <c r="BMS73" s="16"/>
      <c r="BMT73" s="16"/>
      <c r="BMU73" s="16"/>
      <c r="BMV73" s="16"/>
      <c r="BMW73" s="16"/>
      <c r="BMX73" s="16"/>
      <c r="BMY73" s="16"/>
      <c r="BMZ73" s="16"/>
      <c r="BNA73" s="16"/>
      <c r="BNB73" s="16"/>
      <c r="BNC73" s="16"/>
      <c r="BND73" s="16"/>
      <c r="BNE73" s="16"/>
      <c r="BNF73" s="16"/>
      <c r="BNG73" s="16"/>
      <c r="BNH73" s="16"/>
      <c r="BNI73" s="16"/>
      <c r="BNJ73" s="16"/>
      <c r="BNK73" s="16"/>
      <c r="BNL73" s="16"/>
      <c r="BNM73" s="16"/>
      <c r="BNN73" s="16"/>
      <c r="BNO73" s="16"/>
      <c r="BNP73" s="16"/>
      <c r="BNQ73" s="16"/>
      <c r="BNR73" s="16"/>
      <c r="BNS73" s="16"/>
      <c r="BNT73" s="16"/>
      <c r="BNU73" s="16"/>
      <c r="BNV73" s="16"/>
      <c r="BNW73" s="16"/>
      <c r="BNX73" s="16"/>
      <c r="BNY73" s="16"/>
      <c r="BNZ73" s="16"/>
      <c r="BOA73" s="16"/>
      <c r="BOB73" s="16"/>
      <c r="BOC73" s="16"/>
      <c r="BOD73" s="16"/>
      <c r="BOE73" s="16"/>
      <c r="BOF73" s="16"/>
      <c r="BOG73" s="16"/>
      <c r="BOH73" s="16"/>
      <c r="BOI73" s="16"/>
      <c r="BOJ73" s="16"/>
      <c r="BOK73" s="16"/>
      <c r="BOL73" s="16"/>
      <c r="BOM73" s="16"/>
      <c r="BON73" s="16"/>
      <c r="BOO73" s="16"/>
      <c r="BOP73" s="16"/>
      <c r="BOQ73" s="16"/>
      <c r="BOR73" s="16"/>
      <c r="BOS73" s="16"/>
      <c r="BOT73" s="16"/>
      <c r="BOU73" s="16"/>
      <c r="BOV73" s="16"/>
      <c r="BOW73" s="16"/>
      <c r="BOX73" s="16"/>
      <c r="BOY73" s="16"/>
      <c r="BOZ73" s="16"/>
      <c r="BPA73" s="16"/>
      <c r="BPB73" s="16"/>
      <c r="BPC73" s="16"/>
      <c r="BPD73" s="16"/>
      <c r="BPE73" s="16"/>
      <c r="BPF73" s="16"/>
      <c r="BPG73" s="16"/>
      <c r="BPH73" s="16"/>
      <c r="BPI73" s="16"/>
      <c r="BPJ73" s="16"/>
      <c r="BPK73" s="16"/>
      <c r="BPL73" s="16"/>
      <c r="BPM73" s="16"/>
      <c r="BPN73" s="16"/>
      <c r="BPO73" s="16"/>
      <c r="BPP73" s="16"/>
      <c r="BPQ73" s="16"/>
      <c r="BPR73" s="16"/>
      <c r="BPS73" s="16"/>
      <c r="BPT73" s="16"/>
      <c r="BPU73" s="16"/>
      <c r="BPV73" s="16"/>
      <c r="BPW73" s="16"/>
      <c r="BPX73" s="16"/>
      <c r="BPY73" s="16"/>
      <c r="BPZ73" s="16"/>
      <c r="BQA73" s="16"/>
      <c r="BQB73" s="16"/>
      <c r="BQC73" s="16"/>
      <c r="BQD73" s="16"/>
      <c r="BQE73" s="16"/>
      <c r="BQF73" s="16"/>
      <c r="BQG73" s="16"/>
      <c r="BQH73" s="16"/>
      <c r="BQI73" s="16"/>
      <c r="BQJ73" s="16"/>
      <c r="BQK73" s="16"/>
      <c r="BQL73" s="16"/>
      <c r="BQM73" s="16"/>
      <c r="BQN73" s="16"/>
      <c r="BQO73" s="16"/>
      <c r="BQP73" s="16"/>
      <c r="BQQ73" s="16"/>
      <c r="BQR73" s="16"/>
      <c r="BQS73" s="16"/>
      <c r="BQT73" s="16"/>
      <c r="BQU73" s="16"/>
      <c r="BQV73" s="16"/>
      <c r="BQW73" s="16"/>
      <c r="BQX73" s="16"/>
      <c r="BQY73" s="16"/>
      <c r="BQZ73" s="16"/>
      <c r="BRA73" s="16"/>
      <c r="BRB73" s="16"/>
      <c r="BRC73" s="16"/>
      <c r="BRD73" s="16"/>
      <c r="BRE73" s="16"/>
      <c r="BRF73" s="16"/>
      <c r="BRG73" s="16"/>
      <c r="BRH73" s="16"/>
      <c r="BRI73" s="16"/>
      <c r="BRJ73" s="16"/>
      <c r="BRK73" s="16"/>
      <c r="BRL73" s="16"/>
      <c r="BRM73" s="16"/>
      <c r="BRN73" s="16"/>
      <c r="BRO73" s="16"/>
      <c r="BRP73" s="16"/>
      <c r="BRQ73" s="16"/>
      <c r="BRR73" s="16"/>
      <c r="BRS73" s="16"/>
      <c r="BRT73" s="16"/>
      <c r="BRU73" s="16"/>
      <c r="BRV73" s="16"/>
      <c r="BRW73" s="16"/>
      <c r="BRX73" s="16"/>
      <c r="BRY73" s="16"/>
      <c r="BRZ73" s="16"/>
      <c r="BSA73" s="16"/>
      <c r="BSB73" s="16"/>
      <c r="BSC73" s="16"/>
      <c r="BSD73" s="16"/>
      <c r="BSE73" s="16"/>
      <c r="BSF73" s="16"/>
      <c r="BSG73" s="16"/>
      <c r="BSH73" s="16"/>
      <c r="BSI73" s="16"/>
      <c r="BSJ73" s="16"/>
      <c r="BSK73" s="16"/>
      <c r="BSL73" s="16"/>
      <c r="BSM73" s="16"/>
      <c r="BSN73" s="16"/>
      <c r="BSO73" s="16"/>
      <c r="BSP73" s="16"/>
      <c r="BSQ73" s="16"/>
      <c r="BSR73" s="16"/>
      <c r="BSS73" s="16"/>
      <c r="BST73" s="16"/>
      <c r="BSU73" s="16"/>
      <c r="BSV73" s="16"/>
      <c r="BSW73" s="16"/>
      <c r="BSX73" s="16"/>
      <c r="BSY73" s="16"/>
      <c r="BSZ73" s="16"/>
      <c r="BTA73" s="16"/>
      <c r="BTB73" s="16"/>
      <c r="BTC73" s="16"/>
      <c r="BTD73" s="16"/>
      <c r="BTE73" s="16"/>
      <c r="BTF73" s="16"/>
      <c r="BTG73" s="16"/>
      <c r="BTH73" s="16"/>
    </row>
    <row r="74" spans="1:1880" s="307" customFormat="1" ht="110.25" customHeight="1" x14ac:dyDescent="0.3">
      <c r="A74" s="519">
        <v>622</v>
      </c>
      <c r="B74" s="308" t="s">
        <v>212</v>
      </c>
      <c r="C74" s="519" t="s">
        <v>231</v>
      </c>
      <c r="D74" s="78" t="s">
        <v>331</v>
      </c>
      <c r="E74" s="265" t="e">
        <f>INDEX('PY1 Data(H)'!$A$1:$CZ$122,MATCH('Unit Data from Audit Worksheet'!$A74,'PY1 Data(H)'!$A$1:$A$122,0),MATCH('Unit Data from Audit Worksheet'!$D$2,'PY1 Data(H)'!$A$1:$CZ$1,0))</f>
        <v>#N/A</v>
      </c>
      <c r="F74" s="135">
        <v>0</v>
      </c>
      <c r="G74" s="295"/>
      <c r="H74" s="15"/>
      <c r="I74" s="305"/>
      <c r="J74"/>
      <c r="K74" s="16"/>
      <c r="L74"/>
      <c r="M74" s="16"/>
      <c r="N74" s="137"/>
      <c r="O74" s="16"/>
      <c r="P74" s="16"/>
      <c r="Q74" s="16"/>
      <c r="R74" s="16"/>
      <c r="S74" s="16"/>
      <c r="T74" s="16"/>
      <c r="U74" s="16"/>
      <c r="V74" s="16"/>
      <c r="W74" s="16"/>
      <c r="X74" s="16"/>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c r="TP74" s="16"/>
      <c r="TQ74" s="16"/>
      <c r="TR74" s="16"/>
      <c r="TS74" s="16"/>
      <c r="TT74" s="16"/>
      <c r="TU74" s="16"/>
      <c r="TV74" s="16"/>
      <c r="TW74" s="16"/>
      <c r="TX74" s="16"/>
      <c r="TY74" s="16"/>
      <c r="TZ74" s="16"/>
      <c r="UA74" s="16"/>
      <c r="UB74" s="16"/>
      <c r="UC74" s="16"/>
      <c r="UD74" s="16"/>
      <c r="UE74" s="16"/>
      <c r="UF74" s="16"/>
      <c r="UG74" s="16"/>
      <c r="UH74" s="16"/>
      <c r="UI74" s="16"/>
      <c r="UJ74" s="16"/>
      <c r="UK74" s="16"/>
      <c r="UL74" s="16"/>
      <c r="UM74" s="16"/>
      <c r="UN74" s="16"/>
      <c r="UO74" s="16"/>
      <c r="UP74" s="16"/>
      <c r="UQ74" s="16"/>
      <c r="UR74" s="16"/>
      <c r="US74" s="16"/>
      <c r="UT74" s="16"/>
      <c r="UU74" s="16"/>
      <c r="UV74" s="16"/>
      <c r="UW74" s="16"/>
      <c r="UX74" s="16"/>
      <c r="UY74" s="16"/>
      <c r="UZ74" s="16"/>
      <c r="VA74" s="16"/>
      <c r="VB74" s="16"/>
      <c r="VC74" s="16"/>
      <c r="VD74" s="16"/>
      <c r="VE74" s="16"/>
      <c r="VF74" s="16"/>
      <c r="VG74" s="16"/>
      <c r="VH74" s="16"/>
      <c r="VI74" s="16"/>
      <c r="VJ74" s="16"/>
      <c r="VK74" s="16"/>
      <c r="VL74" s="16"/>
      <c r="VM74" s="16"/>
      <c r="VN74" s="16"/>
      <c r="VO74" s="16"/>
      <c r="VP74" s="16"/>
      <c r="VQ74" s="16"/>
      <c r="VR74" s="16"/>
      <c r="VS74" s="16"/>
      <c r="VT74" s="16"/>
      <c r="VU74" s="16"/>
      <c r="VV74" s="16"/>
      <c r="VW74" s="16"/>
      <c r="VX74" s="16"/>
      <c r="VY74" s="16"/>
      <c r="VZ74" s="16"/>
      <c r="WA74" s="16"/>
      <c r="WB74" s="16"/>
      <c r="WC74" s="16"/>
      <c r="WD74" s="16"/>
      <c r="WE74" s="16"/>
      <c r="WF74" s="16"/>
      <c r="WG74" s="16"/>
      <c r="WH74" s="16"/>
      <c r="WI74" s="16"/>
      <c r="WJ74" s="16"/>
      <c r="WK74" s="16"/>
      <c r="WL74" s="16"/>
      <c r="WM74" s="16"/>
      <c r="WN74" s="16"/>
      <c r="WO74" s="16"/>
      <c r="WP74" s="16"/>
      <c r="WQ74" s="16"/>
      <c r="WR74" s="16"/>
      <c r="WS74" s="16"/>
      <c r="WT74" s="16"/>
      <c r="WU74" s="16"/>
      <c r="WV74" s="16"/>
      <c r="WW74" s="16"/>
      <c r="WX74" s="16"/>
      <c r="WY74" s="16"/>
      <c r="WZ74" s="16"/>
      <c r="XA74" s="16"/>
      <c r="XB74" s="16"/>
      <c r="XC74" s="16"/>
      <c r="XD74" s="16"/>
      <c r="XE74" s="16"/>
      <c r="XF74" s="16"/>
      <c r="XG74" s="16"/>
      <c r="XH74" s="16"/>
      <c r="XI74" s="16"/>
      <c r="XJ74" s="16"/>
      <c r="XK74" s="16"/>
      <c r="XL74" s="16"/>
      <c r="XM74" s="16"/>
      <c r="XN74" s="16"/>
      <c r="XO74" s="16"/>
      <c r="XP74" s="16"/>
      <c r="XQ74" s="16"/>
      <c r="XR74" s="16"/>
      <c r="XS74" s="16"/>
      <c r="XT74" s="16"/>
      <c r="XU74" s="16"/>
      <c r="XV74" s="16"/>
      <c r="XW74" s="16"/>
      <c r="XX74" s="16"/>
      <c r="XY74" s="16"/>
      <c r="XZ74" s="16"/>
      <c r="YA74" s="16"/>
      <c r="YB74" s="16"/>
      <c r="YC74" s="16"/>
      <c r="YD74" s="16"/>
      <c r="YE74" s="16"/>
      <c r="YF74" s="16"/>
      <c r="YG74" s="16"/>
      <c r="YH74" s="16"/>
      <c r="YI74" s="16"/>
      <c r="YJ74" s="16"/>
      <c r="YK74" s="16"/>
      <c r="YL74" s="16"/>
      <c r="YM74" s="16"/>
      <c r="YN74" s="16"/>
      <c r="YO74" s="16"/>
      <c r="YP74" s="16"/>
      <c r="YQ74" s="16"/>
      <c r="YR74" s="16"/>
      <c r="YS74" s="16"/>
      <c r="YT74" s="16"/>
      <c r="YU74" s="16"/>
      <c r="YV74" s="16"/>
      <c r="YW74" s="16"/>
      <c r="YX74" s="16"/>
      <c r="YY74" s="16"/>
      <c r="YZ74" s="16"/>
      <c r="ZA74" s="16"/>
      <c r="ZB74" s="16"/>
      <c r="ZC74" s="16"/>
      <c r="ZD74" s="16"/>
      <c r="ZE74" s="16"/>
      <c r="ZF74" s="16"/>
      <c r="ZG74" s="16"/>
      <c r="ZH74" s="16"/>
      <c r="ZI74" s="16"/>
      <c r="ZJ74" s="16"/>
      <c r="ZK74" s="16"/>
      <c r="ZL74" s="16"/>
      <c r="ZM74" s="16"/>
      <c r="ZN74" s="16"/>
      <c r="ZO74" s="16"/>
      <c r="ZP74" s="16"/>
      <c r="ZQ74" s="16"/>
      <c r="ZR74" s="16"/>
      <c r="ZS74" s="16"/>
      <c r="ZT74" s="16"/>
      <c r="ZU74" s="16"/>
      <c r="ZV74" s="16"/>
      <c r="ZW74" s="16"/>
      <c r="ZX74" s="16"/>
      <c r="ZY74" s="16"/>
      <c r="ZZ74" s="16"/>
      <c r="AAA74" s="16"/>
      <c r="AAB74" s="16"/>
      <c r="AAC74" s="16"/>
      <c r="AAD74" s="16"/>
      <c r="AAE74" s="16"/>
      <c r="AAF74" s="16"/>
      <c r="AAG74" s="16"/>
      <c r="AAH74" s="16"/>
      <c r="AAI74" s="16"/>
      <c r="AAJ74" s="16"/>
      <c r="AAK74" s="16"/>
      <c r="AAL74" s="16"/>
      <c r="AAM74" s="16"/>
      <c r="AAN74" s="16"/>
      <c r="AAO74" s="16"/>
      <c r="AAP74" s="16"/>
      <c r="AAQ74" s="16"/>
      <c r="AAR74" s="16"/>
      <c r="AAS74" s="16"/>
      <c r="AAT74" s="16"/>
      <c r="AAU74" s="16"/>
      <c r="AAV74" s="16"/>
      <c r="AAW74" s="16"/>
      <c r="AAX74" s="16"/>
      <c r="AAY74" s="16"/>
      <c r="AAZ74" s="16"/>
      <c r="ABA74" s="16"/>
      <c r="ABB74" s="16"/>
      <c r="ABC74" s="16"/>
      <c r="ABD74" s="16"/>
      <c r="ABE74" s="16"/>
      <c r="ABF74" s="16"/>
      <c r="ABG74" s="16"/>
      <c r="ABH74" s="16"/>
      <c r="ABI74" s="16"/>
      <c r="ABJ74" s="16"/>
      <c r="ABK74" s="16"/>
      <c r="ABL74" s="16"/>
      <c r="ABM74" s="16"/>
      <c r="ABN74" s="16"/>
      <c r="ABO74" s="16"/>
      <c r="ABP74" s="16"/>
      <c r="ABQ74" s="16"/>
      <c r="ABR74" s="16"/>
      <c r="ABS74" s="16"/>
      <c r="ABT74" s="16"/>
      <c r="ABU74" s="16"/>
      <c r="ABV74" s="16"/>
      <c r="ABW74" s="16"/>
      <c r="ABX74" s="16"/>
      <c r="ABY74" s="16"/>
      <c r="ABZ74" s="16"/>
      <c r="ACA74" s="16"/>
      <c r="ACB74" s="16"/>
      <c r="ACC74" s="16"/>
      <c r="ACD74" s="16"/>
      <c r="ACE74" s="16"/>
      <c r="ACF74" s="16"/>
      <c r="ACG74" s="16"/>
      <c r="ACH74" s="16"/>
      <c r="ACI74" s="16"/>
      <c r="ACJ74" s="16"/>
      <c r="ACK74" s="16"/>
      <c r="ACL74" s="16"/>
      <c r="ACM74" s="16"/>
      <c r="ACN74" s="16"/>
      <c r="ACO74" s="16"/>
      <c r="ACP74" s="16"/>
      <c r="ACQ74" s="16"/>
      <c r="ACR74" s="16"/>
      <c r="ACS74" s="16"/>
      <c r="ACT74" s="16"/>
      <c r="ACU74" s="16"/>
      <c r="ACV74" s="16"/>
      <c r="ACW74" s="16"/>
      <c r="ACX74" s="16"/>
      <c r="ACY74" s="16"/>
      <c r="ACZ74" s="16"/>
      <c r="ADA74" s="16"/>
      <c r="ADB74" s="16"/>
      <c r="ADC74" s="16"/>
      <c r="ADD74" s="16"/>
      <c r="ADE74" s="16"/>
      <c r="ADF74" s="16"/>
      <c r="ADG74" s="16"/>
      <c r="ADH74" s="16"/>
      <c r="ADI74" s="16"/>
      <c r="ADJ74" s="16"/>
      <c r="ADK74" s="16"/>
      <c r="ADL74" s="16"/>
      <c r="ADM74" s="16"/>
      <c r="ADN74" s="16"/>
      <c r="ADO74" s="16"/>
      <c r="ADP74" s="16"/>
      <c r="ADQ74" s="16"/>
      <c r="ADR74" s="16"/>
      <c r="ADS74" s="16"/>
      <c r="ADT74" s="16"/>
      <c r="ADU74" s="16"/>
      <c r="ADV74" s="16"/>
      <c r="ADW74" s="16"/>
      <c r="ADX74" s="16"/>
      <c r="ADY74" s="16"/>
      <c r="ADZ74" s="16"/>
      <c r="AEA74" s="16"/>
      <c r="AEB74" s="16"/>
      <c r="AEC74" s="16"/>
      <c r="AED74" s="16"/>
      <c r="AEE74" s="16"/>
      <c r="AEF74" s="16"/>
      <c r="AEG74" s="16"/>
      <c r="AEH74" s="16"/>
      <c r="AEI74" s="16"/>
      <c r="AEJ74" s="16"/>
      <c r="AEK74" s="16"/>
      <c r="AEL74" s="16"/>
      <c r="AEM74" s="16"/>
      <c r="AEN74" s="16"/>
      <c r="AEO74" s="16"/>
      <c r="AEP74" s="16"/>
      <c r="AEQ74" s="16"/>
      <c r="AER74" s="16"/>
      <c r="AES74" s="16"/>
      <c r="AET74" s="16"/>
      <c r="AEU74" s="16"/>
      <c r="AEV74" s="16"/>
      <c r="AEW74" s="16"/>
      <c r="AEX74" s="16"/>
      <c r="AEY74" s="16"/>
      <c r="AEZ74" s="16"/>
      <c r="AFA74" s="16"/>
      <c r="AFB74" s="16"/>
      <c r="AFC74" s="16"/>
      <c r="AFD74" s="16"/>
      <c r="AFE74" s="16"/>
      <c r="AFF74" s="16"/>
      <c r="AFG74" s="16"/>
      <c r="AFH74" s="16"/>
      <c r="AFI74" s="16"/>
      <c r="AFJ74" s="16"/>
      <c r="AFK74" s="16"/>
      <c r="AFL74" s="16"/>
      <c r="AFM74" s="16"/>
      <c r="AFN74" s="16"/>
      <c r="AFO74" s="16"/>
      <c r="AFP74" s="16"/>
      <c r="AFQ74" s="16"/>
      <c r="AFR74" s="16"/>
      <c r="AFS74" s="16"/>
      <c r="AFT74" s="16"/>
      <c r="AFU74" s="16"/>
      <c r="AFV74" s="16"/>
      <c r="AFW74" s="16"/>
      <c r="AFX74" s="16"/>
      <c r="AFY74" s="16"/>
      <c r="AFZ74" s="16"/>
      <c r="AGA74" s="16"/>
      <c r="AGB74" s="16"/>
      <c r="AGC74" s="16"/>
      <c r="AGD74" s="16"/>
      <c r="AGE74" s="16"/>
      <c r="AGF74" s="16"/>
      <c r="AGG74" s="16"/>
      <c r="AGH74" s="16"/>
      <c r="AGI74" s="16"/>
      <c r="AGJ74" s="16"/>
      <c r="AGK74" s="16"/>
      <c r="AGL74" s="16"/>
      <c r="AGM74" s="16"/>
      <c r="AGN74" s="16"/>
      <c r="AGO74" s="16"/>
      <c r="AGP74" s="16"/>
      <c r="AGQ74" s="16"/>
      <c r="AGR74" s="16"/>
      <c r="AGS74" s="16"/>
      <c r="AGT74" s="16"/>
      <c r="AGU74" s="16"/>
      <c r="AGV74" s="16"/>
      <c r="AGW74" s="16"/>
      <c r="AGX74" s="16"/>
      <c r="AGY74" s="16"/>
      <c r="AGZ74" s="16"/>
      <c r="AHA74" s="16"/>
      <c r="AHB74" s="16"/>
      <c r="AHC74" s="16"/>
      <c r="AHD74" s="16"/>
      <c r="AHE74" s="16"/>
      <c r="AHF74" s="16"/>
      <c r="AHG74" s="16"/>
      <c r="AHH74" s="16"/>
      <c r="AHI74" s="16"/>
      <c r="AHJ74" s="16"/>
      <c r="AHK74" s="16"/>
      <c r="AHL74" s="16"/>
      <c r="AHM74" s="16"/>
      <c r="AHN74" s="16"/>
      <c r="AHO74" s="16"/>
      <c r="AHP74" s="16"/>
      <c r="AHQ74" s="16"/>
      <c r="AHR74" s="16"/>
      <c r="AHS74" s="16"/>
      <c r="AHT74" s="16"/>
      <c r="AHU74" s="16"/>
      <c r="AHV74" s="16"/>
      <c r="AHW74" s="16"/>
      <c r="AHX74" s="16"/>
      <c r="AHY74" s="16"/>
      <c r="AHZ74" s="16"/>
      <c r="AIA74" s="16"/>
      <c r="AIB74" s="16"/>
      <c r="AIC74" s="16"/>
      <c r="AID74" s="16"/>
      <c r="AIE74" s="16"/>
      <c r="AIF74" s="16"/>
      <c r="AIG74" s="16"/>
      <c r="AIH74" s="16"/>
      <c r="AII74" s="16"/>
      <c r="AIJ74" s="16"/>
      <c r="AIK74" s="16"/>
      <c r="AIL74" s="16"/>
      <c r="AIM74" s="16"/>
      <c r="AIN74" s="16"/>
      <c r="AIO74" s="16"/>
      <c r="AIP74" s="16"/>
      <c r="AIQ74" s="16"/>
      <c r="AIR74" s="16"/>
      <c r="AIS74" s="16"/>
      <c r="AIT74" s="16"/>
      <c r="AIU74" s="16"/>
      <c r="AIV74" s="16"/>
      <c r="AIW74" s="16"/>
      <c r="AIX74" s="16"/>
      <c r="AIY74" s="16"/>
      <c r="AIZ74" s="16"/>
      <c r="AJA74" s="16"/>
      <c r="AJB74" s="16"/>
      <c r="AJC74" s="16"/>
      <c r="AJD74" s="16"/>
      <c r="AJE74" s="16"/>
      <c r="AJF74" s="16"/>
      <c r="AJG74" s="16"/>
      <c r="AJH74" s="16"/>
      <c r="AJI74" s="16"/>
      <c r="AJJ74" s="16"/>
      <c r="AJK74" s="16"/>
      <c r="AJL74" s="16"/>
      <c r="AJM74" s="16"/>
      <c r="AJN74" s="16"/>
      <c r="AJO74" s="16"/>
      <c r="AJP74" s="16"/>
      <c r="AJQ74" s="16"/>
      <c r="AJR74" s="16"/>
      <c r="AJS74" s="16"/>
      <c r="AJT74" s="16"/>
      <c r="AJU74" s="16"/>
      <c r="AJV74" s="16"/>
      <c r="AJW74" s="16"/>
      <c r="AJX74" s="16"/>
      <c r="AJY74" s="16"/>
      <c r="AJZ74" s="16"/>
      <c r="AKA74" s="16"/>
      <c r="AKB74" s="16"/>
      <c r="AKC74" s="16"/>
      <c r="AKD74" s="16"/>
      <c r="AKE74" s="16"/>
      <c r="AKF74" s="16"/>
      <c r="AKG74" s="16"/>
      <c r="AKH74" s="16"/>
      <c r="AKI74" s="16"/>
      <c r="AKJ74" s="16"/>
      <c r="AKK74" s="16"/>
      <c r="AKL74" s="16"/>
      <c r="AKM74" s="16"/>
      <c r="AKN74" s="16"/>
      <c r="AKO74" s="16"/>
      <c r="AKP74" s="16"/>
      <c r="AKQ74" s="16"/>
      <c r="AKR74" s="16"/>
      <c r="AKS74" s="16"/>
      <c r="AKT74" s="16"/>
      <c r="AKU74" s="16"/>
      <c r="AKV74" s="16"/>
      <c r="AKW74" s="16"/>
      <c r="AKX74" s="16"/>
      <c r="AKY74" s="16"/>
      <c r="AKZ74" s="16"/>
      <c r="ALA74" s="16"/>
      <c r="ALB74" s="16"/>
      <c r="ALC74" s="16"/>
      <c r="ALD74" s="16"/>
      <c r="ALE74" s="16"/>
      <c r="ALF74" s="16"/>
      <c r="ALG74" s="16"/>
      <c r="ALH74" s="16"/>
      <c r="ALI74" s="16"/>
      <c r="ALJ74" s="16"/>
      <c r="ALK74" s="16"/>
      <c r="ALL74" s="16"/>
      <c r="ALM74" s="16"/>
      <c r="ALN74" s="16"/>
      <c r="ALO74" s="16"/>
      <c r="ALP74" s="16"/>
      <c r="ALQ74" s="16"/>
      <c r="ALR74" s="16"/>
      <c r="ALS74" s="16"/>
      <c r="ALT74" s="16"/>
      <c r="ALU74" s="16"/>
      <c r="ALV74" s="16"/>
      <c r="ALW74" s="16"/>
      <c r="ALX74" s="16"/>
      <c r="ALY74" s="16"/>
      <c r="ALZ74" s="16"/>
      <c r="AMA74" s="16"/>
      <c r="AMB74" s="16"/>
      <c r="AMC74" s="16"/>
      <c r="AMD74" s="16"/>
      <c r="AME74" s="16"/>
      <c r="AMF74" s="16"/>
      <c r="AMG74" s="16"/>
      <c r="AMH74" s="16"/>
      <c r="AMI74" s="16"/>
      <c r="AMJ74" s="16"/>
      <c r="AMK74" s="16"/>
      <c r="AML74" s="16"/>
      <c r="AMM74" s="16"/>
      <c r="AMN74" s="16"/>
      <c r="AMO74" s="16"/>
      <c r="AMP74" s="16"/>
      <c r="AMQ74" s="16"/>
      <c r="AMR74" s="16"/>
      <c r="AMS74" s="16"/>
      <c r="AMT74" s="16"/>
      <c r="AMU74" s="16"/>
      <c r="AMV74" s="16"/>
      <c r="AMW74" s="16"/>
      <c r="AMX74" s="16"/>
      <c r="AMY74" s="16"/>
      <c r="AMZ74" s="16"/>
      <c r="ANA74" s="16"/>
      <c r="ANB74" s="16"/>
      <c r="ANC74" s="16"/>
      <c r="AND74" s="16"/>
      <c r="ANE74" s="16"/>
      <c r="ANF74" s="16"/>
      <c r="ANG74" s="16"/>
      <c r="ANH74" s="16"/>
      <c r="ANI74" s="16"/>
      <c r="ANJ74" s="16"/>
      <c r="ANK74" s="16"/>
      <c r="ANL74" s="16"/>
      <c r="ANM74" s="16"/>
      <c r="ANN74" s="16"/>
      <c r="ANO74" s="16"/>
      <c r="ANP74" s="16"/>
      <c r="ANQ74" s="16"/>
      <c r="ANR74" s="16"/>
      <c r="ANS74" s="16"/>
      <c r="ANT74" s="16"/>
      <c r="ANU74" s="16"/>
      <c r="ANV74" s="16"/>
      <c r="ANW74" s="16"/>
      <c r="ANX74" s="16"/>
      <c r="ANY74" s="16"/>
      <c r="ANZ74" s="16"/>
      <c r="AOA74" s="16"/>
      <c r="AOB74" s="16"/>
      <c r="AOC74" s="16"/>
      <c r="AOD74" s="16"/>
      <c r="AOE74" s="16"/>
      <c r="AOF74" s="16"/>
      <c r="AOG74" s="16"/>
      <c r="AOH74" s="16"/>
      <c r="AOI74" s="16"/>
      <c r="AOJ74" s="16"/>
      <c r="AOK74" s="16"/>
      <c r="AOL74" s="16"/>
      <c r="AOM74" s="16"/>
      <c r="AON74" s="16"/>
      <c r="AOO74" s="16"/>
      <c r="AOP74" s="16"/>
      <c r="AOQ74" s="16"/>
      <c r="AOR74" s="16"/>
      <c r="AOS74" s="16"/>
      <c r="AOT74" s="16"/>
      <c r="AOU74" s="16"/>
      <c r="AOV74" s="16"/>
      <c r="AOW74" s="16"/>
      <c r="AOX74" s="16"/>
      <c r="AOY74" s="16"/>
      <c r="AOZ74" s="16"/>
      <c r="APA74" s="16"/>
      <c r="APB74" s="16"/>
      <c r="APC74" s="16"/>
      <c r="APD74" s="16"/>
      <c r="APE74" s="16"/>
      <c r="APF74" s="16"/>
      <c r="APG74" s="16"/>
      <c r="APH74" s="16"/>
      <c r="API74" s="16"/>
      <c r="APJ74" s="16"/>
      <c r="APK74" s="16"/>
      <c r="APL74" s="16"/>
      <c r="APM74" s="16"/>
      <c r="APN74" s="16"/>
      <c r="APO74" s="16"/>
      <c r="APP74" s="16"/>
      <c r="APQ74" s="16"/>
      <c r="APR74" s="16"/>
      <c r="APS74" s="16"/>
      <c r="APT74" s="16"/>
      <c r="APU74" s="16"/>
      <c r="APV74" s="16"/>
      <c r="APW74" s="16"/>
      <c r="APX74" s="16"/>
      <c r="APY74" s="16"/>
      <c r="APZ74" s="16"/>
      <c r="AQA74" s="16"/>
      <c r="AQB74" s="16"/>
      <c r="AQC74" s="16"/>
      <c r="AQD74" s="16"/>
      <c r="AQE74" s="16"/>
      <c r="AQF74" s="16"/>
      <c r="AQG74" s="16"/>
      <c r="AQH74" s="16"/>
      <c r="AQI74" s="16"/>
      <c r="AQJ74" s="16"/>
      <c r="AQK74" s="16"/>
      <c r="AQL74" s="16"/>
      <c r="AQM74" s="16"/>
      <c r="AQN74" s="16"/>
      <c r="AQO74" s="16"/>
      <c r="AQP74" s="16"/>
      <c r="AQQ74" s="16"/>
      <c r="AQR74" s="16"/>
      <c r="AQS74" s="16"/>
      <c r="AQT74" s="16"/>
      <c r="AQU74" s="16"/>
      <c r="AQV74" s="16"/>
      <c r="AQW74" s="16"/>
      <c r="AQX74" s="16"/>
      <c r="AQY74" s="16"/>
      <c r="AQZ74" s="16"/>
      <c r="ARA74" s="16"/>
      <c r="ARB74" s="16"/>
      <c r="ARC74" s="16"/>
      <c r="ARD74" s="16"/>
      <c r="ARE74" s="16"/>
      <c r="ARF74" s="16"/>
      <c r="ARG74" s="16"/>
      <c r="ARH74" s="16"/>
      <c r="ARI74" s="16"/>
      <c r="ARJ74" s="16"/>
      <c r="ARK74" s="16"/>
      <c r="ARL74" s="16"/>
      <c r="ARM74" s="16"/>
      <c r="ARN74" s="16"/>
      <c r="ARO74" s="16"/>
      <c r="ARP74" s="16"/>
      <c r="ARQ74" s="16"/>
      <c r="ARR74" s="16"/>
      <c r="ARS74" s="16"/>
      <c r="ART74" s="16"/>
      <c r="ARU74" s="16"/>
      <c r="ARV74" s="16"/>
      <c r="ARW74" s="16"/>
      <c r="ARX74" s="16"/>
      <c r="ARY74" s="16"/>
      <c r="ARZ74" s="16"/>
      <c r="ASA74" s="16"/>
      <c r="ASB74" s="16"/>
      <c r="ASC74" s="16"/>
      <c r="ASD74" s="16"/>
      <c r="ASE74" s="16"/>
      <c r="ASF74" s="16"/>
      <c r="ASG74" s="16"/>
      <c r="ASH74" s="16"/>
      <c r="ASI74" s="16"/>
      <c r="ASJ74" s="16"/>
      <c r="ASK74" s="16"/>
      <c r="ASL74" s="16"/>
      <c r="ASM74" s="16"/>
      <c r="ASN74" s="16"/>
      <c r="ASO74" s="16"/>
      <c r="ASP74" s="16"/>
      <c r="ASQ74" s="16"/>
      <c r="ASR74" s="16"/>
      <c r="ASS74" s="16"/>
      <c r="AST74" s="16"/>
      <c r="ASU74" s="16"/>
      <c r="ASV74" s="16"/>
      <c r="ASW74" s="16"/>
      <c r="ASX74" s="16"/>
      <c r="ASY74" s="16"/>
      <c r="ASZ74" s="16"/>
      <c r="ATA74" s="16"/>
      <c r="ATB74" s="16"/>
      <c r="ATC74" s="16"/>
      <c r="ATD74" s="16"/>
      <c r="ATE74" s="16"/>
      <c r="ATF74" s="16"/>
      <c r="ATG74" s="16"/>
      <c r="ATH74" s="16"/>
      <c r="ATI74" s="16"/>
      <c r="ATJ74" s="16"/>
      <c r="ATK74" s="16"/>
      <c r="ATL74" s="16"/>
      <c r="ATM74" s="16"/>
      <c r="ATN74" s="16"/>
      <c r="ATO74" s="16"/>
      <c r="ATP74" s="16"/>
      <c r="ATQ74" s="16"/>
      <c r="ATR74" s="16"/>
      <c r="ATS74" s="16"/>
      <c r="ATT74" s="16"/>
      <c r="ATU74" s="16"/>
      <c r="ATV74" s="16"/>
      <c r="ATW74" s="16"/>
      <c r="ATX74" s="16"/>
      <c r="ATY74" s="16"/>
      <c r="ATZ74" s="16"/>
      <c r="AUA74" s="16"/>
      <c r="AUB74" s="16"/>
      <c r="AUC74" s="16"/>
      <c r="AUD74" s="16"/>
      <c r="AUE74" s="16"/>
      <c r="AUF74" s="16"/>
      <c r="AUG74" s="16"/>
      <c r="AUH74" s="16"/>
      <c r="AUI74" s="16"/>
      <c r="AUJ74" s="16"/>
      <c r="AUK74" s="16"/>
      <c r="AUL74" s="16"/>
      <c r="AUM74" s="16"/>
      <c r="AUN74" s="16"/>
      <c r="AUO74" s="16"/>
      <c r="AUP74" s="16"/>
      <c r="AUQ74" s="16"/>
      <c r="AUR74" s="16"/>
      <c r="AUS74" s="16"/>
      <c r="AUT74" s="16"/>
      <c r="AUU74" s="16"/>
      <c r="AUV74" s="16"/>
      <c r="AUW74" s="16"/>
      <c r="AUX74" s="16"/>
      <c r="AUY74" s="16"/>
      <c r="AUZ74" s="16"/>
      <c r="AVA74" s="16"/>
      <c r="AVB74" s="16"/>
      <c r="AVC74" s="16"/>
      <c r="AVD74" s="16"/>
      <c r="AVE74" s="16"/>
      <c r="AVF74" s="16"/>
      <c r="AVG74" s="16"/>
      <c r="AVH74" s="16"/>
      <c r="AVI74" s="16"/>
      <c r="AVJ74" s="16"/>
      <c r="AVK74" s="16"/>
      <c r="AVL74" s="16"/>
      <c r="AVM74" s="16"/>
      <c r="AVN74" s="16"/>
      <c r="AVO74" s="16"/>
      <c r="AVP74" s="16"/>
      <c r="AVQ74" s="16"/>
      <c r="AVR74" s="16"/>
      <c r="AVS74" s="16"/>
      <c r="AVT74" s="16"/>
      <c r="AVU74" s="16"/>
      <c r="AVV74" s="16"/>
      <c r="AVW74" s="16"/>
      <c r="AVX74" s="16"/>
      <c r="AVY74" s="16"/>
      <c r="AVZ74" s="16"/>
      <c r="AWA74" s="16"/>
      <c r="AWB74" s="16"/>
      <c r="AWC74" s="16"/>
      <c r="AWD74" s="16"/>
      <c r="AWE74" s="16"/>
      <c r="AWF74" s="16"/>
      <c r="AWG74" s="16"/>
      <c r="AWH74" s="16"/>
      <c r="AWI74" s="16"/>
      <c r="AWJ74" s="16"/>
      <c r="AWK74" s="16"/>
      <c r="AWL74" s="16"/>
      <c r="AWM74" s="16"/>
      <c r="AWN74" s="16"/>
      <c r="AWO74" s="16"/>
      <c r="AWP74" s="16"/>
      <c r="AWQ74" s="16"/>
      <c r="AWR74" s="16"/>
      <c r="AWS74" s="16"/>
      <c r="AWT74" s="16"/>
      <c r="AWU74" s="16"/>
      <c r="AWV74" s="16"/>
      <c r="AWW74" s="16"/>
      <c r="AWX74" s="16"/>
      <c r="AWY74" s="16"/>
      <c r="AWZ74" s="16"/>
      <c r="AXA74" s="16"/>
      <c r="AXB74" s="16"/>
      <c r="AXC74" s="16"/>
      <c r="AXD74" s="16"/>
      <c r="AXE74" s="16"/>
      <c r="AXF74" s="16"/>
      <c r="AXG74" s="16"/>
      <c r="AXH74" s="16"/>
      <c r="AXI74" s="16"/>
      <c r="AXJ74" s="16"/>
      <c r="AXK74" s="16"/>
      <c r="AXL74" s="16"/>
      <c r="AXM74" s="16"/>
      <c r="AXN74" s="16"/>
      <c r="AXO74" s="16"/>
      <c r="AXP74" s="16"/>
      <c r="AXQ74" s="16"/>
      <c r="AXR74" s="16"/>
      <c r="AXS74" s="16"/>
      <c r="AXT74" s="16"/>
      <c r="AXU74" s="16"/>
      <c r="AXV74" s="16"/>
      <c r="AXW74" s="16"/>
      <c r="AXX74" s="16"/>
      <c r="AXY74" s="16"/>
      <c r="AXZ74" s="16"/>
      <c r="AYA74" s="16"/>
      <c r="AYB74" s="16"/>
      <c r="AYC74" s="16"/>
      <c r="AYD74" s="16"/>
      <c r="AYE74" s="16"/>
      <c r="AYF74" s="16"/>
      <c r="AYG74" s="16"/>
      <c r="AYH74" s="16"/>
      <c r="AYI74" s="16"/>
      <c r="AYJ74" s="16"/>
      <c r="AYK74" s="16"/>
      <c r="AYL74" s="16"/>
      <c r="AYM74" s="16"/>
      <c r="AYN74" s="16"/>
      <c r="AYO74" s="16"/>
      <c r="AYP74" s="16"/>
      <c r="AYQ74" s="16"/>
      <c r="AYR74" s="16"/>
      <c r="AYS74" s="16"/>
      <c r="AYT74" s="16"/>
      <c r="AYU74" s="16"/>
      <c r="AYV74" s="16"/>
      <c r="AYW74" s="16"/>
      <c r="AYX74" s="16"/>
      <c r="AYY74" s="16"/>
      <c r="AYZ74" s="16"/>
      <c r="AZA74" s="16"/>
      <c r="AZB74" s="16"/>
      <c r="AZC74" s="16"/>
      <c r="AZD74" s="16"/>
      <c r="AZE74" s="16"/>
      <c r="AZF74" s="16"/>
      <c r="AZG74" s="16"/>
      <c r="AZH74" s="16"/>
      <c r="AZI74" s="16"/>
      <c r="AZJ74" s="16"/>
      <c r="AZK74" s="16"/>
      <c r="AZL74" s="16"/>
      <c r="AZM74" s="16"/>
      <c r="AZN74" s="16"/>
      <c r="AZO74" s="16"/>
      <c r="AZP74" s="16"/>
      <c r="AZQ74" s="16"/>
      <c r="AZR74" s="16"/>
      <c r="AZS74" s="16"/>
      <c r="AZT74" s="16"/>
      <c r="AZU74" s="16"/>
      <c r="AZV74" s="16"/>
      <c r="AZW74" s="16"/>
      <c r="AZX74" s="16"/>
      <c r="AZY74" s="16"/>
      <c r="AZZ74" s="16"/>
      <c r="BAA74" s="16"/>
      <c r="BAB74" s="16"/>
      <c r="BAC74" s="16"/>
      <c r="BAD74" s="16"/>
      <c r="BAE74" s="16"/>
      <c r="BAF74" s="16"/>
      <c r="BAG74" s="16"/>
      <c r="BAH74" s="16"/>
      <c r="BAI74" s="16"/>
      <c r="BAJ74" s="16"/>
      <c r="BAK74" s="16"/>
      <c r="BAL74" s="16"/>
      <c r="BAM74" s="16"/>
      <c r="BAN74" s="16"/>
      <c r="BAO74" s="16"/>
      <c r="BAP74" s="16"/>
      <c r="BAQ74" s="16"/>
      <c r="BAR74" s="16"/>
      <c r="BAS74" s="16"/>
      <c r="BAT74" s="16"/>
      <c r="BAU74" s="16"/>
      <c r="BAV74" s="16"/>
      <c r="BAW74" s="16"/>
      <c r="BAX74" s="16"/>
      <c r="BAY74" s="16"/>
      <c r="BAZ74" s="16"/>
      <c r="BBA74" s="16"/>
      <c r="BBB74" s="16"/>
      <c r="BBC74" s="16"/>
      <c r="BBD74" s="16"/>
      <c r="BBE74" s="16"/>
      <c r="BBF74" s="16"/>
      <c r="BBG74" s="16"/>
      <c r="BBH74" s="16"/>
      <c r="BBI74" s="16"/>
      <c r="BBJ74" s="16"/>
      <c r="BBK74" s="16"/>
      <c r="BBL74" s="16"/>
      <c r="BBM74" s="16"/>
      <c r="BBN74" s="16"/>
      <c r="BBO74" s="16"/>
      <c r="BBP74" s="16"/>
      <c r="BBQ74" s="16"/>
      <c r="BBR74" s="16"/>
      <c r="BBS74" s="16"/>
      <c r="BBT74" s="16"/>
      <c r="BBU74" s="16"/>
      <c r="BBV74" s="16"/>
      <c r="BBW74" s="16"/>
      <c r="BBX74" s="16"/>
      <c r="BBY74" s="16"/>
      <c r="BBZ74" s="16"/>
      <c r="BCA74" s="16"/>
      <c r="BCB74" s="16"/>
      <c r="BCC74" s="16"/>
      <c r="BCD74" s="16"/>
      <c r="BCE74" s="16"/>
      <c r="BCF74" s="16"/>
      <c r="BCG74" s="16"/>
      <c r="BCH74" s="16"/>
      <c r="BCI74" s="16"/>
      <c r="BCJ74" s="16"/>
      <c r="BCK74" s="16"/>
      <c r="BCL74" s="16"/>
      <c r="BCM74" s="16"/>
      <c r="BCN74" s="16"/>
      <c r="BCO74" s="16"/>
      <c r="BCP74" s="16"/>
      <c r="BCQ74" s="16"/>
      <c r="BCR74" s="16"/>
      <c r="BCS74" s="16"/>
      <c r="BCT74" s="16"/>
      <c r="BCU74" s="16"/>
      <c r="BCV74" s="16"/>
      <c r="BCW74" s="16"/>
      <c r="BCX74" s="16"/>
      <c r="BCY74" s="16"/>
      <c r="BCZ74" s="16"/>
      <c r="BDA74" s="16"/>
      <c r="BDB74" s="16"/>
      <c r="BDC74" s="16"/>
      <c r="BDD74" s="16"/>
      <c r="BDE74" s="16"/>
      <c r="BDF74" s="16"/>
      <c r="BDG74" s="16"/>
      <c r="BDH74" s="16"/>
      <c r="BDI74" s="16"/>
      <c r="BDJ74" s="16"/>
      <c r="BDK74" s="16"/>
      <c r="BDL74" s="16"/>
      <c r="BDM74" s="16"/>
      <c r="BDN74" s="16"/>
      <c r="BDO74" s="16"/>
      <c r="BDP74" s="16"/>
      <c r="BDQ74" s="16"/>
      <c r="BDR74" s="16"/>
      <c r="BDS74" s="16"/>
      <c r="BDT74" s="16"/>
      <c r="BDU74" s="16"/>
      <c r="BDV74" s="16"/>
      <c r="BDW74" s="16"/>
      <c r="BDX74" s="16"/>
      <c r="BDY74" s="16"/>
      <c r="BDZ74" s="16"/>
      <c r="BEA74" s="16"/>
      <c r="BEB74" s="16"/>
      <c r="BEC74" s="16"/>
      <c r="BED74" s="16"/>
      <c r="BEE74" s="16"/>
      <c r="BEF74" s="16"/>
      <c r="BEG74" s="16"/>
      <c r="BEH74" s="16"/>
      <c r="BEI74" s="16"/>
      <c r="BEJ74" s="16"/>
      <c r="BEK74" s="16"/>
      <c r="BEL74" s="16"/>
      <c r="BEM74" s="16"/>
      <c r="BEN74" s="16"/>
      <c r="BEO74" s="16"/>
      <c r="BEP74" s="16"/>
      <c r="BEQ74" s="16"/>
      <c r="BER74" s="16"/>
      <c r="BES74" s="16"/>
      <c r="BET74" s="16"/>
      <c r="BEU74" s="16"/>
      <c r="BEV74" s="16"/>
      <c r="BEW74" s="16"/>
      <c r="BEX74" s="16"/>
      <c r="BEY74" s="16"/>
      <c r="BEZ74" s="16"/>
      <c r="BFA74" s="16"/>
      <c r="BFB74" s="16"/>
      <c r="BFC74" s="16"/>
      <c r="BFD74" s="16"/>
      <c r="BFE74" s="16"/>
      <c r="BFF74" s="16"/>
      <c r="BFG74" s="16"/>
      <c r="BFH74" s="16"/>
      <c r="BFI74" s="16"/>
      <c r="BFJ74" s="16"/>
      <c r="BFK74" s="16"/>
      <c r="BFL74" s="16"/>
      <c r="BFM74" s="16"/>
      <c r="BFN74" s="16"/>
      <c r="BFO74" s="16"/>
      <c r="BFP74" s="16"/>
      <c r="BFQ74" s="16"/>
      <c r="BFR74" s="16"/>
      <c r="BFS74" s="16"/>
      <c r="BFT74" s="16"/>
      <c r="BFU74" s="16"/>
      <c r="BFV74" s="16"/>
      <c r="BFW74" s="16"/>
      <c r="BFX74" s="16"/>
      <c r="BFY74" s="16"/>
      <c r="BFZ74" s="16"/>
      <c r="BGA74" s="16"/>
      <c r="BGB74" s="16"/>
      <c r="BGC74" s="16"/>
      <c r="BGD74" s="16"/>
      <c r="BGE74" s="16"/>
      <c r="BGF74" s="16"/>
      <c r="BGG74" s="16"/>
      <c r="BGH74" s="16"/>
      <c r="BGI74" s="16"/>
      <c r="BGJ74" s="16"/>
      <c r="BGK74" s="16"/>
      <c r="BGL74" s="16"/>
      <c r="BGM74" s="16"/>
      <c r="BGN74" s="16"/>
      <c r="BGO74" s="16"/>
      <c r="BGP74" s="16"/>
      <c r="BGQ74" s="16"/>
      <c r="BGR74" s="16"/>
      <c r="BGS74" s="16"/>
      <c r="BGT74" s="16"/>
      <c r="BGU74" s="16"/>
      <c r="BGV74" s="16"/>
      <c r="BGW74" s="16"/>
      <c r="BGX74" s="16"/>
      <c r="BGY74" s="16"/>
      <c r="BGZ74" s="16"/>
      <c r="BHA74" s="16"/>
      <c r="BHB74" s="16"/>
      <c r="BHC74" s="16"/>
      <c r="BHD74" s="16"/>
      <c r="BHE74" s="16"/>
      <c r="BHF74" s="16"/>
      <c r="BHG74" s="16"/>
      <c r="BHH74" s="16"/>
      <c r="BHI74" s="16"/>
      <c r="BHJ74" s="16"/>
      <c r="BHK74" s="16"/>
      <c r="BHL74" s="16"/>
      <c r="BHM74" s="16"/>
      <c r="BHN74" s="16"/>
      <c r="BHO74" s="16"/>
      <c r="BHP74" s="16"/>
      <c r="BHQ74" s="16"/>
      <c r="BHR74" s="16"/>
      <c r="BHS74" s="16"/>
      <c r="BHT74" s="16"/>
      <c r="BHU74" s="16"/>
      <c r="BHV74" s="16"/>
      <c r="BHW74" s="16"/>
      <c r="BHX74" s="16"/>
      <c r="BHY74" s="16"/>
      <c r="BHZ74" s="16"/>
      <c r="BIA74" s="16"/>
      <c r="BIB74" s="16"/>
      <c r="BIC74" s="16"/>
      <c r="BID74" s="16"/>
      <c r="BIE74" s="16"/>
      <c r="BIF74" s="16"/>
      <c r="BIG74" s="16"/>
      <c r="BIH74" s="16"/>
      <c r="BII74" s="16"/>
      <c r="BIJ74" s="16"/>
      <c r="BIK74" s="16"/>
      <c r="BIL74" s="16"/>
      <c r="BIM74" s="16"/>
      <c r="BIN74" s="16"/>
      <c r="BIO74" s="16"/>
      <c r="BIP74" s="16"/>
      <c r="BIQ74" s="16"/>
      <c r="BIR74" s="16"/>
      <c r="BIS74" s="16"/>
      <c r="BIT74" s="16"/>
      <c r="BIU74" s="16"/>
      <c r="BIV74" s="16"/>
      <c r="BIW74" s="16"/>
      <c r="BIX74" s="16"/>
      <c r="BIY74" s="16"/>
      <c r="BIZ74" s="16"/>
      <c r="BJA74" s="16"/>
      <c r="BJB74" s="16"/>
      <c r="BJC74" s="16"/>
      <c r="BJD74" s="16"/>
      <c r="BJE74" s="16"/>
      <c r="BJF74" s="16"/>
      <c r="BJG74" s="16"/>
      <c r="BJH74" s="16"/>
      <c r="BJI74" s="16"/>
      <c r="BJJ74" s="16"/>
      <c r="BJK74" s="16"/>
      <c r="BJL74" s="16"/>
      <c r="BJM74" s="16"/>
      <c r="BJN74" s="16"/>
      <c r="BJO74" s="16"/>
      <c r="BJP74" s="16"/>
      <c r="BJQ74" s="16"/>
      <c r="BJR74" s="16"/>
      <c r="BJS74" s="16"/>
      <c r="BJT74" s="16"/>
      <c r="BJU74" s="16"/>
      <c r="BJV74" s="16"/>
      <c r="BJW74" s="16"/>
      <c r="BJX74" s="16"/>
      <c r="BJY74" s="16"/>
      <c r="BJZ74" s="16"/>
      <c r="BKA74" s="16"/>
      <c r="BKB74" s="16"/>
      <c r="BKC74" s="16"/>
      <c r="BKD74" s="16"/>
      <c r="BKE74" s="16"/>
      <c r="BKF74" s="16"/>
      <c r="BKG74" s="16"/>
      <c r="BKH74" s="16"/>
      <c r="BKI74" s="16"/>
      <c r="BKJ74" s="16"/>
      <c r="BKK74" s="16"/>
      <c r="BKL74" s="16"/>
      <c r="BKM74" s="16"/>
      <c r="BKN74" s="16"/>
      <c r="BKO74" s="16"/>
      <c r="BKP74" s="16"/>
      <c r="BKQ74" s="16"/>
      <c r="BKR74" s="16"/>
      <c r="BKS74" s="16"/>
      <c r="BKT74" s="16"/>
      <c r="BKU74" s="16"/>
      <c r="BKV74" s="16"/>
      <c r="BKW74" s="16"/>
      <c r="BKX74" s="16"/>
      <c r="BKY74" s="16"/>
      <c r="BKZ74" s="16"/>
      <c r="BLA74" s="16"/>
      <c r="BLB74" s="16"/>
      <c r="BLC74" s="16"/>
      <c r="BLD74" s="16"/>
      <c r="BLE74" s="16"/>
      <c r="BLF74" s="16"/>
      <c r="BLG74" s="16"/>
      <c r="BLH74" s="16"/>
      <c r="BLI74" s="16"/>
      <c r="BLJ74" s="16"/>
      <c r="BLK74" s="16"/>
      <c r="BLL74" s="16"/>
      <c r="BLM74" s="16"/>
      <c r="BLN74" s="16"/>
      <c r="BLO74" s="16"/>
      <c r="BLP74" s="16"/>
      <c r="BLQ74" s="16"/>
      <c r="BLR74" s="16"/>
      <c r="BLS74" s="16"/>
      <c r="BLT74" s="16"/>
      <c r="BLU74" s="16"/>
      <c r="BLV74" s="16"/>
      <c r="BLW74" s="16"/>
      <c r="BLX74" s="16"/>
      <c r="BLY74" s="16"/>
      <c r="BLZ74" s="16"/>
      <c r="BMA74" s="16"/>
      <c r="BMB74" s="16"/>
      <c r="BMC74" s="16"/>
      <c r="BMD74" s="16"/>
      <c r="BME74" s="16"/>
      <c r="BMF74" s="16"/>
      <c r="BMG74" s="16"/>
      <c r="BMH74" s="16"/>
      <c r="BMI74" s="16"/>
      <c r="BMJ74" s="16"/>
      <c r="BMK74" s="16"/>
      <c r="BML74" s="16"/>
      <c r="BMM74" s="16"/>
      <c r="BMN74" s="16"/>
      <c r="BMO74" s="16"/>
      <c r="BMP74" s="16"/>
      <c r="BMQ74" s="16"/>
      <c r="BMR74" s="16"/>
      <c r="BMS74" s="16"/>
      <c r="BMT74" s="16"/>
      <c r="BMU74" s="16"/>
      <c r="BMV74" s="16"/>
      <c r="BMW74" s="16"/>
      <c r="BMX74" s="16"/>
      <c r="BMY74" s="16"/>
      <c r="BMZ74" s="16"/>
      <c r="BNA74" s="16"/>
      <c r="BNB74" s="16"/>
      <c r="BNC74" s="16"/>
      <c r="BND74" s="16"/>
      <c r="BNE74" s="16"/>
      <c r="BNF74" s="16"/>
      <c r="BNG74" s="16"/>
      <c r="BNH74" s="16"/>
      <c r="BNI74" s="16"/>
      <c r="BNJ74" s="16"/>
      <c r="BNK74" s="16"/>
      <c r="BNL74" s="16"/>
      <c r="BNM74" s="16"/>
      <c r="BNN74" s="16"/>
      <c r="BNO74" s="16"/>
      <c r="BNP74" s="16"/>
      <c r="BNQ74" s="16"/>
      <c r="BNR74" s="16"/>
      <c r="BNS74" s="16"/>
      <c r="BNT74" s="16"/>
      <c r="BNU74" s="16"/>
      <c r="BNV74" s="16"/>
      <c r="BNW74" s="16"/>
      <c r="BNX74" s="16"/>
      <c r="BNY74" s="16"/>
      <c r="BNZ74" s="16"/>
      <c r="BOA74" s="16"/>
      <c r="BOB74" s="16"/>
      <c r="BOC74" s="16"/>
      <c r="BOD74" s="16"/>
      <c r="BOE74" s="16"/>
      <c r="BOF74" s="16"/>
      <c r="BOG74" s="16"/>
      <c r="BOH74" s="16"/>
      <c r="BOI74" s="16"/>
      <c r="BOJ74" s="16"/>
      <c r="BOK74" s="16"/>
      <c r="BOL74" s="16"/>
      <c r="BOM74" s="16"/>
      <c r="BON74" s="16"/>
      <c r="BOO74" s="16"/>
      <c r="BOP74" s="16"/>
      <c r="BOQ74" s="16"/>
      <c r="BOR74" s="16"/>
      <c r="BOS74" s="16"/>
      <c r="BOT74" s="16"/>
      <c r="BOU74" s="16"/>
      <c r="BOV74" s="16"/>
      <c r="BOW74" s="16"/>
      <c r="BOX74" s="16"/>
      <c r="BOY74" s="16"/>
      <c r="BOZ74" s="16"/>
      <c r="BPA74" s="16"/>
      <c r="BPB74" s="16"/>
      <c r="BPC74" s="16"/>
      <c r="BPD74" s="16"/>
      <c r="BPE74" s="16"/>
      <c r="BPF74" s="16"/>
      <c r="BPG74" s="16"/>
      <c r="BPH74" s="16"/>
      <c r="BPI74" s="16"/>
      <c r="BPJ74" s="16"/>
      <c r="BPK74" s="16"/>
      <c r="BPL74" s="16"/>
      <c r="BPM74" s="16"/>
      <c r="BPN74" s="16"/>
      <c r="BPO74" s="16"/>
      <c r="BPP74" s="16"/>
      <c r="BPQ74" s="16"/>
      <c r="BPR74" s="16"/>
      <c r="BPS74" s="16"/>
      <c r="BPT74" s="16"/>
      <c r="BPU74" s="16"/>
      <c r="BPV74" s="16"/>
      <c r="BPW74" s="16"/>
      <c r="BPX74" s="16"/>
      <c r="BPY74" s="16"/>
      <c r="BPZ74" s="16"/>
      <c r="BQA74" s="16"/>
      <c r="BQB74" s="16"/>
      <c r="BQC74" s="16"/>
      <c r="BQD74" s="16"/>
      <c r="BQE74" s="16"/>
      <c r="BQF74" s="16"/>
      <c r="BQG74" s="16"/>
      <c r="BQH74" s="16"/>
      <c r="BQI74" s="16"/>
      <c r="BQJ74" s="16"/>
      <c r="BQK74" s="16"/>
      <c r="BQL74" s="16"/>
      <c r="BQM74" s="16"/>
      <c r="BQN74" s="16"/>
      <c r="BQO74" s="16"/>
      <c r="BQP74" s="16"/>
      <c r="BQQ74" s="16"/>
      <c r="BQR74" s="16"/>
      <c r="BQS74" s="16"/>
      <c r="BQT74" s="16"/>
      <c r="BQU74" s="16"/>
      <c r="BQV74" s="16"/>
      <c r="BQW74" s="16"/>
      <c r="BQX74" s="16"/>
      <c r="BQY74" s="16"/>
      <c r="BQZ74" s="16"/>
      <c r="BRA74" s="16"/>
      <c r="BRB74" s="16"/>
      <c r="BRC74" s="16"/>
      <c r="BRD74" s="16"/>
      <c r="BRE74" s="16"/>
      <c r="BRF74" s="16"/>
      <c r="BRG74" s="16"/>
      <c r="BRH74" s="16"/>
      <c r="BRI74" s="16"/>
      <c r="BRJ74" s="16"/>
      <c r="BRK74" s="16"/>
      <c r="BRL74" s="16"/>
      <c r="BRM74" s="16"/>
      <c r="BRN74" s="16"/>
      <c r="BRO74" s="16"/>
      <c r="BRP74" s="16"/>
      <c r="BRQ74" s="16"/>
      <c r="BRR74" s="16"/>
      <c r="BRS74" s="16"/>
      <c r="BRT74" s="16"/>
      <c r="BRU74" s="16"/>
      <c r="BRV74" s="16"/>
      <c r="BRW74" s="16"/>
      <c r="BRX74" s="16"/>
      <c r="BRY74" s="16"/>
      <c r="BRZ74" s="16"/>
      <c r="BSA74" s="16"/>
      <c r="BSB74" s="16"/>
      <c r="BSC74" s="16"/>
      <c r="BSD74" s="16"/>
      <c r="BSE74" s="16"/>
      <c r="BSF74" s="16"/>
      <c r="BSG74" s="16"/>
      <c r="BSH74" s="16"/>
      <c r="BSI74" s="16"/>
      <c r="BSJ74" s="16"/>
      <c r="BSK74" s="16"/>
      <c r="BSL74" s="16"/>
      <c r="BSM74" s="16"/>
      <c r="BSN74" s="16"/>
      <c r="BSO74" s="16"/>
      <c r="BSP74" s="16"/>
      <c r="BSQ74" s="16"/>
      <c r="BSR74" s="16"/>
      <c r="BSS74" s="16"/>
      <c r="BST74" s="16"/>
      <c r="BSU74" s="16"/>
      <c r="BSV74" s="16"/>
      <c r="BSW74" s="16"/>
      <c r="BSX74" s="16"/>
      <c r="BSY74" s="16"/>
      <c r="BSZ74" s="16"/>
      <c r="BTA74" s="16"/>
      <c r="BTB74" s="16"/>
      <c r="BTC74" s="16"/>
      <c r="BTD74" s="16"/>
      <c r="BTE74" s="16"/>
      <c r="BTF74" s="16"/>
      <c r="BTG74" s="16"/>
      <c r="BTH74" s="16"/>
    </row>
    <row r="75" spans="1:1880" s="307" customFormat="1" ht="225" customHeight="1" x14ac:dyDescent="0.3">
      <c r="A75" s="66">
        <v>577</v>
      </c>
      <c r="B75" s="266"/>
      <c r="C75" s="266" t="s">
        <v>192</v>
      </c>
      <c r="D75" s="169" t="s">
        <v>700</v>
      </c>
      <c r="E75" s="390"/>
      <c r="F75" s="135"/>
      <c r="G75" s="391" t="str">
        <f>IF(F75="Yes","In this cell - Please include the name of the plan, a brief description of the benefit and the population group that received the benefits."," ")</f>
        <v xml:space="preserve"> </v>
      </c>
      <c r="H75" s="15"/>
      <c r="I75" s="305"/>
      <c r="J75"/>
      <c r="K75" s="16"/>
      <c r="L75"/>
      <c r="M75" s="16"/>
      <c r="N75" s="137"/>
      <c r="O75" s="16"/>
      <c r="P75" s="16"/>
      <c r="Q75" s="16"/>
      <c r="R75" s="16"/>
      <c r="S75" s="16"/>
      <c r="T75" s="16"/>
      <c r="U75" s="16"/>
      <c r="V75" s="16"/>
      <c r="W75" s="16"/>
      <c r="X75" s="16"/>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c r="AMF75" s="16"/>
      <c r="AMG75" s="16"/>
      <c r="AMH75" s="16"/>
      <c r="AMI75" s="16"/>
      <c r="AMJ75" s="16"/>
      <c r="AMK75" s="16"/>
      <c r="AML75" s="16"/>
      <c r="AMM75" s="16"/>
      <c r="AMN75" s="16"/>
      <c r="AMO75" s="16"/>
      <c r="AMP75" s="16"/>
      <c r="AMQ75" s="16"/>
      <c r="AMR75" s="16"/>
      <c r="AMS75" s="16"/>
      <c r="AMT75" s="16"/>
      <c r="AMU75" s="16"/>
      <c r="AMV75" s="16"/>
      <c r="AMW75" s="16"/>
      <c r="AMX75" s="16"/>
      <c r="AMY75" s="16"/>
      <c r="AMZ75" s="16"/>
      <c r="ANA75" s="16"/>
      <c r="ANB75" s="16"/>
      <c r="ANC75" s="16"/>
      <c r="AND75" s="16"/>
      <c r="ANE75" s="16"/>
      <c r="ANF75" s="16"/>
      <c r="ANG75" s="16"/>
      <c r="ANH75" s="16"/>
      <c r="ANI75" s="16"/>
      <c r="ANJ75" s="16"/>
      <c r="ANK75" s="16"/>
      <c r="ANL75" s="16"/>
      <c r="ANM75" s="16"/>
      <c r="ANN75" s="16"/>
      <c r="ANO75" s="16"/>
      <c r="ANP75" s="16"/>
      <c r="ANQ75" s="16"/>
      <c r="ANR75" s="16"/>
      <c r="ANS75" s="16"/>
      <c r="ANT75" s="16"/>
      <c r="ANU75" s="16"/>
      <c r="ANV75" s="16"/>
      <c r="ANW75" s="16"/>
      <c r="ANX75" s="16"/>
      <c r="ANY75" s="16"/>
      <c r="ANZ75" s="16"/>
      <c r="AOA75" s="16"/>
      <c r="AOB75" s="16"/>
      <c r="AOC75" s="16"/>
      <c r="AOD75" s="16"/>
      <c r="AOE75" s="16"/>
      <c r="AOF75" s="16"/>
      <c r="AOG75" s="16"/>
      <c r="AOH75" s="16"/>
      <c r="AOI75" s="16"/>
      <c r="AOJ75" s="16"/>
      <c r="AOK75" s="16"/>
      <c r="AOL75" s="16"/>
      <c r="AOM75" s="16"/>
      <c r="AON75" s="16"/>
      <c r="AOO75" s="16"/>
      <c r="AOP75" s="16"/>
      <c r="AOQ75" s="16"/>
      <c r="AOR75" s="16"/>
      <c r="AOS75" s="16"/>
      <c r="AOT75" s="16"/>
      <c r="AOU75" s="16"/>
      <c r="AOV75" s="16"/>
      <c r="AOW75" s="16"/>
      <c r="AOX75" s="16"/>
      <c r="AOY75" s="16"/>
      <c r="AOZ75" s="16"/>
      <c r="APA75" s="16"/>
      <c r="APB75" s="16"/>
      <c r="APC75" s="16"/>
      <c r="APD75" s="16"/>
      <c r="APE75" s="16"/>
      <c r="APF75" s="16"/>
      <c r="APG75" s="16"/>
      <c r="APH75" s="16"/>
      <c r="API75" s="16"/>
      <c r="APJ75" s="16"/>
      <c r="APK75" s="16"/>
      <c r="APL75" s="16"/>
      <c r="APM75" s="16"/>
      <c r="APN75" s="16"/>
      <c r="APO75" s="16"/>
      <c r="APP75" s="16"/>
      <c r="APQ75" s="16"/>
      <c r="APR75" s="16"/>
      <c r="APS75" s="16"/>
      <c r="APT75" s="16"/>
      <c r="APU75" s="16"/>
      <c r="APV75" s="16"/>
      <c r="APW75" s="16"/>
      <c r="APX75" s="16"/>
      <c r="APY75" s="16"/>
      <c r="APZ75" s="16"/>
      <c r="AQA75" s="16"/>
      <c r="AQB75" s="16"/>
      <c r="AQC75" s="16"/>
      <c r="AQD75" s="16"/>
      <c r="AQE75" s="16"/>
      <c r="AQF75" s="16"/>
      <c r="AQG75" s="16"/>
      <c r="AQH75" s="16"/>
      <c r="AQI75" s="16"/>
      <c r="AQJ75" s="16"/>
      <c r="AQK75" s="16"/>
      <c r="AQL75" s="16"/>
      <c r="AQM75" s="16"/>
      <c r="AQN75" s="16"/>
      <c r="AQO75" s="16"/>
      <c r="AQP75" s="16"/>
      <c r="AQQ75" s="16"/>
      <c r="AQR75" s="16"/>
      <c r="AQS75" s="16"/>
      <c r="AQT75" s="16"/>
      <c r="AQU75" s="16"/>
      <c r="AQV75" s="16"/>
      <c r="AQW75" s="16"/>
      <c r="AQX75" s="16"/>
      <c r="AQY75" s="16"/>
      <c r="AQZ75" s="16"/>
      <c r="ARA75" s="16"/>
      <c r="ARB75" s="16"/>
      <c r="ARC75" s="16"/>
      <c r="ARD75" s="16"/>
      <c r="ARE75" s="16"/>
      <c r="ARF75" s="16"/>
      <c r="ARG75" s="16"/>
      <c r="ARH75" s="16"/>
      <c r="ARI75" s="16"/>
      <c r="ARJ75" s="16"/>
      <c r="ARK75" s="16"/>
      <c r="ARL75" s="16"/>
      <c r="ARM75" s="16"/>
      <c r="ARN75" s="16"/>
      <c r="ARO75" s="16"/>
      <c r="ARP75" s="16"/>
      <c r="ARQ75" s="16"/>
      <c r="ARR75" s="16"/>
      <c r="ARS75" s="16"/>
      <c r="ART75" s="16"/>
      <c r="ARU75" s="16"/>
      <c r="ARV75" s="16"/>
      <c r="ARW75" s="16"/>
      <c r="ARX75" s="16"/>
      <c r="ARY75" s="16"/>
      <c r="ARZ75" s="16"/>
      <c r="ASA75" s="16"/>
      <c r="ASB75" s="16"/>
      <c r="ASC75" s="16"/>
      <c r="ASD75" s="16"/>
      <c r="ASE75" s="16"/>
      <c r="ASF75" s="16"/>
      <c r="ASG75" s="16"/>
      <c r="ASH75" s="16"/>
      <c r="ASI75" s="16"/>
      <c r="ASJ75" s="16"/>
      <c r="ASK75" s="16"/>
      <c r="ASL75" s="16"/>
      <c r="ASM75" s="16"/>
      <c r="ASN75" s="16"/>
      <c r="ASO75" s="16"/>
      <c r="ASP75" s="16"/>
      <c r="ASQ75" s="16"/>
      <c r="ASR75" s="16"/>
      <c r="ASS75" s="16"/>
      <c r="AST75" s="16"/>
      <c r="ASU75" s="16"/>
      <c r="ASV75" s="16"/>
      <c r="ASW75" s="16"/>
      <c r="ASX75" s="16"/>
      <c r="ASY75" s="16"/>
      <c r="ASZ75" s="16"/>
      <c r="ATA75" s="16"/>
      <c r="ATB75" s="16"/>
      <c r="ATC75" s="16"/>
      <c r="ATD75" s="16"/>
      <c r="ATE75" s="16"/>
      <c r="ATF75" s="16"/>
      <c r="ATG75" s="16"/>
      <c r="ATH75" s="16"/>
      <c r="ATI75" s="16"/>
      <c r="ATJ75" s="16"/>
      <c r="ATK75" s="16"/>
      <c r="ATL75" s="16"/>
      <c r="ATM75" s="16"/>
      <c r="ATN75" s="16"/>
      <c r="ATO75" s="16"/>
      <c r="ATP75" s="16"/>
      <c r="ATQ75" s="16"/>
      <c r="ATR75" s="16"/>
      <c r="ATS75" s="16"/>
      <c r="ATT75" s="16"/>
      <c r="ATU75" s="16"/>
      <c r="ATV75" s="16"/>
      <c r="ATW75" s="16"/>
      <c r="ATX75" s="16"/>
      <c r="ATY75" s="16"/>
      <c r="ATZ75" s="16"/>
      <c r="AUA75" s="16"/>
      <c r="AUB75" s="16"/>
      <c r="AUC75" s="16"/>
      <c r="AUD75" s="16"/>
      <c r="AUE75" s="16"/>
      <c r="AUF75" s="16"/>
      <c r="AUG75" s="16"/>
      <c r="AUH75" s="16"/>
      <c r="AUI75" s="16"/>
      <c r="AUJ75" s="16"/>
      <c r="AUK75" s="16"/>
      <c r="AUL75" s="16"/>
      <c r="AUM75" s="16"/>
      <c r="AUN75" s="16"/>
      <c r="AUO75" s="16"/>
      <c r="AUP75" s="16"/>
      <c r="AUQ75" s="16"/>
      <c r="AUR75" s="16"/>
      <c r="AUS75" s="16"/>
      <c r="AUT75" s="16"/>
      <c r="AUU75" s="16"/>
      <c r="AUV75" s="16"/>
      <c r="AUW75" s="16"/>
      <c r="AUX75" s="16"/>
      <c r="AUY75" s="16"/>
      <c r="AUZ75" s="16"/>
      <c r="AVA75" s="16"/>
      <c r="AVB75" s="16"/>
      <c r="AVC75" s="16"/>
      <c r="AVD75" s="16"/>
      <c r="AVE75" s="16"/>
      <c r="AVF75" s="16"/>
      <c r="AVG75" s="16"/>
      <c r="AVH75" s="16"/>
      <c r="AVI75" s="16"/>
      <c r="AVJ75" s="16"/>
      <c r="AVK75" s="16"/>
      <c r="AVL75" s="16"/>
      <c r="AVM75" s="16"/>
      <c r="AVN75" s="16"/>
      <c r="AVO75" s="16"/>
      <c r="AVP75" s="16"/>
      <c r="AVQ75" s="16"/>
      <c r="AVR75" s="16"/>
      <c r="AVS75" s="16"/>
      <c r="AVT75" s="16"/>
      <c r="AVU75" s="16"/>
      <c r="AVV75" s="16"/>
      <c r="AVW75" s="16"/>
      <c r="AVX75" s="16"/>
      <c r="AVY75" s="16"/>
      <c r="AVZ75" s="16"/>
      <c r="AWA75" s="16"/>
      <c r="AWB75" s="16"/>
      <c r="AWC75" s="16"/>
      <c r="AWD75" s="16"/>
      <c r="AWE75" s="16"/>
      <c r="AWF75" s="16"/>
      <c r="AWG75" s="16"/>
      <c r="AWH75" s="16"/>
      <c r="AWI75" s="16"/>
      <c r="AWJ75" s="16"/>
      <c r="AWK75" s="16"/>
      <c r="AWL75" s="16"/>
      <c r="AWM75" s="16"/>
      <c r="AWN75" s="16"/>
      <c r="AWO75" s="16"/>
      <c r="AWP75" s="16"/>
      <c r="AWQ75" s="16"/>
      <c r="AWR75" s="16"/>
      <c r="AWS75" s="16"/>
      <c r="AWT75" s="16"/>
      <c r="AWU75" s="16"/>
      <c r="AWV75" s="16"/>
      <c r="AWW75" s="16"/>
      <c r="AWX75" s="16"/>
      <c r="AWY75" s="16"/>
      <c r="AWZ75" s="16"/>
      <c r="AXA75" s="16"/>
      <c r="AXB75" s="16"/>
      <c r="AXC75" s="16"/>
      <c r="AXD75" s="16"/>
      <c r="AXE75" s="16"/>
      <c r="AXF75" s="16"/>
      <c r="AXG75" s="16"/>
      <c r="AXH75" s="16"/>
      <c r="AXI75" s="16"/>
      <c r="AXJ75" s="16"/>
      <c r="AXK75" s="16"/>
      <c r="AXL75" s="16"/>
      <c r="AXM75" s="16"/>
      <c r="AXN75" s="16"/>
      <c r="AXO75" s="16"/>
      <c r="AXP75" s="16"/>
      <c r="AXQ75" s="16"/>
      <c r="AXR75" s="16"/>
      <c r="AXS75" s="16"/>
      <c r="AXT75" s="16"/>
      <c r="AXU75" s="16"/>
      <c r="AXV75" s="16"/>
      <c r="AXW75" s="16"/>
      <c r="AXX75" s="16"/>
      <c r="AXY75" s="16"/>
      <c r="AXZ75" s="16"/>
      <c r="AYA75" s="16"/>
      <c r="AYB75" s="16"/>
      <c r="AYC75" s="16"/>
      <c r="AYD75" s="16"/>
      <c r="AYE75" s="16"/>
      <c r="AYF75" s="16"/>
      <c r="AYG75" s="16"/>
      <c r="AYH75" s="16"/>
      <c r="AYI75" s="16"/>
      <c r="AYJ75" s="16"/>
      <c r="AYK75" s="16"/>
      <c r="AYL75" s="16"/>
      <c r="AYM75" s="16"/>
      <c r="AYN75" s="16"/>
      <c r="AYO75" s="16"/>
      <c r="AYP75" s="16"/>
      <c r="AYQ75" s="16"/>
      <c r="AYR75" s="16"/>
      <c r="AYS75" s="16"/>
      <c r="AYT75" s="16"/>
      <c r="AYU75" s="16"/>
      <c r="AYV75" s="16"/>
      <c r="AYW75" s="16"/>
      <c r="AYX75" s="16"/>
      <c r="AYY75" s="16"/>
      <c r="AYZ75" s="16"/>
      <c r="AZA75" s="16"/>
      <c r="AZB75" s="16"/>
      <c r="AZC75" s="16"/>
      <c r="AZD75" s="16"/>
      <c r="AZE75" s="16"/>
      <c r="AZF75" s="16"/>
      <c r="AZG75" s="16"/>
      <c r="AZH75" s="16"/>
      <c r="AZI75" s="16"/>
      <c r="AZJ75" s="16"/>
      <c r="AZK75" s="16"/>
      <c r="AZL75" s="16"/>
      <c r="AZM75" s="16"/>
      <c r="AZN75" s="16"/>
      <c r="AZO75" s="16"/>
      <c r="AZP75" s="16"/>
      <c r="AZQ75" s="16"/>
      <c r="AZR75" s="16"/>
      <c r="AZS75" s="16"/>
      <c r="AZT75" s="16"/>
      <c r="AZU75" s="16"/>
      <c r="AZV75" s="16"/>
      <c r="AZW75" s="16"/>
      <c r="AZX75" s="16"/>
      <c r="AZY75" s="16"/>
      <c r="AZZ75" s="16"/>
      <c r="BAA75" s="16"/>
      <c r="BAB75" s="16"/>
      <c r="BAC75" s="16"/>
      <c r="BAD75" s="16"/>
      <c r="BAE75" s="16"/>
      <c r="BAF75" s="16"/>
      <c r="BAG75" s="16"/>
      <c r="BAH75" s="16"/>
      <c r="BAI75" s="16"/>
      <c r="BAJ75" s="16"/>
      <c r="BAK75" s="16"/>
      <c r="BAL75" s="16"/>
      <c r="BAM75" s="16"/>
      <c r="BAN75" s="16"/>
      <c r="BAO75" s="16"/>
      <c r="BAP75" s="16"/>
      <c r="BAQ75" s="16"/>
      <c r="BAR75" s="16"/>
      <c r="BAS75" s="16"/>
      <c r="BAT75" s="16"/>
      <c r="BAU75" s="16"/>
      <c r="BAV75" s="16"/>
      <c r="BAW75" s="16"/>
      <c r="BAX75" s="16"/>
      <c r="BAY75" s="16"/>
      <c r="BAZ75" s="16"/>
      <c r="BBA75" s="16"/>
      <c r="BBB75" s="16"/>
      <c r="BBC75" s="16"/>
      <c r="BBD75" s="16"/>
      <c r="BBE75" s="16"/>
      <c r="BBF75" s="16"/>
      <c r="BBG75" s="16"/>
      <c r="BBH75" s="16"/>
      <c r="BBI75" s="16"/>
      <c r="BBJ75" s="16"/>
      <c r="BBK75" s="16"/>
      <c r="BBL75" s="16"/>
      <c r="BBM75" s="16"/>
      <c r="BBN75" s="16"/>
      <c r="BBO75" s="16"/>
      <c r="BBP75" s="16"/>
      <c r="BBQ75" s="16"/>
      <c r="BBR75" s="16"/>
      <c r="BBS75" s="16"/>
      <c r="BBT75" s="16"/>
      <c r="BBU75" s="16"/>
      <c r="BBV75" s="16"/>
      <c r="BBW75" s="16"/>
      <c r="BBX75" s="16"/>
      <c r="BBY75" s="16"/>
      <c r="BBZ75" s="16"/>
      <c r="BCA75" s="16"/>
      <c r="BCB75" s="16"/>
      <c r="BCC75" s="16"/>
      <c r="BCD75" s="16"/>
      <c r="BCE75" s="16"/>
      <c r="BCF75" s="16"/>
      <c r="BCG75" s="16"/>
      <c r="BCH75" s="16"/>
      <c r="BCI75" s="16"/>
      <c r="BCJ75" s="16"/>
      <c r="BCK75" s="16"/>
      <c r="BCL75" s="16"/>
      <c r="BCM75" s="16"/>
      <c r="BCN75" s="16"/>
      <c r="BCO75" s="16"/>
      <c r="BCP75" s="16"/>
      <c r="BCQ75" s="16"/>
      <c r="BCR75" s="16"/>
      <c r="BCS75" s="16"/>
      <c r="BCT75" s="16"/>
      <c r="BCU75" s="16"/>
      <c r="BCV75" s="16"/>
      <c r="BCW75" s="16"/>
      <c r="BCX75" s="16"/>
      <c r="BCY75" s="16"/>
      <c r="BCZ75" s="16"/>
      <c r="BDA75" s="16"/>
      <c r="BDB75" s="16"/>
      <c r="BDC75" s="16"/>
      <c r="BDD75" s="16"/>
      <c r="BDE75" s="16"/>
      <c r="BDF75" s="16"/>
      <c r="BDG75" s="16"/>
      <c r="BDH75" s="16"/>
      <c r="BDI75" s="16"/>
      <c r="BDJ75" s="16"/>
      <c r="BDK75" s="16"/>
      <c r="BDL75" s="16"/>
      <c r="BDM75" s="16"/>
      <c r="BDN75" s="16"/>
      <c r="BDO75" s="16"/>
      <c r="BDP75" s="16"/>
      <c r="BDQ75" s="16"/>
      <c r="BDR75" s="16"/>
      <c r="BDS75" s="16"/>
      <c r="BDT75" s="16"/>
      <c r="BDU75" s="16"/>
      <c r="BDV75" s="16"/>
      <c r="BDW75" s="16"/>
      <c r="BDX75" s="16"/>
      <c r="BDY75" s="16"/>
      <c r="BDZ75" s="16"/>
      <c r="BEA75" s="16"/>
      <c r="BEB75" s="16"/>
      <c r="BEC75" s="16"/>
      <c r="BED75" s="16"/>
      <c r="BEE75" s="16"/>
      <c r="BEF75" s="16"/>
      <c r="BEG75" s="16"/>
      <c r="BEH75" s="16"/>
      <c r="BEI75" s="16"/>
      <c r="BEJ75" s="16"/>
      <c r="BEK75" s="16"/>
      <c r="BEL75" s="16"/>
      <c r="BEM75" s="16"/>
      <c r="BEN75" s="16"/>
      <c r="BEO75" s="16"/>
      <c r="BEP75" s="16"/>
      <c r="BEQ75" s="16"/>
      <c r="BER75" s="16"/>
      <c r="BES75" s="16"/>
      <c r="BET75" s="16"/>
      <c r="BEU75" s="16"/>
      <c r="BEV75" s="16"/>
      <c r="BEW75" s="16"/>
      <c r="BEX75" s="16"/>
      <c r="BEY75" s="16"/>
      <c r="BEZ75" s="16"/>
      <c r="BFA75" s="16"/>
      <c r="BFB75" s="16"/>
      <c r="BFC75" s="16"/>
      <c r="BFD75" s="16"/>
      <c r="BFE75" s="16"/>
      <c r="BFF75" s="16"/>
      <c r="BFG75" s="16"/>
      <c r="BFH75" s="16"/>
      <c r="BFI75" s="16"/>
      <c r="BFJ75" s="16"/>
      <c r="BFK75" s="16"/>
      <c r="BFL75" s="16"/>
      <c r="BFM75" s="16"/>
      <c r="BFN75" s="16"/>
      <c r="BFO75" s="16"/>
      <c r="BFP75" s="16"/>
      <c r="BFQ75" s="16"/>
      <c r="BFR75" s="16"/>
      <c r="BFS75" s="16"/>
      <c r="BFT75" s="16"/>
      <c r="BFU75" s="16"/>
      <c r="BFV75" s="16"/>
      <c r="BFW75" s="16"/>
      <c r="BFX75" s="16"/>
      <c r="BFY75" s="16"/>
      <c r="BFZ75" s="16"/>
      <c r="BGA75" s="16"/>
      <c r="BGB75" s="16"/>
      <c r="BGC75" s="16"/>
      <c r="BGD75" s="16"/>
      <c r="BGE75" s="16"/>
      <c r="BGF75" s="16"/>
      <c r="BGG75" s="16"/>
      <c r="BGH75" s="16"/>
      <c r="BGI75" s="16"/>
      <c r="BGJ75" s="16"/>
      <c r="BGK75" s="16"/>
      <c r="BGL75" s="16"/>
      <c r="BGM75" s="16"/>
      <c r="BGN75" s="16"/>
      <c r="BGO75" s="16"/>
      <c r="BGP75" s="16"/>
      <c r="BGQ75" s="16"/>
      <c r="BGR75" s="16"/>
      <c r="BGS75" s="16"/>
      <c r="BGT75" s="16"/>
      <c r="BGU75" s="16"/>
      <c r="BGV75" s="16"/>
      <c r="BGW75" s="16"/>
      <c r="BGX75" s="16"/>
      <c r="BGY75" s="16"/>
      <c r="BGZ75" s="16"/>
      <c r="BHA75" s="16"/>
      <c r="BHB75" s="16"/>
      <c r="BHC75" s="16"/>
      <c r="BHD75" s="16"/>
      <c r="BHE75" s="16"/>
      <c r="BHF75" s="16"/>
      <c r="BHG75" s="16"/>
      <c r="BHH75" s="16"/>
      <c r="BHI75" s="16"/>
      <c r="BHJ75" s="16"/>
      <c r="BHK75" s="16"/>
      <c r="BHL75" s="16"/>
      <c r="BHM75" s="16"/>
      <c r="BHN75" s="16"/>
      <c r="BHO75" s="16"/>
      <c r="BHP75" s="16"/>
      <c r="BHQ75" s="16"/>
      <c r="BHR75" s="16"/>
      <c r="BHS75" s="16"/>
      <c r="BHT75" s="16"/>
      <c r="BHU75" s="16"/>
      <c r="BHV75" s="16"/>
      <c r="BHW75" s="16"/>
      <c r="BHX75" s="16"/>
      <c r="BHY75" s="16"/>
      <c r="BHZ75" s="16"/>
      <c r="BIA75" s="16"/>
      <c r="BIB75" s="16"/>
      <c r="BIC75" s="16"/>
      <c r="BID75" s="16"/>
      <c r="BIE75" s="16"/>
      <c r="BIF75" s="16"/>
      <c r="BIG75" s="16"/>
      <c r="BIH75" s="16"/>
      <c r="BII75" s="16"/>
      <c r="BIJ75" s="16"/>
      <c r="BIK75" s="16"/>
      <c r="BIL75" s="16"/>
      <c r="BIM75" s="16"/>
      <c r="BIN75" s="16"/>
      <c r="BIO75" s="16"/>
      <c r="BIP75" s="16"/>
      <c r="BIQ75" s="16"/>
      <c r="BIR75" s="16"/>
      <c r="BIS75" s="16"/>
      <c r="BIT75" s="16"/>
      <c r="BIU75" s="16"/>
      <c r="BIV75" s="16"/>
      <c r="BIW75" s="16"/>
      <c r="BIX75" s="16"/>
      <c r="BIY75" s="16"/>
      <c r="BIZ75" s="16"/>
      <c r="BJA75" s="16"/>
      <c r="BJB75" s="16"/>
      <c r="BJC75" s="16"/>
      <c r="BJD75" s="16"/>
      <c r="BJE75" s="16"/>
      <c r="BJF75" s="16"/>
      <c r="BJG75" s="16"/>
      <c r="BJH75" s="16"/>
      <c r="BJI75" s="16"/>
      <c r="BJJ75" s="16"/>
      <c r="BJK75" s="16"/>
      <c r="BJL75" s="16"/>
      <c r="BJM75" s="16"/>
      <c r="BJN75" s="16"/>
      <c r="BJO75" s="16"/>
      <c r="BJP75" s="16"/>
      <c r="BJQ75" s="16"/>
      <c r="BJR75" s="16"/>
      <c r="BJS75" s="16"/>
      <c r="BJT75" s="16"/>
      <c r="BJU75" s="16"/>
      <c r="BJV75" s="16"/>
      <c r="BJW75" s="16"/>
      <c r="BJX75" s="16"/>
      <c r="BJY75" s="16"/>
      <c r="BJZ75" s="16"/>
      <c r="BKA75" s="16"/>
      <c r="BKB75" s="16"/>
      <c r="BKC75" s="16"/>
      <c r="BKD75" s="16"/>
      <c r="BKE75" s="16"/>
      <c r="BKF75" s="16"/>
      <c r="BKG75" s="16"/>
      <c r="BKH75" s="16"/>
      <c r="BKI75" s="16"/>
      <c r="BKJ75" s="16"/>
      <c r="BKK75" s="16"/>
      <c r="BKL75" s="16"/>
      <c r="BKM75" s="16"/>
      <c r="BKN75" s="16"/>
      <c r="BKO75" s="16"/>
      <c r="BKP75" s="16"/>
      <c r="BKQ75" s="16"/>
      <c r="BKR75" s="16"/>
      <c r="BKS75" s="16"/>
      <c r="BKT75" s="16"/>
      <c r="BKU75" s="16"/>
      <c r="BKV75" s="16"/>
      <c r="BKW75" s="16"/>
      <c r="BKX75" s="16"/>
      <c r="BKY75" s="16"/>
      <c r="BKZ75" s="16"/>
      <c r="BLA75" s="16"/>
      <c r="BLB75" s="16"/>
      <c r="BLC75" s="16"/>
      <c r="BLD75" s="16"/>
      <c r="BLE75" s="16"/>
      <c r="BLF75" s="16"/>
      <c r="BLG75" s="16"/>
      <c r="BLH75" s="16"/>
      <c r="BLI75" s="16"/>
      <c r="BLJ75" s="16"/>
      <c r="BLK75" s="16"/>
      <c r="BLL75" s="16"/>
      <c r="BLM75" s="16"/>
      <c r="BLN75" s="16"/>
      <c r="BLO75" s="16"/>
      <c r="BLP75" s="16"/>
      <c r="BLQ75" s="16"/>
      <c r="BLR75" s="16"/>
      <c r="BLS75" s="16"/>
      <c r="BLT75" s="16"/>
      <c r="BLU75" s="16"/>
      <c r="BLV75" s="16"/>
      <c r="BLW75" s="16"/>
      <c r="BLX75" s="16"/>
      <c r="BLY75" s="16"/>
      <c r="BLZ75" s="16"/>
      <c r="BMA75" s="16"/>
      <c r="BMB75" s="16"/>
      <c r="BMC75" s="16"/>
      <c r="BMD75" s="16"/>
      <c r="BME75" s="16"/>
      <c r="BMF75" s="16"/>
      <c r="BMG75" s="16"/>
      <c r="BMH75" s="16"/>
      <c r="BMI75" s="16"/>
      <c r="BMJ75" s="16"/>
      <c r="BMK75" s="16"/>
      <c r="BML75" s="16"/>
      <c r="BMM75" s="16"/>
      <c r="BMN75" s="16"/>
      <c r="BMO75" s="16"/>
      <c r="BMP75" s="16"/>
      <c r="BMQ75" s="16"/>
      <c r="BMR75" s="16"/>
      <c r="BMS75" s="16"/>
      <c r="BMT75" s="16"/>
      <c r="BMU75" s="16"/>
      <c r="BMV75" s="16"/>
      <c r="BMW75" s="16"/>
      <c r="BMX75" s="16"/>
      <c r="BMY75" s="16"/>
      <c r="BMZ75" s="16"/>
      <c r="BNA75" s="16"/>
      <c r="BNB75" s="16"/>
      <c r="BNC75" s="16"/>
      <c r="BND75" s="16"/>
      <c r="BNE75" s="16"/>
      <c r="BNF75" s="16"/>
      <c r="BNG75" s="16"/>
      <c r="BNH75" s="16"/>
      <c r="BNI75" s="16"/>
      <c r="BNJ75" s="16"/>
      <c r="BNK75" s="16"/>
      <c r="BNL75" s="16"/>
      <c r="BNM75" s="16"/>
      <c r="BNN75" s="16"/>
      <c r="BNO75" s="16"/>
      <c r="BNP75" s="16"/>
      <c r="BNQ75" s="16"/>
      <c r="BNR75" s="16"/>
      <c r="BNS75" s="16"/>
      <c r="BNT75" s="16"/>
      <c r="BNU75" s="16"/>
      <c r="BNV75" s="16"/>
      <c r="BNW75" s="16"/>
      <c r="BNX75" s="16"/>
      <c r="BNY75" s="16"/>
      <c r="BNZ75" s="16"/>
      <c r="BOA75" s="16"/>
      <c r="BOB75" s="16"/>
      <c r="BOC75" s="16"/>
      <c r="BOD75" s="16"/>
      <c r="BOE75" s="16"/>
      <c r="BOF75" s="16"/>
      <c r="BOG75" s="16"/>
      <c r="BOH75" s="16"/>
      <c r="BOI75" s="16"/>
      <c r="BOJ75" s="16"/>
      <c r="BOK75" s="16"/>
      <c r="BOL75" s="16"/>
      <c r="BOM75" s="16"/>
      <c r="BON75" s="16"/>
      <c r="BOO75" s="16"/>
      <c r="BOP75" s="16"/>
      <c r="BOQ75" s="16"/>
      <c r="BOR75" s="16"/>
      <c r="BOS75" s="16"/>
      <c r="BOT75" s="16"/>
      <c r="BOU75" s="16"/>
      <c r="BOV75" s="16"/>
      <c r="BOW75" s="16"/>
      <c r="BOX75" s="16"/>
      <c r="BOY75" s="16"/>
      <c r="BOZ75" s="16"/>
      <c r="BPA75" s="16"/>
      <c r="BPB75" s="16"/>
      <c r="BPC75" s="16"/>
      <c r="BPD75" s="16"/>
      <c r="BPE75" s="16"/>
      <c r="BPF75" s="16"/>
      <c r="BPG75" s="16"/>
      <c r="BPH75" s="16"/>
      <c r="BPI75" s="16"/>
      <c r="BPJ75" s="16"/>
      <c r="BPK75" s="16"/>
      <c r="BPL75" s="16"/>
      <c r="BPM75" s="16"/>
      <c r="BPN75" s="16"/>
      <c r="BPO75" s="16"/>
      <c r="BPP75" s="16"/>
      <c r="BPQ75" s="16"/>
      <c r="BPR75" s="16"/>
      <c r="BPS75" s="16"/>
      <c r="BPT75" s="16"/>
      <c r="BPU75" s="16"/>
      <c r="BPV75" s="16"/>
      <c r="BPW75" s="16"/>
      <c r="BPX75" s="16"/>
      <c r="BPY75" s="16"/>
      <c r="BPZ75" s="16"/>
      <c r="BQA75" s="16"/>
      <c r="BQB75" s="16"/>
      <c r="BQC75" s="16"/>
      <c r="BQD75" s="16"/>
      <c r="BQE75" s="16"/>
      <c r="BQF75" s="16"/>
      <c r="BQG75" s="16"/>
      <c r="BQH75" s="16"/>
      <c r="BQI75" s="16"/>
      <c r="BQJ75" s="16"/>
      <c r="BQK75" s="16"/>
      <c r="BQL75" s="16"/>
      <c r="BQM75" s="16"/>
      <c r="BQN75" s="16"/>
      <c r="BQO75" s="16"/>
      <c r="BQP75" s="16"/>
      <c r="BQQ75" s="16"/>
      <c r="BQR75" s="16"/>
      <c r="BQS75" s="16"/>
      <c r="BQT75" s="16"/>
      <c r="BQU75" s="16"/>
      <c r="BQV75" s="16"/>
      <c r="BQW75" s="16"/>
      <c r="BQX75" s="16"/>
      <c r="BQY75" s="16"/>
      <c r="BQZ75" s="16"/>
      <c r="BRA75" s="16"/>
      <c r="BRB75" s="16"/>
      <c r="BRC75" s="16"/>
      <c r="BRD75" s="16"/>
      <c r="BRE75" s="16"/>
      <c r="BRF75" s="16"/>
      <c r="BRG75" s="16"/>
      <c r="BRH75" s="16"/>
      <c r="BRI75" s="16"/>
      <c r="BRJ75" s="16"/>
      <c r="BRK75" s="16"/>
      <c r="BRL75" s="16"/>
      <c r="BRM75" s="16"/>
      <c r="BRN75" s="16"/>
      <c r="BRO75" s="16"/>
      <c r="BRP75" s="16"/>
      <c r="BRQ75" s="16"/>
      <c r="BRR75" s="16"/>
      <c r="BRS75" s="16"/>
      <c r="BRT75" s="16"/>
      <c r="BRU75" s="16"/>
      <c r="BRV75" s="16"/>
      <c r="BRW75" s="16"/>
      <c r="BRX75" s="16"/>
      <c r="BRY75" s="16"/>
      <c r="BRZ75" s="16"/>
      <c r="BSA75" s="16"/>
      <c r="BSB75" s="16"/>
      <c r="BSC75" s="16"/>
      <c r="BSD75" s="16"/>
      <c r="BSE75" s="16"/>
      <c r="BSF75" s="16"/>
      <c r="BSG75" s="16"/>
      <c r="BSH75" s="16"/>
      <c r="BSI75" s="16"/>
      <c r="BSJ75" s="16"/>
      <c r="BSK75" s="16"/>
      <c r="BSL75" s="16"/>
      <c r="BSM75" s="16"/>
      <c r="BSN75" s="16"/>
      <c r="BSO75" s="16"/>
      <c r="BSP75" s="16"/>
      <c r="BSQ75" s="16"/>
      <c r="BSR75" s="16"/>
      <c r="BSS75" s="16"/>
      <c r="BST75" s="16"/>
      <c r="BSU75" s="16"/>
      <c r="BSV75" s="16"/>
      <c r="BSW75" s="16"/>
      <c r="BSX75" s="16"/>
      <c r="BSY75" s="16"/>
      <c r="BSZ75" s="16"/>
      <c r="BTA75" s="16"/>
      <c r="BTB75" s="16"/>
      <c r="BTC75" s="16"/>
      <c r="BTD75" s="16"/>
      <c r="BTE75" s="16"/>
      <c r="BTF75" s="16"/>
      <c r="BTG75" s="16"/>
      <c r="BTH75" s="16"/>
    </row>
    <row r="76" spans="1:1880" ht="35.25" customHeight="1" x14ac:dyDescent="0.3">
      <c r="A76" s="66"/>
      <c r="B76" s="350" t="s">
        <v>3</v>
      </c>
      <c r="C76" s="597"/>
      <c r="D76" s="352"/>
      <c r="E76" s="352"/>
      <c r="F76" s="356"/>
      <c r="G76" s="339"/>
      <c r="H76" s="15"/>
      <c r="I76" s="51"/>
      <c r="J76"/>
    </row>
    <row r="77" spans="1:1880" s="16" customFormat="1" ht="123.6" customHeight="1" x14ac:dyDescent="0.3">
      <c r="A77" s="512">
        <v>621</v>
      </c>
      <c r="B77" s="512" t="s">
        <v>212</v>
      </c>
      <c r="C77" s="512" t="s">
        <v>614</v>
      </c>
      <c r="D77" s="513" t="s">
        <v>615</v>
      </c>
      <c r="E77" s="265" t="e">
        <f>INDEX('PY1 Data(H)'!$A$1:$CZ$122,MATCH('Unit Data from Audit Worksheet'!$A77,'PY1 Data(H)'!$A$1:$A$122,0),MATCH('Unit Data from Audit Worksheet'!$D$2,'PY1 Data(H)'!$A$1:$CZ$1,0))</f>
        <v>#N/A</v>
      </c>
      <c r="F77" s="136">
        <v>0</v>
      </c>
      <c r="G77" s="310" t="s">
        <v>630</v>
      </c>
      <c r="H77" s="296"/>
      <c r="I77" s="297"/>
      <c r="J77" s="418"/>
      <c r="L77" s="418"/>
      <c r="N77" s="13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418"/>
      <c r="BG77" s="418"/>
      <c r="BH77" s="418"/>
      <c r="BI77" s="418"/>
      <c r="BJ77" s="418"/>
      <c r="BK77" s="418"/>
      <c r="BL77" s="418"/>
      <c r="BM77" s="418"/>
      <c r="BN77" s="418"/>
      <c r="BO77" s="418"/>
      <c r="BP77" s="418"/>
      <c r="BQ77" s="418"/>
      <c r="BR77" s="418"/>
      <c r="BS77" s="418"/>
      <c r="BT77" s="418"/>
      <c r="BU77" s="418"/>
      <c r="BV77" s="418"/>
      <c r="BW77" s="418"/>
      <c r="BX77" s="418"/>
      <c r="BY77" s="418"/>
      <c r="BZ77" s="418"/>
      <c r="CA77" s="418"/>
      <c r="CB77" s="418"/>
      <c r="CC77" s="418"/>
      <c r="CD77" s="418"/>
      <c r="CE77" s="418"/>
      <c r="CF77" s="418"/>
      <c r="CG77" s="418"/>
      <c r="CH77" s="418"/>
      <c r="CI77" s="418"/>
      <c r="CJ77" s="418"/>
      <c r="CK77" s="418"/>
      <c r="CL77" s="418"/>
      <c r="CM77" s="418"/>
      <c r="CN77" s="418"/>
      <c r="CO77" s="418"/>
      <c r="CP77" s="418"/>
      <c r="CQ77" s="418"/>
      <c r="CR77" s="418"/>
      <c r="CS77" s="418"/>
      <c r="CT77" s="418"/>
      <c r="CU77" s="418"/>
      <c r="CV77" s="418"/>
      <c r="CW77" s="418"/>
      <c r="CX77" s="418"/>
      <c r="CY77" s="418"/>
      <c r="CZ77" s="418"/>
      <c r="DA77" s="418"/>
      <c r="DB77" s="418"/>
      <c r="DC77" s="418"/>
      <c r="DD77" s="418"/>
      <c r="DE77" s="418"/>
      <c r="DF77" s="418"/>
      <c r="DG77" s="418"/>
      <c r="DH77" s="418"/>
      <c r="DI77" s="418"/>
      <c r="DJ77" s="418"/>
      <c r="DK77" s="418"/>
      <c r="DL77" s="418"/>
      <c r="DM77" s="418"/>
      <c r="DN77" s="418"/>
      <c r="DO77" s="418"/>
      <c r="DP77" s="418"/>
      <c r="DQ77" s="418"/>
      <c r="DR77" s="418"/>
    </row>
    <row r="78" spans="1:1880" ht="176.25" customHeight="1" x14ac:dyDescent="0.3">
      <c r="A78" s="66">
        <v>547</v>
      </c>
      <c r="B78" s="266"/>
      <c r="C78" s="266" t="s">
        <v>82</v>
      </c>
      <c r="D78" s="264" t="s">
        <v>701</v>
      </c>
      <c r="E78" s="265" t="e">
        <f>INDEX('PY1 Data(H)'!$A$1:$CZ$122,MATCH('Unit Data from Audit Worksheet'!$A78,'PY1 Data(H)'!$A$1:$A$122,0),MATCH('Unit Data from Audit Worksheet'!$D$2,'PY1 Data(H)'!$A$1:$CZ$1,0))</f>
        <v>#N/A</v>
      </c>
      <c r="F78" s="136"/>
      <c r="G78" s="309" t="str">
        <f>IF(F78&lt;1,"Please answer this question","")</f>
        <v>Please answer this question</v>
      </c>
      <c r="H78" s="296"/>
      <c r="I78" s="297"/>
      <c r="J78"/>
    </row>
    <row r="79" spans="1:1880" s="16" customFormat="1" ht="148.19999999999999" customHeight="1" x14ac:dyDescent="0.3">
      <c r="A79" s="140">
        <v>659</v>
      </c>
      <c r="B79" s="332" t="s">
        <v>23</v>
      </c>
      <c r="C79" s="332" t="s">
        <v>227</v>
      </c>
      <c r="D79" s="142" t="s">
        <v>332</v>
      </c>
      <c r="E79" s="265" t="e">
        <f>INDEX('PY1 Data(H)'!$A$1:$CZ$122,MATCH('Unit Data from Audit Worksheet'!$A79,'PY1 Data(H)'!$A$1:$A$122,0),MATCH('Unit Data from Audit Worksheet'!$D$2,'PY1 Data(H)'!$A$1:$CZ$1,0))</f>
        <v>#N/A</v>
      </c>
      <c r="F79" s="136">
        <v>0</v>
      </c>
      <c r="G79" s="310" t="s">
        <v>333</v>
      </c>
      <c r="H79" s="295">
        <f>IF(F79&lt;0,"Error: Enter as positive.",)</f>
        <v>0</v>
      </c>
      <c r="I79" s="179"/>
      <c r="J79"/>
      <c r="L79"/>
      <c r="N79" s="137"/>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row>
    <row r="80" spans="1:1880" ht="79.2" customHeight="1" x14ac:dyDescent="0.3">
      <c r="A80" s="140">
        <v>660</v>
      </c>
      <c r="B80" s="332" t="s">
        <v>23</v>
      </c>
      <c r="C80" s="332" t="s">
        <v>227</v>
      </c>
      <c r="D80" s="142" t="s">
        <v>334</v>
      </c>
      <c r="E80" s="265" t="e">
        <f>INDEX('PY1 Data(H)'!$A$1:$CZ$122,MATCH('Unit Data from Audit Worksheet'!$A80,'PY1 Data(H)'!$A$1:$A$122,0),MATCH('Unit Data from Audit Worksheet'!$D$2,'PY1 Data(H)'!$A$1:$CZ$1,0))</f>
        <v>#N/A</v>
      </c>
      <c r="F80" s="136">
        <v>0</v>
      </c>
      <c r="G80" s="310" t="str">
        <f>IF(ISBLANK(F80),"Please do not leave blank","")</f>
        <v/>
      </c>
      <c r="H80" s="295"/>
      <c r="I80" s="15"/>
      <c r="J80"/>
    </row>
    <row r="81" spans="1:15" ht="94.5" customHeight="1" x14ac:dyDescent="0.3">
      <c r="A81" s="140">
        <v>661</v>
      </c>
      <c r="B81" s="332" t="s">
        <v>23</v>
      </c>
      <c r="C81" s="332" t="s">
        <v>229</v>
      </c>
      <c r="D81" s="238" t="s">
        <v>335</v>
      </c>
      <c r="E81" s="265" t="e">
        <f>INDEX('PY1 Data(H)'!$A$1:$CZ$122,MATCH('Unit Data from Audit Worksheet'!$A81,'PY1 Data(H)'!$A$1:$A$122,0),MATCH('Unit Data from Audit Worksheet'!$D$2,'PY1 Data(H)'!$A$1:$CZ$1,0))</f>
        <v>#N/A</v>
      </c>
      <c r="F81" s="130">
        <v>0</v>
      </c>
      <c r="G81" s="310" t="str">
        <f>IF(ISBLANK(F81),"Please do not leave blank ",IF(F81=H81,"","Please review percentage"))</f>
        <v/>
      </c>
      <c r="H81" s="311">
        <f>ROUND(IFERROR((F80/F79)*100,0),1)</f>
        <v>0</v>
      </c>
      <c r="I81" s="683"/>
      <c r="J81"/>
    </row>
    <row r="82" spans="1:15" ht="111.75" customHeight="1" x14ac:dyDescent="0.3">
      <c r="A82" s="66"/>
      <c r="B82" s="266"/>
      <c r="C82" s="266"/>
      <c r="D82" s="20" t="s">
        <v>4</v>
      </c>
      <c r="E82" s="354"/>
      <c r="F82" s="494"/>
      <c r="G82" s="310"/>
      <c r="H82" s="311"/>
      <c r="I82" s="684"/>
      <c r="J82"/>
    </row>
    <row r="83" spans="1:15" ht="32.25" customHeight="1" x14ac:dyDescent="0.3">
      <c r="A83" s="66"/>
      <c r="B83" s="350" t="s">
        <v>5</v>
      </c>
      <c r="C83" s="351"/>
      <c r="D83" s="352"/>
      <c r="E83" s="355"/>
      <c r="F83" s="339"/>
      <c r="G83" s="339"/>
      <c r="H83" s="15"/>
      <c r="I83" s="51"/>
      <c r="J83"/>
    </row>
    <row r="84" spans="1:15" ht="68.25" customHeight="1" x14ac:dyDescent="0.3">
      <c r="A84" s="66">
        <v>6</v>
      </c>
      <c r="B84" s="3" t="s">
        <v>21</v>
      </c>
      <c r="C84" s="3" t="s">
        <v>83</v>
      </c>
      <c r="D84" s="18" t="s">
        <v>368</v>
      </c>
      <c r="E84" s="265" t="e">
        <f>INDEX('PY1 Data(H)'!$A$1:$CZ$122,MATCH('Unit Data from Audit Worksheet'!$A84,'PY1 Data(H)'!$A$1:$A$122,0),MATCH('Unit Data from Audit Worksheet'!$D$2,'PY1 Data(H)'!$A$1:$CZ$1,0))</f>
        <v>#N/A</v>
      </c>
      <c r="F84" s="136">
        <v>0</v>
      </c>
      <c r="G84" s="295">
        <f>IF(F84&lt;0,"Error: Enter as positive.",)</f>
        <v>0</v>
      </c>
      <c r="H84" s="15"/>
      <c r="I84" s="51"/>
      <c r="J84"/>
    </row>
    <row r="85" spans="1:15" ht="123.75" customHeight="1" x14ac:dyDescent="0.3">
      <c r="A85" s="520"/>
      <c r="B85" s="708" t="s">
        <v>293</v>
      </c>
      <c r="C85" s="708"/>
      <c r="D85" s="708"/>
      <c r="E85" s="366"/>
      <c r="F85" s="366"/>
      <c r="G85" s="366"/>
      <c r="H85" s="15"/>
      <c r="I85" s="685"/>
      <c r="J85"/>
      <c r="M85" s="16" t="s">
        <v>296</v>
      </c>
    </row>
    <row r="86" spans="1:15" ht="63" customHeight="1" x14ac:dyDescent="0.3">
      <c r="A86" s="140">
        <v>947</v>
      </c>
      <c r="B86" s="332"/>
      <c r="C86" s="332"/>
      <c r="D86" s="238" t="s">
        <v>271</v>
      </c>
      <c r="E86" s="425"/>
      <c r="F86" s="696"/>
      <c r="G86" s="309" t="str">
        <f>IF(ISBLANK(F86),"Please do not leave blank","")</f>
        <v>Please do not leave blank</v>
      </c>
      <c r="H86" s="15"/>
      <c r="I86" s="51"/>
      <c r="J86"/>
      <c r="K86" s="137"/>
      <c r="M86" s="137"/>
      <c r="O86" s="137"/>
    </row>
    <row r="87" spans="1:15" ht="65.25" customHeight="1" x14ac:dyDescent="0.3">
      <c r="A87" s="140">
        <v>948</v>
      </c>
      <c r="B87" s="332"/>
      <c r="C87" s="332"/>
      <c r="D87" s="238" t="s">
        <v>272</v>
      </c>
      <c r="E87" s="425"/>
      <c r="F87" s="696"/>
      <c r="G87" s="309" t="str">
        <f t="shared" ref="G87:G89" si="2">IF(ISBLANK(F87),"Please do not leave blank","")</f>
        <v>Please do not leave blank</v>
      </c>
      <c r="H87" s="15"/>
      <c r="I87" s="51"/>
      <c r="J87"/>
      <c r="K87" s="137"/>
      <c r="M87" s="137"/>
      <c r="O87" s="137"/>
    </row>
    <row r="88" spans="1:15" ht="76.5" customHeight="1" x14ac:dyDescent="0.3">
      <c r="A88" s="140">
        <v>949</v>
      </c>
      <c r="B88" s="332"/>
      <c r="C88" s="332"/>
      <c r="D88" s="238" t="s">
        <v>273</v>
      </c>
      <c r="E88" s="425"/>
      <c r="F88" s="696"/>
      <c r="G88" s="309" t="str">
        <f t="shared" si="2"/>
        <v>Please do not leave blank</v>
      </c>
      <c r="H88" s="15"/>
      <c r="I88" s="51"/>
      <c r="J88"/>
      <c r="K88" s="137"/>
      <c r="M88" s="137"/>
      <c r="O88" s="137"/>
    </row>
    <row r="89" spans="1:15" ht="60" customHeight="1" x14ac:dyDescent="0.3">
      <c r="A89" s="140">
        <v>950</v>
      </c>
      <c r="B89" s="332"/>
      <c r="C89" s="332"/>
      <c r="D89" s="238" t="s">
        <v>260</v>
      </c>
      <c r="E89" s="425"/>
      <c r="F89" s="696"/>
      <c r="G89" s="309" t="str">
        <f t="shared" si="2"/>
        <v>Please do not leave blank</v>
      </c>
      <c r="H89" s="15"/>
      <c r="I89" s="51"/>
      <c r="J89"/>
      <c r="K89" s="137"/>
      <c r="M89" s="137"/>
      <c r="O89" s="137"/>
    </row>
    <row r="90" spans="1:15" ht="54.6" customHeight="1" x14ac:dyDescent="0.3">
      <c r="A90" s="140">
        <v>952</v>
      </c>
      <c r="B90" s="332"/>
      <c r="C90" s="332"/>
      <c r="D90" s="304" t="s">
        <v>702</v>
      </c>
      <c r="E90" s="425"/>
      <c r="F90" s="695"/>
      <c r="G90" s="309" t="s">
        <v>371</v>
      </c>
      <c r="H90" s="15"/>
      <c r="I90" s="686"/>
      <c r="J90"/>
      <c r="K90" s="137"/>
      <c r="M90" s="137"/>
      <c r="O90" s="137"/>
    </row>
    <row r="91" spans="1:15" ht="15" thickBot="1" x14ac:dyDescent="0.35">
      <c r="A91" s="66"/>
      <c r="B91" s="357"/>
      <c r="C91" s="358"/>
      <c r="D91" s="359" t="s">
        <v>264</v>
      </c>
      <c r="E91" s="354"/>
      <c r="F91" s="360"/>
      <c r="G91" s="361"/>
      <c r="H91" s="362"/>
      <c r="I91" s="51"/>
      <c r="J91"/>
      <c r="K91" s="137"/>
      <c r="M91" s="137"/>
      <c r="O91" s="137"/>
    </row>
    <row r="92" spans="1:15" ht="15" thickBot="1" x14ac:dyDescent="0.35">
      <c r="B92" s="705" t="s">
        <v>294</v>
      </c>
      <c r="C92" s="706"/>
      <c r="D92" s="706"/>
      <c r="E92" s="707"/>
      <c r="F92" s="51"/>
      <c r="G92" s="309"/>
      <c r="H92" s="15"/>
      <c r="I92" s="685"/>
      <c r="J92"/>
    </row>
    <row r="93" spans="1:15" ht="75.75" customHeight="1" x14ac:dyDescent="0.3">
      <c r="B93" s="709" t="s">
        <v>295</v>
      </c>
      <c r="C93" s="709"/>
      <c r="D93" s="709"/>
      <c r="E93" s="709"/>
      <c r="F93" s="51"/>
      <c r="G93" s="309"/>
      <c r="H93" s="15"/>
      <c r="I93" s="685"/>
      <c r="J93"/>
    </row>
    <row r="94" spans="1:15" ht="15" thickBot="1" x14ac:dyDescent="0.35">
      <c r="A94" s="521"/>
      <c r="B94" s="312"/>
      <c r="C94" s="312"/>
      <c r="D94" s="313"/>
      <c r="E94" s="265"/>
      <c r="F94" s="51"/>
      <c r="G94" s="309"/>
      <c r="H94" s="15"/>
      <c r="I94" s="685"/>
      <c r="J94"/>
    </row>
    <row r="95" spans="1:15" ht="15" thickBot="1" x14ac:dyDescent="0.35">
      <c r="B95" s="96" t="s">
        <v>252</v>
      </c>
      <c r="C95" s="97" t="s">
        <v>253</v>
      </c>
      <c r="D95" s="314"/>
      <c r="E95" s="315"/>
      <c r="F95" s="61"/>
      <c r="G95" s="309"/>
      <c r="H95" s="15"/>
      <c r="I95" s="685"/>
      <c r="J95"/>
    </row>
    <row r="96" spans="1:15" ht="44.25" customHeight="1" thickBot="1" x14ac:dyDescent="0.35">
      <c r="B96" s="100" t="s">
        <v>275</v>
      </c>
      <c r="C96" s="99"/>
      <c r="D96" s="98"/>
      <c r="E96" s="267"/>
      <c r="F96" s="316"/>
      <c r="G96" s="309"/>
      <c r="H96" s="15"/>
      <c r="I96" s="685"/>
      <c r="J96"/>
    </row>
    <row r="97" spans="1:9" ht="44.25" customHeight="1" thickBot="1" x14ac:dyDescent="0.35">
      <c r="B97" s="100"/>
      <c r="C97" s="110"/>
      <c r="D97" s="317" t="s">
        <v>286</v>
      </c>
      <c r="E97" s="318"/>
      <c r="F97" s="319"/>
      <c r="G97" s="319"/>
      <c r="H97" s="15"/>
      <c r="I97" s="685"/>
    </row>
    <row r="98" spans="1:9" ht="32.4" customHeight="1" thickBot="1" x14ac:dyDescent="0.35">
      <c r="A98" s="191">
        <v>960</v>
      </c>
      <c r="B98" s="716" t="s">
        <v>276</v>
      </c>
      <c r="C98" s="717"/>
      <c r="D98" s="697"/>
      <c r="E98" s="487" t="str">
        <f>IF(ISBLANK($D98),"&lt;&lt;&lt;&lt;&lt;&lt;&lt;&lt;&lt;&lt;&lt;&lt;&lt;&lt;&lt;","")</f>
        <v>&lt;&lt;&lt;&lt;&lt;&lt;&lt;&lt;&lt;&lt;&lt;&lt;&lt;&lt;&lt;</v>
      </c>
      <c r="F98" s="488" t="str">
        <f>IF(ISBLANK($D98),"Required","")</f>
        <v>Required</v>
      </c>
      <c r="G98" s="367"/>
      <c r="H98" s="296"/>
      <c r="I98" s="685"/>
    </row>
    <row r="99" spans="1:9" ht="32.4" customHeight="1" thickBot="1" x14ac:dyDescent="0.35">
      <c r="A99" s="191">
        <v>962</v>
      </c>
      <c r="B99" s="714" t="s">
        <v>254</v>
      </c>
      <c r="C99" s="715"/>
      <c r="D99" s="697"/>
      <c r="E99" s="487" t="str">
        <f>IF(ISBLANK($D99),"&lt;&lt;&lt;&lt;&lt;&lt;&lt;&lt;&lt;&lt;&lt;&lt;&lt;&lt;&lt;","")</f>
        <v>&lt;&lt;&lt;&lt;&lt;&lt;&lt;&lt;&lt;&lt;&lt;&lt;&lt;&lt;&lt;</v>
      </c>
      <c r="F99" s="488" t="str">
        <f>IF(ISBLANK($D99),"Required","")</f>
        <v>Required</v>
      </c>
      <c r="H99" s="15"/>
      <c r="I99" s="685"/>
    </row>
    <row r="100" spans="1:9" ht="32.4" customHeight="1" thickBot="1" x14ac:dyDescent="0.35">
      <c r="A100" s="191">
        <v>964</v>
      </c>
      <c r="B100" s="714" t="s">
        <v>255</v>
      </c>
      <c r="C100" s="715"/>
      <c r="D100" s="698"/>
      <c r="E100" s="487" t="str">
        <f>IF(ISBLANK($D100),"&lt;&lt;&lt;&lt;&lt;&lt;&lt;&lt;&lt;&lt;&lt;&lt;&lt;&lt;&lt;","")</f>
        <v>&lt;&lt;&lt;&lt;&lt;&lt;&lt;&lt;&lt;&lt;&lt;&lt;&lt;&lt;&lt;</v>
      </c>
      <c r="F100" s="488" t="str">
        <f>IF(ISBLANK($D100),"Required","")</f>
        <v>Required</v>
      </c>
      <c r="H100" s="15"/>
      <c r="I100" s="687"/>
    </row>
    <row r="101" spans="1:9" ht="32.4" customHeight="1" thickBot="1" x14ac:dyDescent="0.35">
      <c r="A101" s="493">
        <v>966</v>
      </c>
      <c r="B101" s="710" t="s">
        <v>703</v>
      </c>
      <c r="C101" s="711"/>
      <c r="D101" s="699"/>
      <c r="E101" s="487" t="str">
        <f>IF(ISBLANK($D101),"&lt;&lt;&lt;&lt;&lt;&lt;&lt;&lt;&lt;&lt;&lt;&lt;&lt;&lt;&lt;","")</f>
        <v>&lt;&lt;&lt;&lt;&lt;&lt;&lt;&lt;&lt;&lt;&lt;&lt;&lt;&lt;&lt;</v>
      </c>
      <c r="F101" s="488" t="str">
        <f>IF(ISBLANK($D101),"Required","")</f>
        <v>Required</v>
      </c>
      <c r="G101"/>
      <c r="H101" s="15"/>
      <c r="I101" s="685"/>
    </row>
    <row r="102" spans="1:9" ht="32.4" customHeight="1" thickBot="1" x14ac:dyDescent="0.35">
      <c r="A102" s="493"/>
      <c r="B102" s="710" t="s">
        <v>709</v>
      </c>
      <c r="C102" s="711"/>
      <c r="D102" s="697"/>
      <c r="E102" s="489"/>
      <c r="F102" s="488"/>
      <c r="G102"/>
      <c r="H102" s="15"/>
      <c r="I102" s="685"/>
    </row>
    <row r="103" spans="1:9" ht="32.4" customHeight="1" thickBot="1" x14ac:dyDescent="0.35">
      <c r="A103" s="191">
        <v>968</v>
      </c>
      <c r="B103" s="712" t="s">
        <v>257</v>
      </c>
      <c r="C103" s="713"/>
      <c r="D103" s="700"/>
      <c r="E103" s="490" t="str">
        <f>IF(ISBLANK($D103),"&lt;&lt;&lt;&lt;&lt;&lt;&lt;&lt;&lt;&lt;&lt;&lt;&lt;&lt;&lt;","")</f>
        <v>&lt;&lt;&lt;&lt;&lt;&lt;&lt;&lt;&lt;&lt;&lt;&lt;&lt;&lt;&lt;</v>
      </c>
      <c r="F103" s="488" t="str">
        <f>IF(ISBLANK($D103),"Required","")</f>
        <v>Required</v>
      </c>
      <c r="H103" s="15"/>
      <c r="I103" s="685"/>
    </row>
    <row r="104" spans="1:9" x14ac:dyDescent="0.3">
      <c r="A104" s="66"/>
      <c r="B104" s="363"/>
      <c r="C104" s="363"/>
      <c r="D104" s="368" t="s">
        <v>14</v>
      </c>
      <c r="E104" s="364"/>
      <c r="F104" s="364"/>
      <c r="G104" s="364"/>
      <c r="H104" s="365"/>
      <c r="I104" s="685"/>
    </row>
    <row r="105" spans="1:9" x14ac:dyDescent="0.3">
      <c r="A105" s="66"/>
      <c r="B105" s="266"/>
      <c r="C105" s="266"/>
      <c r="D105" s="108"/>
      <c r="E105" s="138"/>
      <c r="F105" s="320"/>
      <c r="G105" s="320"/>
      <c r="H105" s="15"/>
      <c r="I105" s="66"/>
    </row>
    <row r="106" spans="1:9" x14ac:dyDescent="0.3">
      <c r="A106" s="66"/>
      <c r="B106" s="266"/>
      <c r="C106" s="266"/>
      <c r="D106" s="18"/>
      <c r="E106" s="265"/>
      <c r="F106" s="320"/>
      <c r="G106" s="320"/>
      <c r="H106" s="15"/>
      <c r="I106" s="66"/>
    </row>
    <row r="107" spans="1:9" x14ac:dyDescent="0.3">
      <c r="A107" s="522">
        <f>SUBTOTAL(109,A7:A103)</f>
        <v>38096</v>
      </c>
      <c r="E107" s="408" t="e">
        <f>SUM(E7:E84)</f>
        <v>#N/A</v>
      </c>
    </row>
    <row r="108" spans="1:9" x14ac:dyDescent="0.3">
      <c r="A108" s="66"/>
      <c r="B108" s="334"/>
      <c r="C108" s="334"/>
      <c r="D108" s="321"/>
      <c r="E108" s="185"/>
      <c r="F108" s="16"/>
      <c r="G108" s="322"/>
      <c r="H108" s="15"/>
      <c r="I108" s="66"/>
    </row>
    <row r="109" spans="1:9" x14ac:dyDescent="0.3">
      <c r="B109" s="191"/>
      <c r="C109" s="191"/>
      <c r="D109" s="321"/>
      <c r="E109" s="185"/>
      <c r="F109" s="137"/>
      <c r="G109" s="322"/>
      <c r="H109" s="15"/>
      <c r="I109" s="66"/>
    </row>
    <row r="110" spans="1:9" x14ac:dyDescent="0.3">
      <c r="B110" s="191"/>
      <c r="C110" s="191"/>
      <c r="D110" s="323"/>
      <c r="E110" s="185"/>
      <c r="F110" s="137"/>
      <c r="G110" s="322"/>
      <c r="H110" s="15"/>
      <c r="I110" s="66"/>
    </row>
    <row r="111" spans="1:9" x14ac:dyDescent="0.3">
      <c r="B111" s="191"/>
      <c r="C111" s="191"/>
      <c r="D111" s="323"/>
      <c r="E111" s="185"/>
      <c r="F111" s="137"/>
      <c r="G111" s="322"/>
      <c r="H111" s="15"/>
      <c r="I111" s="66"/>
    </row>
    <row r="112" spans="1:9" x14ac:dyDescent="0.3">
      <c r="B112" s="191"/>
      <c r="C112" s="191"/>
      <c r="D112" s="323"/>
      <c r="E112" s="185"/>
      <c r="F112" s="137"/>
      <c r="G112" s="322"/>
      <c r="H112" s="15"/>
      <c r="I112" s="66"/>
    </row>
    <row r="113" spans="2:9" x14ac:dyDescent="0.3">
      <c r="B113" s="191"/>
      <c r="C113" s="191"/>
      <c r="D113" s="323"/>
      <c r="E113" s="185"/>
      <c r="F113" s="137"/>
      <c r="G113" s="322"/>
      <c r="H113" s="15"/>
      <c r="I113" s="66"/>
    </row>
    <row r="114" spans="2:9" x14ac:dyDescent="0.3">
      <c r="D114" s="220"/>
      <c r="E114" s="185"/>
      <c r="F114" s="137"/>
      <c r="H114" s="15"/>
      <c r="I114" s="66"/>
    </row>
    <row r="115" spans="2:9" x14ac:dyDescent="0.3">
      <c r="D115" s="220"/>
      <c r="E115" s="186"/>
      <c r="F115" s="137"/>
      <c r="H115" s="15"/>
      <c r="I115" s="66"/>
    </row>
    <row r="116" spans="2:9" x14ac:dyDescent="0.3">
      <c r="D116" s="220"/>
      <c r="E116" s="185"/>
      <c r="F116" s="137"/>
      <c r="H116" s="15"/>
      <c r="I116" s="66"/>
    </row>
    <row r="117" spans="2:9" x14ac:dyDescent="0.3">
      <c r="D117" s="220"/>
      <c r="E117" s="138"/>
      <c r="F117" s="137"/>
      <c r="I117" s="66"/>
    </row>
    <row r="118" spans="2:9" x14ac:dyDescent="0.3">
      <c r="E118" s="184"/>
      <c r="F118" s="137"/>
      <c r="G118" s="325"/>
      <c r="I118" s="66"/>
    </row>
    <row r="119" spans="2:9" x14ac:dyDescent="0.3">
      <c r="E119" s="138"/>
      <c r="F119" s="137"/>
      <c r="I119" s="66"/>
    </row>
    <row r="120" spans="2:9" x14ac:dyDescent="0.3">
      <c r="E120" s="138"/>
      <c r="F120" s="137"/>
      <c r="I120" s="66"/>
    </row>
    <row r="121" spans="2:9" x14ac:dyDescent="0.3">
      <c r="E121" s="138"/>
      <c r="F121" s="137"/>
      <c r="I121" s="66"/>
    </row>
    <row r="122" spans="2:9" x14ac:dyDescent="0.3">
      <c r="I122" s="66"/>
    </row>
    <row r="123" spans="2:9" x14ac:dyDescent="0.3">
      <c r="I123" s="66"/>
    </row>
    <row r="124" spans="2:9" x14ac:dyDescent="0.3">
      <c r="I124" s="66"/>
    </row>
    <row r="125" spans="2:9" x14ac:dyDescent="0.3">
      <c r="I125" s="66"/>
    </row>
    <row r="126" spans="2:9" x14ac:dyDescent="0.3">
      <c r="I126" s="66"/>
    </row>
    <row r="127" spans="2:9" x14ac:dyDescent="0.3">
      <c r="I127" s="66"/>
    </row>
    <row r="128" spans="2:9" x14ac:dyDescent="0.3">
      <c r="I128" s="66"/>
    </row>
    <row r="129" spans="9:11" x14ac:dyDescent="0.3">
      <c r="I129" s="137"/>
    </row>
    <row r="130" spans="9:11" x14ac:dyDescent="0.3">
      <c r="I130" s="137"/>
      <c r="K130" s="138"/>
    </row>
    <row r="131" spans="9:11" x14ac:dyDescent="0.3">
      <c r="I131" s="137"/>
      <c r="K131" s="138"/>
    </row>
    <row r="132" spans="9:11" x14ac:dyDescent="0.3">
      <c r="I132" s="137"/>
      <c r="K132" s="138"/>
    </row>
    <row r="133" spans="9:11" x14ac:dyDescent="0.3">
      <c r="I133" s="137"/>
      <c r="K133" s="138"/>
    </row>
    <row r="134" spans="9:11" x14ac:dyDescent="0.3">
      <c r="I134" s="137"/>
      <c r="K134" s="138"/>
    </row>
    <row r="135" spans="9:11" x14ac:dyDescent="0.3">
      <c r="I135" s="137"/>
      <c r="K135" s="138"/>
    </row>
    <row r="136" spans="9:11" x14ac:dyDescent="0.3">
      <c r="I136" s="66"/>
      <c r="K136" s="138"/>
    </row>
    <row r="137" spans="9:11" x14ac:dyDescent="0.3">
      <c r="I137" s="66"/>
      <c r="J137" s="138"/>
      <c r="K137" s="138"/>
    </row>
    <row r="138" spans="9:11" x14ac:dyDescent="0.3">
      <c r="I138" s="66"/>
      <c r="J138" s="138"/>
      <c r="K138" s="138"/>
    </row>
    <row r="139" spans="9:11" x14ac:dyDescent="0.3">
      <c r="I139" s="66"/>
      <c r="J139" s="138"/>
      <c r="K139" s="138"/>
    </row>
    <row r="140" spans="9:11" x14ac:dyDescent="0.3">
      <c r="I140" s="66"/>
      <c r="J140" s="138"/>
      <c r="K140" s="138"/>
    </row>
    <row r="141" spans="9:11" x14ac:dyDescent="0.3">
      <c r="I141" s="66"/>
      <c r="J141" s="138"/>
      <c r="K141" s="138"/>
    </row>
    <row r="142" spans="9:11" x14ac:dyDescent="0.3">
      <c r="I142" s="66"/>
      <c r="J142" s="138"/>
      <c r="K142" s="138"/>
    </row>
    <row r="143" spans="9:11" x14ac:dyDescent="0.3">
      <c r="I143" s="66"/>
      <c r="J143" s="138"/>
      <c r="K143" s="138"/>
    </row>
    <row r="144" spans="9:11" x14ac:dyDescent="0.3">
      <c r="I144" s="66"/>
      <c r="J144" s="138"/>
      <c r="K144" s="138"/>
    </row>
    <row r="145" spans="9:11" x14ac:dyDescent="0.3">
      <c r="I145" s="137"/>
      <c r="J145" s="138"/>
      <c r="K145" s="138"/>
    </row>
    <row r="146" spans="9:11" x14ac:dyDescent="0.3">
      <c r="I146" s="137"/>
      <c r="J146" s="138"/>
      <c r="K146" s="138"/>
    </row>
    <row r="147" spans="9:11" x14ac:dyDescent="0.3">
      <c r="I147" s="137"/>
      <c r="J147" s="138"/>
      <c r="K147" s="138"/>
    </row>
    <row r="148" spans="9:11" x14ac:dyDescent="0.3">
      <c r="I148" s="137"/>
      <c r="J148" s="138"/>
      <c r="K148" s="138"/>
    </row>
    <row r="149" spans="9:11" x14ac:dyDescent="0.3">
      <c r="I149" s="137"/>
      <c r="J149" s="138"/>
      <c r="K149" s="138"/>
    </row>
    <row r="150" spans="9:11" x14ac:dyDescent="0.3">
      <c r="I150" s="137"/>
      <c r="J150" s="138"/>
      <c r="K150" s="138"/>
    </row>
    <row r="151" spans="9:11" x14ac:dyDescent="0.3">
      <c r="I151" s="137"/>
      <c r="J151" s="138"/>
      <c r="K151" s="138"/>
    </row>
    <row r="152" spans="9:11" x14ac:dyDescent="0.3">
      <c r="I152" s="137"/>
      <c r="J152" s="138"/>
      <c r="K152" s="138"/>
    </row>
    <row r="153" spans="9:11" x14ac:dyDescent="0.3">
      <c r="I153" s="137"/>
      <c r="J153" s="138"/>
      <c r="K153" s="138"/>
    </row>
    <row r="154" spans="9:11" x14ac:dyDescent="0.3">
      <c r="I154" s="137"/>
      <c r="J154" s="138"/>
      <c r="K154" s="138"/>
    </row>
    <row r="155" spans="9:11" x14ac:dyDescent="0.3">
      <c r="I155" s="137"/>
      <c r="J155" s="138"/>
      <c r="K155" s="138"/>
    </row>
    <row r="156" spans="9:11" x14ac:dyDescent="0.3">
      <c r="I156" s="137"/>
      <c r="J156" s="138"/>
      <c r="K156" s="138"/>
    </row>
    <row r="157" spans="9:11" x14ac:dyDescent="0.3">
      <c r="I157" s="137"/>
      <c r="J157" s="138"/>
      <c r="K157" s="138"/>
    </row>
    <row r="158" spans="9:11" x14ac:dyDescent="0.3">
      <c r="I158" s="137"/>
      <c r="J158" s="138"/>
      <c r="K158" s="138"/>
    </row>
    <row r="159" spans="9:11" x14ac:dyDescent="0.3">
      <c r="I159" s="137"/>
      <c r="J159" s="138"/>
      <c r="K159" s="138"/>
    </row>
    <row r="160" spans="9:11" x14ac:dyDescent="0.3">
      <c r="I160" s="137"/>
      <c r="J160" s="138"/>
      <c r="K160" s="138"/>
    </row>
    <row r="161" spans="9:11" x14ac:dyDescent="0.3">
      <c r="I161" s="137"/>
      <c r="J161" s="138"/>
      <c r="K161" s="138"/>
    </row>
    <row r="162" spans="9:11" x14ac:dyDescent="0.3">
      <c r="I162" s="137"/>
      <c r="J162" s="138"/>
      <c r="K162" s="138"/>
    </row>
    <row r="163" spans="9:11" x14ac:dyDescent="0.3">
      <c r="I163" s="137"/>
      <c r="J163" s="138"/>
      <c r="K163" s="138"/>
    </row>
    <row r="164" spans="9:11" x14ac:dyDescent="0.3">
      <c r="I164" s="137"/>
      <c r="J164" s="138"/>
      <c r="K164" s="138"/>
    </row>
    <row r="165" spans="9:11" x14ac:dyDescent="0.3">
      <c r="I165" s="137"/>
      <c r="J165" s="138"/>
      <c r="K165" s="138"/>
    </row>
    <row r="166" spans="9:11" x14ac:dyDescent="0.3">
      <c r="I166" s="137"/>
      <c r="J166" s="138"/>
      <c r="K166" s="138"/>
    </row>
    <row r="167" spans="9:11" x14ac:dyDescent="0.3">
      <c r="I167" s="137"/>
      <c r="J167" s="138"/>
      <c r="K167" s="138"/>
    </row>
    <row r="168" spans="9:11" x14ac:dyDescent="0.3">
      <c r="I168" s="137"/>
      <c r="J168" s="138"/>
      <c r="K168" s="138"/>
    </row>
    <row r="169" spans="9:11" x14ac:dyDescent="0.3">
      <c r="I169" s="137"/>
      <c r="J169" s="138"/>
      <c r="K169" s="138"/>
    </row>
    <row r="170" spans="9:11" x14ac:dyDescent="0.3">
      <c r="I170" s="137"/>
      <c r="J170" s="138"/>
      <c r="K170" s="138"/>
    </row>
    <row r="171" spans="9:11" x14ac:dyDescent="0.3">
      <c r="I171" s="137"/>
      <c r="J171" s="138"/>
      <c r="K171" s="138"/>
    </row>
    <row r="172" spans="9:11" x14ac:dyDescent="0.3">
      <c r="I172" s="137"/>
      <c r="J172" s="138"/>
      <c r="K172" s="138"/>
    </row>
    <row r="173" spans="9:11" x14ac:dyDescent="0.3">
      <c r="I173" s="137"/>
      <c r="J173" s="138"/>
      <c r="K173" s="138"/>
    </row>
    <row r="174" spans="9:11" x14ac:dyDescent="0.3">
      <c r="I174" s="137"/>
      <c r="J174" s="138"/>
      <c r="K174" s="138"/>
    </row>
    <row r="175" spans="9:11" x14ac:dyDescent="0.3">
      <c r="I175" s="137"/>
      <c r="J175" s="138"/>
      <c r="K175" s="138"/>
    </row>
    <row r="176" spans="9:11" x14ac:dyDescent="0.3">
      <c r="I176" s="137"/>
      <c r="J176" s="138"/>
      <c r="K176" s="138"/>
    </row>
    <row r="177" spans="9:11" x14ac:dyDescent="0.3">
      <c r="I177" s="137"/>
      <c r="J177" s="138"/>
      <c r="K177" s="138"/>
    </row>
    <row r="178" spans="9:11" x14ac:dyDescent="0.3">
      <c r="I178" s="137"/>
      <c r="J178" s="138"/>
      <c r="K178" s="138"/>
    </row>
    <row r="179" spans="9:11" x14ac:dyDescent="0.3">
      <c r="I179" s="137"/>
      <c r="J179" s="138"/>
      <c r="K179" s="138"/>
    </row>
    <row r="180" spans="9:11" x14ac:dyDescent="0.3">
      <c r="I180" s="137"/>
      <c r="J180" s="138"/>
      <c r="K180" s="138"/>
    </row>
    <row r="181" spans="9:11" x14ac:dyDescent="0.3">
      <c r="I181" s="137"/>
      <c r="J181" s="138"/>
      <c r="K181" s="138"/>
    </row>
    <row r="182" spans="9:11" x14ac:dyDescent="0.3">
      <c r="I182" s="137"/>
      <c r="J182" s="138"/>
      <c r="K182" s="138"/>
    </row>
    <row r="183" spans="9:11" x14ac:dyDescent="0.3">
      <c r="I183" s="137"/>
      <c r="J183" s="138"/>
      <c r="K183" s="138"/>
    </row>
    <row r="184" spans="9:11" x14ac:dyDescent="0.3">
      <c r="I184" s="137"/>
      <c r="J184" s="138"/>
      <c r="K184" s="138"/>
    </row>
    <row r="185" spans="9:11" x14ac:dyDescent="0.3">
      <c r="I185" s="137"/>
      <c r="J185" s="138"/>
      <c r="K185" s="138"/>
    </row>
    <row r="186" spans="9:11" x14ac:dyDescent="0.3">
      <c r="I186" s="137"/>
      <c r="J186" s="138"/>
      <c r="K186" s="138"/>
    </row>
    <row r="187" spans="9:11" x14ac:dyDescent="0.3">
      <c r="I187" s="137"/>
      <c r="J187" s="138"/>
      <c r="K187" s="138"/>
    </row>
    <row r="188" spans="9:11" x14ac:dyDescent="0.3">
      <c r="I188" s="137"/>
      <c r="J188" s="138"/>
      <c r="K188" s="138"/>
    </row>
    <row r="189" spans="9:11" x14ac:dyDescent="0.3">
      <c r="I189" s="137"/>
      <c r="J189" s="138"/>
      <c r="K189" s="138"/>
    </row>
    <row r="190" spans="9:11" x14ac:dyDescent="0.3">
      <c r="I190" s="137"/>
      <c r="J190" s="138"/>
      <c r="K190" s="138"/>
    </row>
    <row r="191" spans="9:11" x14ac:dyDescent="0.3">
      <c r="I191" s="137"/>
      <c r="J191" s="138"/>
      <c r="K191" s="138"/>
    </row>
    <row r="192" spans="9:11" x14ac:dyDescent="0.3">
      <c r="I192" s="137"/>
      <c r="J192" s="138"/>
      <c r="K192" s="138"/>
    </row>
    <row r="193" spans="9:11" x14ac:dyDescent="0.3">
      <c r="I193" s="137"/>
      <c r="J193" s="138"/>
      <c r="K193" s="138"/>
    </row>
    <row r="194" spans="9:11" x14ac:dyDescent="0.3">
      <c r="I194" s="137"/>
      <c r="J194" s="138"/>
      <c r="K194" s="138"/>
    </row>
    <row r="195" spans="9:11" x14ac:dyDescent="0.3">
      <c r="I195" s="137"/>
      <c r="J195" s="138"/>
      <c r="K195" s="138"/>
    </row>
    <row r="196" spans="9:11" x14ac:dyDescent="0.3">
      <c r="I196" s="137"/>
      <c r="J196" s="138"/>
      <c r="K196" s="138"/>
    </row>
    <row r="197" spans="9:11" x14ac:dyDescent="0.3">
      <c r="I197" s="137"/>
      <c r="J197" s="138"/>
      <c r="K197" s="138"/>
    </row>
    <row r="198" spans="9:11" x14ac:dyDescent="0.3">
      <c r="I198" s="137"/>
      <c r="J198" s="138"/>
      <c r="K198" s="138"/>
    </row>
    <row r="199" spans="9:11" x14ac:dyDescent="0.3">
      <c r="I199" s="137"/>
      <c r="J199" s="138"/>
    </row>
    <row r="200" spans="9:11" x14ac:dyDescent="0.3">
      <c r="I200" s="137"/>
      <c r="J200" s="138"/>
    </row>
    <row r="201" spans="9:11" x14ac:dyDescent="0.3">
      <c r="I201" s="137"/>
      <c r="J201" s="138"/>
    </row>
    <row r="202" spans="9:11" x14ac:dyDescent="0.3">
      <c r="I202" s="137"/>
      <c r="J202" s="138"/>
    </row>
    <row r="203" spans="9:11" x14ac:dyDescent="0.3">
      <c r="I203" s="137"/>
      <c r="J203" s="138"/>
    </row>
    <row r="204" spans="9:11" x14ac:dyDescent="0.3">
      <c r="I204" s="137"/>
      <c r="J204" s="138"/>
    </row>
    <row r="205" spans="9:11" x14ac:dyDescent="0.3">
      <c r="I205" s="137"/>
      <c r="J205" s="138"/>
    </row>
    <row r="206" spans="9:11" x14ac:dyDescent="0.3">
      <c r="I206" s="137"/>
    </row>
    <row r="207" spans="9:11" x14ac:dyDescent="0.3">
      <c r="I207" s="137"/>
    </row>
    <row r="208" spans="9:11" x14ac:dyDescent="0.3">
      <c r="I208" s="137"/>
    </row>
    <row r="209" spans="9:9" x14ac:dyDescent="0.3">
      <c r="I209" s="137"/>
    </row>
    <row r="210" spans="9:9" x14ac:dyDescent="0.3">
      <c r="I210" s="137"/>
    </row>
    <row r="211" spans="9:9" x14ac:dyDescent="0.3">
      <c r="I211" s="137"/>
    </row>
    <row r="212" spans="9:9" x14ac:dyDescent="0.3">
      <c r="I212" s="137"/>
    </row>
    <row r="213" spans="9:9" x14ac:dyDescent="0.3">
      <c r="I213" s="137"/>
    </row>
    <row r="214" spans="9:9" x14ac:dyDescent="0.3">
      <c r="I214" s="66"/>
    </row>
    <row r="215" spans="9:9" x14ac:dyDescent="0.3">
      <c r="I215" s="66"/>
    </row>
    <row r="216" spans="9:9" x14ac:dyDescent="0.3">
      <c r="I216" s="66"/>
    </row>
    <row r="217" spans="9:9" x14ac:dyDescent="0.3">
      <c r="I217" s="66"/>
    </row>
    <row r="218" spans="9:9" x14ac:dyDescent="0.3">
      <c r="I218" s="66"/>
    </row>
    <row r="219" spans="9:9" x14ac:dyDescent="0.3">
      <c r="I219" s="66"/>
    </row>
    <row r="220" spans="9:9" x14ac:dyDescent="0.3">
      <c r="I220" s="66"/>
    </row>
    <row r="221" spans="9:9" x14ac:dyDescent="0.3">
      <c r="I221" s="66"/>
    </row>
    <row r="222" spans="9:9" x14ac:dyDescent="0.3">
      <c r="I222" s="66"/>
    </row>
    <row r="223" spans="9:9" x14ac:dyDescent="0.3">
      <c r="I223" s="66"/>
    </row>
  </sheetData>
  <sheetProtection algorithmName="SHA-512" hashValue="lLEIF9u+ENBGwp4wzh8aon0a24NKF2ILXiIMIKM7uN2HktR0d9OgejWQ9mXHV3B8+eAGxPn70uJLBVGU7sHnXA==" saltValue="SDKY+qxlU0Q9Yv9gKvGC3w==" spinCount="100000" sheet="1" formatCells="0"/>
  <dataConsolidate link="1"/>
  <mergeCells count="11">
    <mergeCell ref="B101:C101"/>
    <mergeCell ref="B103:C103"/>
    <mergeCell ref="B100:C100"/>
    <mergeCell ref="B98:C98"/>
    <mergeCell ref="B99:C99"/>
    <mergeCell ref="B102:C102"/>
    <mergeCell ref="E2:G2"/>
    <mergeCell ref="B2:C2"/>
    <mergeCell ref="B92:E92"/>
    <mergeCell ref="B85:D85"/>
    <mergeCell ref="B93:E93"/>
  </mergeCells>
  <phoneticPr fontId="54" type="noConversion"/>
  <conditionalFormatting sqref="H69:H70">
    <cfRule type="cellIs" dxfId="28" priority="110" stopIfTrue="1" operator="notEqual">
      <formula>0</formula>
    </cfRule>
  </conditionalFormatting>
  <conditionalFormatting sqref="H22">
    <cfRule type="cellIs" dxfId="27" priority="106" stopIfTrue="1" operator="notEqual">
      <formula>0</formula>
    </cfRule>
  </conditionalFormatting>
  <conditionalFormatting sqref="H35:H36">
    <cfRule type="cellIs" dxfId="26" priority="105" stopIfTrue="1" operator="notEqual">
      <formula>0</formula>
    </cfRule>
  </conditionalFormatting>
  <conditionalFormatting sqref="H60">
    <cfRule type="cellIs" dxfId="25" priority="104" stopIfTrue="1" operator="notEqual">
      <formula>0</formula>
    </cfRule>
  </conditionalFormatting>
  <conditionalFormatting sqref="G82">
    <cfRule type="cellIs" priority="71" stopIfTrue="1" operator="equal">
      <formula>";;;"</formula>
    </cfRule>
  </conditionalFormatting>
  <conditionalFormatting sqref="G82">
    <cfRule type="cellIs" dxfId="24" priority="70" stopIfTrue="1" operator="equal">
      <formula>0</formula>
    </cfRule>
  </conditionalFormatting>
  <conditionalFormatting sqref="G81">
    <cfRule type="cellIs" priority="68" stopIfTrue="1" operator="equal">
      <formula>";;;"</formula>
    </cfRule>
  </conditionalFormatting>
  <conditionalFormatting sqref="G81">
    <cfRule type="cellIs" dxfId="23" priority="67" stopIfTrue="1" operator="equal">
      <formula>0</formula>
    </cfRule>
  </conditionalFormatting>
  <conditionalFormatting sqref="G81">
    <cfRule type="cellIs" dxfId="22" priority="66" stopIfTrue="1" operator="equal">
      <formula>0</formula>
    </cfRule>
  </conditionalFormatting>
  <conditionalFormatting sqref="G80">
    <cfRule type="cellIs" priority="56" stopIfTrue="1" operator="equal">
      <formula>";;;"</formula>
    </cfRule>
  </conditionalFormatting>
  <conditionalFormatting sqref="G80">
    <cfRule type="cellIs" dxfId="21" priority="55" stopIfTrue="1" operator="equal">
      <formula>0</formula>
    </cfRule>
  </conditionalFormatting>
  <conditionalFormatting sqref="G80">
    <cfRule type="cellIs" dxfId="20" priority="54" stopIfTrue="1" operator="equal">
      <formula>0</formula>
    </cfRule>
  </conditionalFormatting>
  <conditionalFormatting sqref="G79">
    <cfRule type="cellIs" priority="6" stopIfTrue="1" operator="equal">
      <formula>";;;"</formula>
    </cfRule>
  </conditionalFormatting>
  <conditionalFormatting sqref="G79">
    <cfRule type="cellIs" dxfId="19" priority="5" stopIfTrue="1" operator="equal">
      <formula>0</formula>
    </cfRule>
  </conditionalFormatting>
  <conditionalFormatting sqref="G79">
    <cfRule type="cellIs" dxfId="18" priority="4" stopIfTrue="1" operator="equal">
      <formula>0</formula>
    </cfRule>
  </conditionalFormatting>
  <conditionalFormatting sqref="G77">
    <cfRule type="cellIs" priority="3" stopIfTrue="1" operator="equal">
      <formula>";;;"</formula>
    </cfRule>
  </conditionalFormatting>
  <conditionalFormatting sqref="G77">
    <cfRule type="cellIs" dxfId="17" priority="2" stopIfTrue="1" operator="equal">
      <formula>0</formula>
    </cfRule>
  </conditionalFormatting>
  <conditionalFormatting sqref="G77">
    <cfRule type="cellIs" dxfId="16" priority="1" stopIfTrue="1" operator="equal">
      <formula>0</formula>
    </cfRule>
  </conditionalFormatting>
  <dataValidations xWindow="829" yWindow="690" count="10">
    <dataValidation type="list" allowBlank="1" showInputMessage="1" showErrorMessage="1" sqref="F89" xr:uid="{9CC5535C-800A-4D03-A86E-273A5BC3EBB6}">
      <formula1>$M$1:$M$2</formula1>
    </dataValidation>
    <dataValidation type="list" allowBlank="1" showErrorMessage="1" prompt="Please select your answer from the drop down list." sqref="F75" xr:uid="{FCE57F22-20D9-4CFA-AFE5-1751E216D3C1}">
      <formula1>$O$1:$O$2</formula1>
    </dataValidation>
    <dataValidation type="list" allowBlank="1" showErrorMessage="1" prompt="Please select your answer from the drop down list." sqref="F78" xr:uid="{2CD3BDAD-30EF-425F-BB01-D3FF43CDAA81}">
      <formula1>$O$1:$O$4</formula1>
    </dataValidation>
    <dataValidation type="list" allowBlank="1" showInputMessage="1" showErrorMessage="1" sqref="F88"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2 F63:F70 F24:F25 F18:F22 F27:F36 F49:F61 F38:F39 F45:F47" xr:uid="{B5815DCD-160E-4CA9-A461-76D5F396E4F1}">
      <formula1>ISNUMBER(F18)</formula1>
    </dataValidation>
    <dataValidation type="custom" allowBlank="1" showErrorMessage="1" error="Please enter a numeric value.  If this data is not applicable to your unit of government, the cell should be populated with zero." sqref="F84 F79:F81 F77" xr:uid="{6656F482-2030-43E8-B669-24F0F4187CE8}">
      <formula1>ISNUMBER(F77)</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76"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74" xr:uid="{CB641EB2-3894-4A74-BBEC-CDF7A3E8D5D8}">
      <formula1>ISNUMBER(F74)</formula1>
    </dataValidation>
    <dataValidation type="date" operator="greaterThan" allowBlank="1" showInputMessage="1" showErrorMessage="1" sqref="D100" xr:uid="{4D195646-8170-4D25-A4AF-873B299FC2BB}">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8F95-D8D6-430B-BB0C-E32FC7B98A7A}">
  <dimension ref="A1:J72"/>
  <sheetViews>
    <sheetView workbookViewId="0">
      <selection activeCell="C1" sqref="C1"/>
    </sheetView>
  </sheetViews>
  <sheetFormatPr defaultRowHeight="14.4" x14ac:dyDescent="0.3"/>
  <cols>
    <col min="4" max="10" width="20.77734375" customWidth="1"/>
  </cols>
  <sheetData>
    <row r="1" spans="1:10" x14ac:dyDescent="0.3">
      <c r="D1" t="s">
        <v>552</v>
      </c>
      <c r="E1" t="s">
        <v>553</v>
      </c>
      <c r="F1" t="s">
        <v>554</v>
      </c>
      <c r="G1" t="s">
        <v>555</v>
      </c>
      <c r="H1" t="s">
        <v>556</v>
      </c>
      <c r="I1" t="s">
        <v>557</v>
      </c>
      <c r="J1" t="s">
        <v>558</v>
      </c>
    </row>
    <row r="2" spans="1:10" x14ac:dyDescent="0.3">
      <c r="D2">
        <v>561205</v>
      </c>
      <c r="E2">
        <v>561200</v>
      </c>
      <c r="F2">
        <v>561208</v>
      </c>
      <c r="G2">
        <v>561206</v>
      </c>
      <c r="H2">
        <v>561202</v>
      </c>
      <c r="I2">
        <v>561204</v>
      </c>
      <c r="J2">
        <v>561207</v>
      </c>
    </row>
    <row r="3" spans="1:10" x14ac:dyDescent="0.3">
      <c r="A3">
        <v>333</v>
      </c>
      <c r="D3">
        <v>8681998</v>
      </c>
      <c r="E3">
        <v>5987879</v>
      </c>
      <c r="F3">
        <v>8203508</v>
      </c>
      <c r="G3">
        <v>901267</v>
      </c>
      <c r="H3">
        <v>2042389</v>
      </c>
      <c r="I3">
        <v>1693963</v>
      </c>
      <c r="J3">
        <v>5828319</v>
      </c>
    </row>
    <row r="4" spans="1:10" x14ac:dyDescent="0.3">
      <c r="A4">
        <v>500</v>
      </c>
      <c r="D4">
        <v>0</v>
      </c>
      <c r="E4">
        <v>0</v>
      </c>
      <c r="F4">
        <v>600870</v>
      </c>
      <c r="G4">
        <v>0</v>
      </c>
      <c r="H4">
        <v>1294932</v>
      </c>
      <c r="I4">
        <v>0</v>
      </c>
      <c r="J4">
        <v>0</v>
      </c>
    </row>
    <row r="5" spans="1:10" x14ac:dyDescent="0.3">
      <c r="A5">
        <v>385</v>
      </c>
      <c r="D5">
        <v>21386166</v>
      </c>
      <c r="E5">
        <v>12794016</v>
      </c>
      <c r="F5">
        <v>18237015</v>
      </c>
      <c r="G5">
        <v>5830217</v>
      </c>
      <c r="H5">
        <v>6552241</v>
      </c>
      <c r="I5">
        <v>5104084</v>
      </c>
      <c r="J5">
        <v>6528842</v>
      </c>
    </row>
    <row r="6" spans="1:10" x14ac:dyDescent="0.3">
      <c r="A6">
        <v>575</v>
      </c>
      <c r="D6">
        <v>0</v>
      </c>
      <c r="E6">
        <v>0</v>
      </c>
      <c r="F6">
        <v>0</v>
      </c>
      <c r="G6">
        <v>0</v>
      </c>
      <c r="H6">
        <v>0</v>
      </c>
      <c r="I6">
        <v>0</v>
      </c>
      <c r="J6">
        <v>0</v>
      </c>
    </row>
    <row r="7" spans="1:10" x14ac:dyDescent="0.3">
      <c r="A7">
        <v>576</v>
      </c>
      <c r="D7">
        <v>0</v>
      </c>
      <c r="E7">
        <v>0</v>
      </c>
      <c r="F7">
        <v>0</v>
      </c>
      <c r="G7">
        <v>0</v>
      </c>
      <c r="H7">
        <v>0</v>
      </c>
      <c r="I7">
        <v>0</v>
      </c>
      <c r="J7">
        <v>0</v>
      </c>
    </row>
    <row r="8" spans="1:10" x14ac:dyDescent="0.3">
      <c r="A8">
        <v>626</v>
      </c>
      <c r="D8">
        <v>0</v>
      </c>
      <c r="E8">
        <v>153653</v>
      </c>
      <c r="F8">
        <v>10973333</v>
      </c>
      <c r="G8">
        <v>188316</v>
      </c>
      <c r="H8">
        <v>794927</v>
      </c>
      <c r="I8">
        <v>801589</v>
      </c>
      <c r="J8">
        <v>1136166</v>
      </c>
    </row>
    <row r="9" spans="1:10" x14ac:dyDescent="0.3">
      <c r="A9">
        <v>627</v>
      </c>
      <c r="D9">
        <v>0</v>
      </c>
      <c r="E9">
        <v>0</v>
      </c>
      <c r="F9">
        <v>0</v>
      </c>
      <c r="G9">
        <v>0</v>
      </c>
      <c r="H9">
        <v>0</v>
      </c>
      <c r="I9">
        <v>0</v>
      </c>
      <c r="J9">
        <v>0</v>
      </c>
    </row>
    <row r="10" spans="1:10" x14ac:dyDescent="0.3">
      <c r="A10">
        <v>628</v>
      </c>
      <c r="D10">
        <v>0</v>
      </c>
      <c r="E10">
        <v>41856</v>
      </c>
      <c r="F10">
        <v>1005936</v>
      </c>
      <c r="G10">
        <v>0</v>
      </c>
      <c r="H10">
        <v>399222</v>
      </c>
      <c r="I10">
        <v>190129</v>
      </c>
      <c r="J10">
        <v>0</v>
      </c>
    </row>
    <row r="11" spans="1:10" x14ac:dyDescent="0.3">
      <c r="A11">
        <v>629</v>
      </c>
      <c r="D11">
        <v>0</v>
      </c>
      <c r="E11">
        <v>0</v>
      </c>
      <c r="F11">
        <v>6503635</v>
      </c>
      <c r="G11">
        <v>0</v>
      </c>
      <c r="H11">
        <v>0</v>
      </c>
      <c r="I11">
        <v>0</v>
      </c>
      <c r="J11">
        <v>0</v>
      </c>
    </row>
    <row r="12" spans="1:10" x14ac:dyDescent="0.3">
      <c r="A12">
        <v>630</v>
      </c>
      <c r="D12">
        <v>0</v>
      </c>
      <c r="E12">
        <v>0</v>
      </c>
      <c r="F12">
        <v>600870</v>
      </c>
      <c r="G12">
        <v>0</v>
      </c>
      <c r="H12">
        <v>345478</v>
      </c>
      <c r="I12">
        <v>0</v>
      </c>
      <c r="J12">
        <v>0</v>
      </c>
    </row>
    <row r="13" spans="1:10" x14ac:dyDescent="0.3">
      <c r="A13">
        <v>631</v>
      </c>
      <c r="D13">
        <v>0</v>
      </c>
      <c r="E13">
        <v>0</v>
      </c>
      <c r="F13">
        <v>2019729</v>
      </c>
      <c r="G13">
        <v>0</v>
      </c>
      <c r="H13">
        <v>0</v>
      </c>
      <c r="I13">
        <v>0</v>
      </c>
      <c r="J13">
        <v>0</v>
      </c>
    </row>
    <row r="14" spans="1:10" x14ac:dyDescent="0.3">
      <c r="A14">
        <v>338</v>
      </c>
      <c r="D14">
        <v>24455220</v>
      </c>
      <c r="E14">
        <v>4449162</v>
      </c>
      <c r="F14">
        <v>11016222</v>
      </c>
      <c r="G14">
        <v>10755823</v>
      </c>
      <c r="H14">
        <v>9789667</v>
      </c>
      <c r="I14">
        <v>4999282</v>
      </c>
      <c r="J14">
        <v>2267552</v>
      </c>
    </row>
    <row r="15" spans="1:10" x14ac:dyDescent="0.3">
      <c r="A15">
        <v>335</v>
      </c>
      <c r="D15">
        <v>0</v>
      </c>
      <c r="E15">
        <v>0</v>
      </c>
      <c r="F15">
        <v>0</v>
      </c>
      <c r="G15">
        <v>28600</v>
      </c>
      <c r="H15">
        <v>0</v>
      </c>
      <c r="I15">
        <v>269495</v>
      </c>
      <c r="J15">
        <v>583118</v>
      </c>
    </row>
    <row r="16" spans="1:10" x14ac:dyDescent="0.3">
      <c r="A16">
        <v>252</v>
      </c>
      <c r="D16">
        <v>3547990</v>
      </c>
      <c r="E16">
        <v>734509</v>
      </c>
      <c r="F16">
        <v>481291</v>
      </c>
      <c r="G16">
        <v>1128839</v>
      </c>
      <c r="H16">
        <v>778595</v>
      </c>
      <c r="I16">
        <v>666153</v>
      </c>
      <c r="J16">
        <v>53835</v>
      </c>
    </row>
    <row r="17" spans="1:10" x14ac:dyDescent="0.3">
      <c r="A17">
        <v>253</v>
      </c>
      <c r="D17">
        <v>3735171</v>
      </c>
      <c r="E17">
        <v>3732551</v>
      </c>
      <c r="F17">
        <v>3342317</v>
      </c>
      <c r="G17">
        <v>1578032</v>
      </c>
      <c r="H17">
        <v>1999078</v>
      </c>
      <c r="I17">
        <v>1190821</v>
      </c>
      <c r="J17">
        <v>82369</v>
      </c>
    </row>
    <row r="18" spans="1:10" x14ac:dyDescent="0.3">
      <c r="A18">
        <v>254</v>
      </c>
      <c r="D18">
        <v>-10352215</v>
      </c>
      <c r="E18">
        <v>3877794</v>
      </c>
      <c r="F18">
        <v>3397185</v>
      </c>
      <c r="G18">
        <v>-7632477</v>
      </c>
      <c r="H18">
        <v>-6015099</v>
      </c>
      <c r="I18">
        <v>-1752172</v>
      </c>
      <c r="J18">
        <v>4125086</v>
      </c>
    </row>
    <row r="19" spans="1:10" x14ac:dyDescent="0.3">
      <c r="D19">
        <v>0</v>
      </c>
      <c r="E19">
        <v>0</v>
      </c>
      <c r="F19">
        <v>0</v>
      </c>
      <c r="G19">
        <v>0</v>
      </c>
      <c r="H19">
        <v>0</v>
      </c>
      <c r="I19">
        <v>0</v>
      </c>
      <c r="J19">
        <v>0</v>
      </c>
    </row>
    <row r="20" spans="1:10" x14ac:dyDescent="0.3">
      <c r="A20">
        <v>502</v>
      </c>
      <c r="D20">
        <v>0</v>
      </c>
      <c r="E20">
        <v>0</v>
      </c>
      <c r="F20">
        <v>0</v>
      </c>
      <c r="G20">
        <v>0</v>
      </c>
      <c r="H20">
        <v>0</v>
      </c>
      <c r="I20">
        <v>0</v>
      </c>
      <c r="J20">
        <v>0</v>
      </c>
    </row>
    <row r="21" spans="1:10" x14ac:dyDescent="0.3">
      <c r="A21">
        <v>503</v>
      </c>
      <c r="D21">
        <v>0</v>
      </c>
      <c r="E21">
        <v>0</v>
      </c>
      <c r="F21">
        <v>0</v>
      </c>
      <c r="G21">
        <v>0</v>
      </c>
      <c r="H21">
        <v>0</v>
      </c>
      <c r="I21">
        <v>0</v>
      </c>
      <c r="J21">
        <v>0</v>
      </c>
    </row>
    <row r="22" spans="1:10" x14ac:dyDescent="0.3">
      <c r="D22">
        <v>0</v>
      </c>
      <c r="E22">
        <v>0</v>
      </c>
      <c r="F22">
        <v>0</v>
      </c>
      <c r="G22">
        <v>0</v>
      </c>
      <c r="H22">
        <v>0</v>
      </c>
      <c r="I22">
        <v>0</v>
      </c>
      <c r="J22">
        <v>0</v>
      </c>
    </row>
    <row r="23" spans="1:10" x14ac:dyDescent="0.3">
      <c r="A23">
        <v>388</v>
      </c>
      <c r="D23">
        <v>18324225</v>
      </c>
      <c r="E23">
        <v>10908243</v>
      </c>
      <c r="F23">
        <v>24084142</v>
      </c>
      <c r="G23">
        <v>6982063</v>
      </c>
      <c r="H23">
        <v>8966554</v>
      </c>
      <c r="I23">
        <v>7673767</v>
      </c>
      <c r="J23">
        <v>4672701</v>
      </c>
    </row>
    <row r="24" spans="1:10" x14ac:dyDescent="0.3">
      <c r="A24">
        <v>339</v>
      </c>
      <c r="D24">
        <v>9404496</v>
      </c>
      <c r="E24">
        <v>6473656</v>
      </c>
      <c r="F24">
        <v>9915841</v>
      </c>
      <c r="G24">
        <v>2803358</v>
      </c>
      <c r="H24">
        <v>2381410</v>
      </c>
      <c r="I24">
        <v>3870355</v>
      </c>
      <c r="J24">
        <v>1287641</v>
      </c>
    </row>
    <row r="25" spans="1:10" x14ac:dyDescent="0.3">
      <c r="A25">
        <v>504</v>
      </c>
      <c r="D25">
        <v>13693098</v>
      </c>
      <c r="E25">
        <v>9896125</v>
      </c>
      <c r="F25">
        <v>15707492</v>
      </c>
      <c r="G25">
        <v>5330297</v>
      </c>
      <c r="H25">
        <v>5751917</v>
      </c>
      <c r="I25">
        <v>3151542</v>
      </c>
      <c r="J25">
        <v>3989549</v>
      </c>
    </row>
    <row r="26" spans="1:10" x14ac:dyDescent="0.3">
      <c r="A26">
        <v>505</v>
      </c>
      <c r="D26">
        <v>0</v>
      </c>
      <c r="E26">
        <v>0</v>
      </c>
      <c r="F26">
        <v>0</v>
      </c>
      <c r="G26">
        <v>61500</v>
      </c>
      <c r="H26">
        <v>156187</v>
      </c>
      <c r="I26">
        <v>0</v>
      </c>
      <c r="J26">
        <v>20383</v>
      </c>
    </row>
    <row r="27" spans="1:10" x14ac:dyDescent="0.3">
      <c r="A27">
        <v>341</v>
      </c>
      <c r="D27">
        <v>1073732</v>
      </c>
      <c r="E27">
        <v>744</v>
      </c>
      <c r="F27">
        <v>23727</v>
      </c>
      <c r="G27">
        <v>135976</v>
      </c>
      <c r="H27">
        <v>1522919</v>
      </c>
      <c r="I27">
        <v>1017377</v>
      </c>
      <c r="J27">
        <v>973</v>
      </c>
    </row>
    <row r="28" spans="1:10" x14ac:dyDescent="0.3">
      <c r="A28">
        <v>386</v>
      </c>
      <c r="D28">
        <v>0</v>
      </c>
      <c r="E28">
        <v>0</v>
      </c>
      <c r="F28">
        <v>0</v>
      </c>
      <c r="G28">
        <v>0</v>
      </c>
      <c r="H28">
        <v>0</v>
      </c>
      <c r="I28">
        <v>0</v>
      </c>
      <c r="J28">
        <v>0</v>
      </c>
    </row>
    <row r="29" spans="1:10" x14ac:dyDescent="0.3">
      <c r="A29">
        <v>387</v>
      </c>
      <c r="D29">
        <v>0</v>
      </c>
      <c r="E29">
        <v>0</v>
      </c>
      <c r="F29">
        <v>0</v>
      </c>
      <c r="G29">
        <v>0</v>
      </c>
      <c r="H29">
        <v>0</v>
      </c>
      <c r="I29">
        <v>0</v>
      </c>
      <c r="J29">
        <v>0</v>
      </c>
    </row>
    <row r="30" spans="1:10" x14ac:dyDescent="0.3">
      <c r="A30">
        <v>389</v>
      </c>
      <c r="D30">
        <v>-1858568</v>
      </c>
      <c r="E30">
        <v>0</v>
      </c>
      <c r="F30">
        <v>0</v>
      </c>
      <c r="G30">
        <v>0</v>
      </c>
      <c r="H30">
        <v>0</v>
      </c>
      <c r="I30">
        <v>0</v>
      </c>
      <c r="J30">
        <v>0</v>
      </c>
    </row>
    <row r="31" spans="1:10" x14ac:dyDescent="0.3">
      <c r="A31">
        <v>255</v>
      </c>
      <c r="D31">
        <v>3988533</v>
      </c>
      <c r="E31">
        <v>5462282</v>
      </c>
      <c r="F31">
        <v>1562918</v>
      </c>
      <c r="G31">
        <v>1349068</v>
      </c>
      <c r="H31">
        <v>845879</v>
      </c>
      <c r="I31">
        <v>365507</v>
      </c>
      <c r="J31">
        <v>625845</v>
      </c>
    </row>
    <row r="32" spans="1:10" x14ac:dyDescent="0.3">
      <c r="A32">
        <v>376</v>
      </c>
      <c r="D32">
        <v>0</v>
      </c>
      <c r="E32">
        <v>0</v>
      </c>
      <c r="F32">
        <v>0</v>
      </c>
      <c r="G32">
        <v>0</v>
      </c>
      <c r="H32">
        <v>0</v>
      </c>
      <c r="I32">
        <v>0</v>
      </c>
      <c r="J32">
        <v>0</v>
      </c>
    </row>
    <row r="33" spans="1:10" x14ac:dyDescent="0.3">
      <c r="D33">
        <v>0</v>
      </c>
      <c r="E33">
        <v>0</v>
      </c>
      <c r="F33">
        <v>0</v>
      </c>
      <c r="G33">
        <v>0</v>
      </c>
      <c r="H33">
        <v>0</v>
      </c>
      <c r="I33">
        <v>0</v>
      </c>
      <c r="J33">
        <v>0</v>
      </c>
    </row>
    <row r="34" spans="1:10" x14ac:dyDescent="0.3">
      <c r="A34">
        <v>592</v>
      </c>
      <c r="D34">
        <v>0</v>
      </c>
      <c r="E34">
        <v>0</v>
      </c>
      <c r="F34">
        <v>0</v>
      </c>
      <c r="G34">
        <v>0</v>
      </c>
      <c r="H34">
        <v>0</v>
      </c>
      <c r="I34">
        <v>0</v>
      </c>
      <c r="J34">
        <v>0</v>
      </c>
    </row>
    <row r="35" spans="1:10" x14ac:dyDescent="0.3">
      <c r="A35">
        <v>591</v>
      </c>
      <c r="D35">
        <v>0</v>
      </c>
      <c r="E35">
        <v>0</v>
      </c>
      <c r="F35">
        <v>0</v>
      </c>
      <c r="G35">
        <v>0</v>
      </c>
      <c r="H35">
        <v>0</v>
      </c>
      <c r="I35">
        <v>0</v>
      </c>
      <c r="J35">
        <v>0</v>
      </c>
    </row>
    <row r="36" spans="1:10" x14ac:dyDescent="0.3">
      <c r="D36">
        <v>0</v>
      </c>
      <c r="E36">
        <v>0</v>
      </c>
      <c r="F36">
        <v>0</v>
      </c>
      <c r="G36">
        <v>0</v>
      </c>
      <c r="H36">
        <v>0</v>
      </c>
      <c r="I36">
        <v>0</v>
      </c>
      <c r="J36">
        <v>0</v>
      </c>
    </row>
    <row r="37" spans="1:10" x14ac:dyDescent="0.3">
      <c r="A37">
        <v>506</v>
      </c>
      <c r="D37">
        <v>6971378</v>
      </c>
      <c r="E37">
        <v>5987879</v>
      </c>
      <c r="F37">
        <v>8203508</v>
      </c>
      <c r="G37">
        <v>901267</v>
      </c>
      <c r="H37">
        <v>2042389</v>
      </c>
      <c r="I37">
        <v>1693963</v>
      </c>
      <c r="J37">
        <v>5828319</v>
      </c>
    </row>
    <row r="38" spans="1:10" x14ac:dyDescent="0.3">
      <c r="A38">
        <v>536</v>
      </c>
      <c r="D38">
        <v>0</v>
      </c>
      <c r="E38">
        <v>0</v>
      </c>
      <c r="F38">
        <v>600870</v>
      </c>
      <c r="G38">
        <v>0</v>
      </c>
      <c r="H38">
        <v>1294932</v>
      </c>
      <c r="I38">
        <v>0</v>
      </c>
      <c r="J38">
        <v>0</v>
      </c>
    </row>
    <row r="39" spans="1:10" x14ac:dyDescent="0.3">
      <c r="A39">
        <v>586</v>
      </c>
      <c r="D39">
        <v>0</v>
      </c>
      <c r="E39">
        <v>0</v>
      </c>
      <c r="F39">
        <v>0</v>
      </c>
      <c r="G39">
        <v>0</v>
      </c>
      <c r="H39">
        <v>0</v>
      </c>
      <c r="I39">
        <v>0</v>
      </c>
      <c r="J39">
        <v>0</v>
      </c>
    </row>
    <row r="40" spans="1:10" x14ac:dyDescent="0.3">
      <c r="A40">
        <v>379</v>
      </c>
      <c r="D40">
        <v>9742980</v>
      </c>
      <c r="E40">
        <v>10485799</v>
      </c>
      <c r="F40">
        <v>13127564</v>
      </c>
      <c r="G40">
        <v>2298313</v>
      </c>
      <c r="H40">
        <v>4535693</v>
      </c>
      <c r="I40">
        <v>2884784</v>
      </c>
      <c r="J40">
        <v>5940107</v>
      </c>
    </row>
    <row r="41" spans="1:10" x14ac:dyDescent="0.3">
      <c r="A41">
        <v>4</v>
      </c>
      <c r="D41">
        <v>557592</v>
      </c>
      <c r="E41">
        <v>111797</v>
      </c>
      <c r="F41">
        <v>1444033</v>
      </c>
      <c r="G41">
        <v>188317</v>
      </c>
      <c r="H41">
        <v>395705</v>
      </c>
      <c r="I41">
        <v>599506</v>
      </c>
      <c r="J41">
        <v>553048</v>
      </c>
    </row>
    <row r="42" spans="1:10" x14ac:dyDescent="0.3">
      <c r="A42">
        <v>5</v>
      </c>
      <c r="D42">
        <v>0</v>
      </c>
      <c r="E42">
        <v>0</v>
      </c>
      <c r="F42">
        <v>0</v>
      </c>
      <c r="G42">
        <v>28600</v>
      </c>
      <c r="H42">
        <v>20863</v>
      </c>
      <c r="I42">
        <v>0</v>
      </c>
      <c r="J42">
        <v>583118</v>
      </c>
    </row>
    <row r="43" spans="1:10" x14ac:dyDescent="0.3">
      <c r="A43">
        <v>380</v>
      </c>
      <c r="D43">
        <v>1687405</v>
      </c>
      <c r="E43">
        <v>729515</v>
      </c>
      <c r="F43">
        <v>980869</v>
      </c>
      <c r="G43">
        <v>0</v>
      </c>
      <c r="H43">
        <v>127884</v>
      </c>
      <c r="I43">
        <v>0</v>
      </c>
      <c r="J43">
        <v>0</v>
      </c>
    </row>
    <row r="44" spans="1:10" x14ac:dyDescent="0.3">
      <c r="A44">
        <v>391</v>
      </c>
      <c r="D44">
        <v>1462632</v>
      </c>
      <c r="E44">
        <v>3732551</v>
      </c>
      <c r="F44">
        <v>3342317</v>
      </c>
      <c r="G44">
        <v>1578032</v>
      </c>
      <c r="H44">
        <v>1070487</v>
      </c>
      <c r="I44">
        <v>1190821</v>
      </c>
      <c r="J44">
        <v>111788</v>
      </c>
    </row>
    <row r="45" spans="1:10" x14ac:dyDescent="0.3">
      <c r="A45">
        <v>7</v>
      </c>
      <c r="D45">
        <v>0</v>
      </c>
      <c r="E45">
        <v>35854</v>
      </c>
      <c r="F45">
        <v>0</v>
      </c>
      <c r="G45">
        <v>0</v>
      </c>
      <c r="H45">
        <v>0</v>
      </c>
      <c r="I45">
        <v>0</v>
      </c>
      <c r="J45">
        <v>0</v>
      </c>
    </row>
    <row r="46" spans="1:10" x14ac:dyDescent="0.3">
      <c r="A46">
        <v>645</v>
      </c>
      <c r="D46">
        <v>1680692</v>
      </c>
      <c r="E46">
        <v>232256</v>
      </c>
      <c r="F46">
        <v>880206</v>
      </c>
      <c r="G46">
        <v>0</v>
      </c>
      <c r="H46">
        <v>557927</v>
      </c>
      <c r="I46">
        <v>967857</v>
      </c>
      <c r="J46">
        <v>307484</v>
      </c>
    </row>
    <row r="47" spans="1:10" x14ac:dyDescent="0.3">
      <c r="A47">
        <v>646</v>
      </c>
      <c r="D47">
        <v>4354659</v>
      </c>
      <c r="E47">
        <v>5643826</v>
      </c>
      <c r="F47">
        <v>6480139</v>
      </c>
      <c r="G47">
        <v>503364</v>
      </c>
      <c r="H47">
        <v>1434236</v>
      </c>
      <c r="I47">
        <v>126600</v>
      </c>
      <c r="J47">
        <v>4384669</v>
      </c>
    </row>
    <row r="48" spans="1:10" x14ac:dyDescent="0.3">
      <c r="A48">
        <v>9</v>
      </c>
      <c r="D48">
        <v>7497983</v>
      </c>
      <c r="E48">
        <v>9644487</v>
      </c>
      <c r="F48">
        <v>10702662</v>
      </c>
      <c r="G48">
        <v>2081396</v>
      </c>
      <c r="H48">
        <v>3991241</v>
      </c>
      <c r="I48">
        <v>2285278</v>
      </c>
      <c r="J48">
        <v>4803941</v>
      </c>
    </row>
    <row r="49" spans="1:10" x14ac:dyDescent="0.3">
      <c r="A49">
        <v>1052</v>
      </c>
      <c r="D49" t="e">
        <v>#N/A</v>
      </c>
      <c r="E49" t="e">
        <v>#N/A</v>
      </c>
      <c r="F49" t="e">
        <v>#N/A</v>
      </c>
      <c r="G49" t="e">
        <v>#N/A</v>
      </c>
      <c r="H49" t="e">
        <v>#N/A</v>
      </c>
      <c r="I49" t="e">
        <v>#N/A</v>
      </c>
      <c r="J49" t="e">
        <v>#N/A</v>
      </c>
    </row>
    <row r="50" spans="1:10" x14ac:dyDescent="0.3">
      <c r="D50">
        <v>0</v>
      </c>
      <c r="E50">
        <v>0</v>
      </c>
      <c r="F50">
        <v>0</v>
      </c>
      <c r="G50">
        <v>0</v>
      </c>
      <c r="H50">
        <v>0</v>
      </c>
      <c r="I50">
        <v>0</v>
      </c>
      <c r="J50">
        <v>0</v>
      </c>
    </row>
    <row r="51" spans="1:10" x14ac:dyDescent="0.3">
      <c r="A51">
        <v>16</v>
      </c>
      <c r="D51">
        <v>16367419</v>
      </c>
      <c r="E51">
        <v>16054506</v>
      </c>
      <c r="F51">
        <v>25037834</v>
      </c>
      <c r="G51">
        <v>8234989</v>
      </c>
      <c r="H51">
        <v>9841694</v>
      </c>
      <c r="I51">
        <v>8039275</v>
      </c>
      <c r="J51">
        <v>5298547</v>
      </c>
    </row>
    <row r="52" spans="1:10" x14ac:dyDescent="0.3">
      <c r="A52">
        <v>532</v>
      </c>
      <c r="D52">
        <v>14567506</v>
      </c>
      <c r="E52">
        <v>10477529</v>
      </c>
      <c r="F52">
        <v>22898733</v>
      </c>
      <c r="G52">
        <v>7107968</v>
      </c>
      <c r="H52">
        <v>8967107</v>
      </c>
      <c r="I52">
        <v>7340000</v>
      </c>
      <c r="J52">
        <v>4549382</v>
      </c>
    </row>
    <row r="53" spans="1:10" x14ac:dyDescent="0.3">
      <c r="A53">
        <v>17</v>
      </c>
      <c r="D53">
        <v>0</v>
      </c>
      <c r="E53">
        <v>0</v>
      </c>
      <c r="F53">
        <v>0</v>
      </c>
      <c r="G53">
        <v>0</v>
      </c>
      <c r="H53">
        <v>0</v>
      </c>
      <c r="I53">
        <v>0</v>
      </c>
      <c r="J53">
        <v>0</v>
      </c>
    </row>
    <row r="54" spans="1:10" x14ac:dyDescent="0.3">
      <c r="A54">
        <v>20</v>
      </c>
      <c r="D54">
        <v>13640</v>
      </c>
      <c r="E54">
        <v>0</v>
      </c>
      <c r="F54">
        <v>0</v>
      </c>
      <c r="G54">
        <v>0</v>
      </c>
      <c r="H54">
        <v>0</v>
      </c>
      <c r="I54">
        <v>0</v>
      </c>
      <c r="J54">
        <v>0</v>
      </c>
    </row>
    <row r="55" spans="1:10" x14ac:dyDescent="0.3">
      <c r="A55">
        <v>533</v>
      </c>
      <c r="D55">
        <v>0</v>
      </c>
      <c r="E55">
        <v>0</v>
      </c>
      <c r="F55">
        <v>0</v>
      </c>
      <c r="G55">
        <v>0</v>
      </c>
      <c r="H55">
        <v>0</v>
      </c>
      <c r="I55">
        <v>0</v>
      </c>
      <c r="J55">
        <v>0</v>
      </c>
    </row>
    <row r="56" spans="1:10" x14ac:dyDescent="0.3">
      <c r="A56">
        <v>22</v>
      </c>
      <c r="D56">
        <v>-1858568</v>
      </c>
      <c r="E56">
        <v>0</v>
      </c>
      <c r="F56">
        <v>200000</v>
      </c>
      <c r="G56">
        <v>0</v>
      </c>
      <c r="H56">
        <v>0</v>
      </c>
      <c r="I56">
        <v>0</v>
      </c>
      <c r="J56">
        <v>0</v>
      </c>
    </row>
    <row r="57" spans="1:10" x14ac:dyDescent="0.3">
      <c r="A57">
        <v>23</v>
      </c>
      <c r="D57">
        <v>-72295</v>
      </c>
      <c r="E57">
        <v>5576977</v>
      </c>
      <c r="F57">
        <v>2339101</v>
      </c>
      <c r="G57">
        <v>1127021</v>
      </c>
      <c r="H57">
        <v>874587</v>
      </c>
      <c r="I57">
        <v>699275</v>
      </c>
      <c r="J57">
        <v>749165</v>
      </c>
    </row>
    <row r="58" spans="1:10" x14ac:dyDescent="0.3">
      <c r="A58">
        <v>507</v>
      </c>
      <c r="D58">
        <v>0</v>
      </c>
      <c r="E58">
        <v>2</v>
      </c>
      <c r="F58">
        <v>0</v>
      </c>
      <c r="G58">
        <v>0</v>
      </c>
      <c r="H58">
        <v>0</v>
      </c>
      <c r="I58">
        <v>0</v>
      </c>
      <c r="J58">
        <v>0</v>
      </c>
    </row>
    <row r="59" spans="1:10" x14ac:dyDescent="0.3">
      <c r="D59">
        <v>0</v>
      </c>
      <c r="E59">
        <v>0</v>
      </c>
      <c r="F59">
        <v>0</v>
      </c>
      <c r="G59">
        <v>0</v>
      </c>
      <c r="H59">
        <v>0</v>
      </c>
      <c r="I59">
        <v>0</v>
      </c>
      <c r="J59">
        <v>0</v>
      </c>
    </row>
    <row r="60" spans="1:10" x14ac:dyDescent="0.3">
      <c r="A60">
        <v>512</v>
      </c>
      <c r="D60">
        <v>6729168</v>
      </c>
      <c r="E60">
        <v>96362</v>
      </c>
      <c r="F60">
        <v>0</v>
      </c>
      <c r="G60">
        <v>0</v>
      </c>
      <c r="H60">
        <v>0</v>
      </c>
      <c r="I60">
        <v>0</v>
      </c>
      <c r="J60">
        <v>911108</v>
      </c>
    </row>
    <row r="61" spans="1:10" x14ac:dyDescent="0.3">
      <c r="D61">
        <v>0</v>
      </c>
      <c r="E61">
        <v>0</v>
      </c>
      <c r="F61">
        <v>0</v>
      </c>
      <c r="G61">
        <v>0</v>
      </c>
      <c r="H61">
        <v>0</v>
      </c>
      <c r="I61">
        <v>0</v>
      </c>
      <c r="J61">
        <v>0</v>
      </c>
    </row>
    <row r="62" spans="1:10" x14ac:dyDescent="0.3">
      <c r="A62">
        <v>622</v>
      </c>
      <c r="D62">
        <v>3433705</v>
      </c>
      <c r="E62">
        <v>2427071</v>
      </c>
      <c r="F62">
        <v>6503635</v>
      </c>
      <c r="G62">
        <v>1811727</v>
      </c>
      <c r="H62">
        <v>1843173</v>
      </c>
      <c r="I62">
        <v>1505127</v>
      </c>
      <c r="J62">
        <v>927304</v>
      </c>
    </row>
    <row r="63" spans="1:10" x14ac:dyDescent="0.3">
      <c r="A63">
        <v>577</v>
      </c>
      <c r="D63">
        <v>2</v>
      </c>
      <c r="E63">
        <v>2</v>
      </c>
      <c r="F63">
        <v>2</v>
      </c>
      <c r="G63">
        <v>2</v>
      </c>
      <c r="H63">
        <v>2</v>
      </c>
      <c r="I63">
        <v>2</v>
      </c>
      <c r="J63">
        <v>0</v>
      </c>
    </row>
    <row r="64" spans="1:10" x14ac:dyDescent="0.3">
      <c r="D64">
        <v>0</v>
      </c>
      <c r="E64">
        <v>0</v>
      </c>
      <c r="F64">
        <v>0</v>
      </c>
      <c r="G64">
        <v>0</v>
      </c>
      <c r="H64">
        <v>0</v>
      </c>
      <c r="I64">
        <v>0</v>
      </c>
      <c r="J64">
        <v>0</v>
      </c>
    </row>
    <row r="65" spans="1:10" x14ac:dyDescent="0.3">
      <c r="A65">
        <v>621</v>
      </c>
      <c r="D65">
        <v>10279083</v>
      </c>
      <c r="E65">
        <v>0</v>
      </c>
      <c r="F65">
        <v>0</v>
      </c>
      <c r="G65">
        <v>5612457</v>
      </c>
      <c r="H65">
        <v>0</v>
      </c>
      <c r="I65">
        <v>0</v>
      </c>
      <c r="J65">
        <v>0</v>
      </c>
    </row>
    <row r="66" spans="1:10" x14ac:dyDescent="0.3">
      <c r="A66">
        <v>547</v>
      </c>
      <c r="D66">
        <v>3</v>
      </c>
      <c r="E66">
        <v>3</v>
      </c>
      <c r="F66">
        <v>3</v>
      </c>
      <c r="G66">
        <v>4</v>
      </c>
      <c r="H66">
        <v>3</v>
      </c>
      <c r="I66">
        <v>3</v>
      </c>
      <c r="J66">
        <v>2</v>
      </c>
    </row>
    <row r="67" spans="1:10" x14ac:dyDescent="0.3">
      <c r="A67">
        <v>659</v>
      </c>
      <c r="D67">
        <v>15304687</v>
      </c>
      <c r="E67">
        <v>1182721</v>
      </c>
      <c r="F67">
        <v>2019729</v>
      </c>
      <c r="G67">
        <v>0</v>
      </c>
      <c r="H67">
        <v>7120959</v>
      </c>
      <c r="I67">
        <v>2600109</v>
      </c>
      <c r="J67">
        <v>0</v>
      </c>
    </row>
    <row r="68" spans="1:10" x14ac:dyDescent="0.3">
      <c r="A68">
        <v>660</v>
      </c>
      <c r="D68">
        <v>5025604</v>
      </c>
      <c r="E68">
        <v>96362</v>
      </c>
      <c r="F68">
        <v>0</v>
      </c>
      <c r="G68">
        <v>0</v>
      </c>
      <c r="H68">
        <v>0</v>
      </c>
      <c r="I68">
        <v>0</v>
      </c>
      <c r="J68">
        <v>0</v>
      </c>
    </row>
    <row r="69" spans="1:10" x14ac:dyDescent="0.3">
      <c r="A69">
        <v>661</v>
      </c>
      <c r="D69">
        <v>32.799999999999997</v>
      </c>
      <c r="E69">
        <v>8.1</v>
      </c>
      <c r="F69">
        <v>0</v>
      </c>
      <c r="G69">
        <v>0</v>
      </c>
      <c r="H69">
        <v>0</v>
      </c>
      <c r="I69">
        <v>0</v>
      </c>
      <c r="J69">
        <v>0</v>
      </c>
    </row>
    <row r="70" spans="1:10" x14ac:dyDescent="0.3">
      <c r="D70">
        <v>0</v>
      </c>
      <c r="E70">
        <v>0</v>
      </c>
      <c r="F70">
        <v>0</v>
      </c>
      <c r="G70">
        <v>0</v>
      </c>
      <c r="H70">
        <v>0</v>
      </c>
      <c r="I70">
        <v>0</v>
      </c>
      <c r="J70">
        <v>0</v>
      </c>
    </row>
    <row r="71" spans="1:10" x14ac:dyDescent="0.3">
      <c r="D71">
        <v>0</v>
      </c>
      <c r="E71">
        <v>0</v>
      </c>
      <c r="F71">
        <v>0</v>
      </c>
      <c r="G71">
        <v>0</v>
      </c>
      <c r="H71">
        <v>0</v>
      </c>
      <c r="I71">
        <v>0</v>
      </c>
      <c r="J71">
        <v>0</v>
      </c>
    </row>
    <row r="72" spans="1:10" x14ac:dyDescent="0.3">
      <c r="A72">
        <v>6</v>
      </c>
      <c r="D72">
        <v>0</v>
      </c>
      <c r="E72">
        <v>0</v>
      </c>
      <c r="F72">
        <v>0</v>
      </c>
      <c r="G72">
        <v>0</v>
      </c>
      <c r="H72">
        <v>0</v>
      </c>
      <c r="I72">
        <v>0</v>
      </c>
      <c r="J72">
        <v>0</v>
      </c>
    </row>
  </sheetData>
  <sheetProtection algorithmName="SHA-512" hashValue="BH+cqbWaKx4fVKo1wV0Fv2mQA5f2DoiW+kQ9d4AXYbsCaNZqT9omJTw5l7uCwHBkF+kWNHqGuqzGsVT5wuoJdQ==" saltValue="BBUA8En5X8M900GjWAHLk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59"/>
  <sheetViews>
    <sheetView zoomScaleNormal="100" workbookViewId="0">
      <pane xSplit="3" ySplit="3" topLeftCell="D32" activePane="bottomRight" state="frozen"/>
      <selection activeCell="K179" sqref="K179"/>
      <selection pane="topRight" activeCell="K179" sqref="K179"/>
      <selection pane="bottomLeft" activeCell="K179" sqref="K179"/>
      <selection pane="bottomRight" activeCell="E38" sqref="E38"/>
    </sheetView>
  </sheetViews>
  <sheetFormatPr defaultColWidth="9.109375" defaultRowHeight="14.4" x14ac:dyDescent="0.3"/>
  <cols>
    <col min="1" max="1" width="8.88671875" style="2" customWidth="1"/>
    <col min="2" max="2" width="17.5546875" style="32" bestFit="1" customWidth="1"/>
    <col min="3" max="3" width="40.44140625" style="256" customWidth="1"/>
    <col min="4" max="4" width="20.88671875" style="2" bestFit="1" customWidth="1"/>
    <col min="5" max="5" width="17.5546875" style="2" customWidth="1"/>
    <col min="6" max="6" width="22.6640625" style="2" customWidth="1"/>
    <col min="7" max="7" width="17.44140625" style="189" customWidth="1"/>
    <col min="8" max="8" width="9.6640625" style="2" customWidth="1"/>
    <col min="9" max="9" width="1" style="216" customWidth="1"/>
    <col min="10" max="10" width="18.109375" style="4" customWidth="1"/>
    <col min="11" max="11" width="36.88671875" style="7" customWidth="1"/>
    <col min="12" max="12" width="23.44140625" style="263" customWidth="1"/>
    <col min="13" max="13" width="8.44140625" customWidth="1"/>
    <col min="14" max="14" width="18.109375" style="2" customWidth="1"/>
    <col min="15" max="15" width="17.88671875" style="2" customWidth="1"/>
    <col min="16" max="16" width="9.109375" style="138" customWidth="1"/>
    <col min="17" max="17" width="10.33203125" customWidth="1"/>
    <col min="18" max="18" width="7.109375" customWidth="1"/>
    <col min="19" max="19" width="6" customWidth="1"/>
    <col min="20" max="20" width="6.6640625" customWidth="1"/>
    <col min="21" max="21" width="7.5546875" customWidth="1"/>
    <col min="22" max="22" width="3.44140625" customWidth="1"/>
    <col min="23" max="23" width="7.33203125" customWidth="1"/>
    <col min="24" max="24" width="10.5546875" customWidth="1"/>
    <col min="25" max="25" width="9.88671875" customWidth="1"/>
    <col min="26" max="26" width="9.109375" customWidth="1"/>
    <col min="29" max="16384" width="9.109375" style="2"/>
  </cols>
  <sheetData>
    <row r="1" spans="1:28" ht="36" x14ac:dyDescent="0.3">
      <c r="C1" s="29" t="s">
        <v>265</v>
      </c>
      <c r="D1" s="11">
        <f>L49-(L38+L39-L42-L43-L67)-L46</f>
        <v>0</v>
      </c>
      <c r="I1" s="190"/>
      <c r="J1" s="28"/>
      <c r="K1" s="12" t="s">
        <v>15</v>
      </c>
      <c r="L1" s="38"/>
    </row>
    <row r="2" spans="1:28" ht="21" x14ac:dyDescent="0.4">
      <c r="C2" s="46" t="str">
        <f>'Unit Data from Audit Worksheet'!D2</f>
        <v>Select Unit Name from Drop Down List</v>
      </c>
      <c r="D2" s="87">
        <v>2023</v>
      </c>
      <c r="E2" s="10">
        <v>2023</v>
      </c>
      <c r="F2" s="10"/>
      <c r="G2" s="42"/>
      <c r="H2" s="10"/>
      <c r="I2" s="190"/>
      <c r="J2" s="25" t="s">
        <v>11</v>
      </c>
      <c r="K2" s="6" t="s">
        <v>10</v>
      </c>
      <c r="L2" s="41" t="s">
        <v>6</v>
      </c>
    </row>
    <row r="3" spans="1:28" ht="31.2" x14ac:dyDescent="0.3">
      <c r="A3" s="192" t="s">
        <v>11</v>
      </c>
      <c r="B3" s="193"/>
      <c r="C3" s="27" t="s">
        <v>1</v>
      </c>
      <c r="D3" s="13" t="s">
        <v>12</v>
      </c>
      <c r="E3" s="13" t="s">
        <v>13</v>
      </c>
      <c r="F3" s="14" t="s">
        <v>16</v>
      </c>
      <c r="G3" s="47" t="s">
        <v>203</v>
      </c>
      <c r="H3" s="14" t="s">
        <v>228</v>
      </c>
      <c r="I3" s="190"/>
      <c r="J3" s="194"/>
      <c r="K3" s="88"/>
      <c r="L3" s="195"/>
      <c r="O3" s="2" t="s">
        <v>185</v>
      </c>
    </row>
    <row r="4" spans="1:28" ht="18" x14ac:dyDescent="0.35">
      <c r="A4" s="196"/>
      <c r="B4" s="197"/>
      <c r="C4" s="30"/>
      <c r="D4" s="5"/>
      <c r="E4" s="5"/>
      <c r="F4" s="5"/>
      <c r="G4" s="43"/>
      <c r="H4" s="5"/>
      <c r="I4" s="190"/>
      <c r="J4" s="26">
        <v>999</v>
      </c>
      <c r="K4" s="9" t="s">
        <v>182</v>
      </c>
      <c r="L4" s="530" t="e">
        <f>'Unit Data from Audit Worksheet'!D3</f>
        <v>#N/A</v>
      </c>
    </row>
    <row r="5" spans="1:28" ht="57" customHeight="1" x14ac:dyDescent="0.3">
      <c r="A5" s="198">
        <f>'Unit Data from Audit Worksheet'!A7</f>
        <v>333</v>
      </c>
      <c r="B5" s="34" t="str">
        <f>'Unit Data from Audit Worksheet'!C7</f>
        <v>Net Position-Governmental Activities</v>
      </c>
      <c r="C5" s="199" t="str">
        <f>'Unit Data from Audit Worksheet'!D7</f>
        <v xml:space="preserve"> All unrestricted Cash and investments.  
Exclude: restricted cash 
                   cash held by a third party. </v>
      </c>
      <c r="D5" s="86"/>
      <c r="E5" s="90">
        <f>'Unit Data from Audit Worksheet'!F7</f>
        <v>0</v>
      </c>
      <c r="F5" s="166">
        <f>IF(L5&lt;0,"Error: Number is normally positive.",)</f>
        <v>0</v>
      </c>
      <c r="G5" s="44"/>
      <c r="H5" s="165"/>
      <c r="I5" s="22"/>
      <c r="J5" s="24">
        <v>333</v>
      </c>
      <c r="K5" s="31" t="s">
        <v>85</v>
      </c>
      <c r="L5" s="200">
        <f>IF(D5="",E5,D5)</f>
        <v>0</v>
      </c>
      <c r="P5" s="144"/>
    </row>
    <row r="6" spans="1:28" ht="39.75" customHeight="1" x14ac:dyDescent="0.3">
      <c r="A6" s="155">
        <f>'Unit Data from Audit Worksheet'!A8</f>
        <v>500</v>
      </c>
      <c r="B6" s="167" t="str">
        <f>'Unit Data from Audit Worksheet'!C8</f>
        <v>Net Position-Governmental Activities</v>
      </c>
      <c r="C6" s="154" t="str">
        <f>'Unit Data from Audit Worksheet'!D8</f>
        <v xml:space="preserve"> All restricted Cash and investments</v>
      </c>
      <c r="D6" s="86"/>
      <c r="E6" s="172">
        <f>'Unit Data from Audit Worksheet'!F8</f>
        <v>0</v>
      </c>
      <c r="F6" s="166">
        <f>IF(L6&lt;0,"Error: Number is normally positive.",)</f>
        <v>0</v>
      </c>
      <c r="G6" s="168"/>
      <c r="H6" s="165"/>
      <c r="I6" s="22"/>
      <c r="J6" s="164">
        <v>500</v>
      </c>
      <c r="K6" s="163" t="s">
        <v>84</v>
      </c>
      <c r="L6" s="200">
        <f>IF(D6="",E6,D6)</f>
        <v>0</v>
      </c>
      <c r="P6" s="145"/>
    </row>
    <row r="7" spans="1:28" ht="43.5" customHeight="1" x14ac:dyDescent="0.3">
      <c r="A7" s="155">
        <f>'Unit Data from Audit Worksheet'!A9</f>
        <v>385</v>
      </c>
      <c r="B7" s="167" t="str">
        <f>'Unit Data from Audit Worksheet'!C9</f>
        <v>Net Position-Governmental Activities</v>
      </c>
      <c r="C7" s="154" t="str">
        <f>'Unit Data from Audit Worksheet'!D9</f>
        <v>Total Assets and deferred outflows</v>
      </c>
      <c r="D7" s="86"/>
      <c r="E7" s="172">
        <f>'Unit Data from Audit Worksheet'!F9</f>
        <v>0</v>
      </c>
      <c r="F7" s="81">
        <f>IF((L5+L6)&gt;L7,"Error: Please review accts (333 + 500) &gt; 385",)</f>
        <v>0</v>
      </c>
      <c r="G7" s="168" t="str">
        <f>IF(Q7=1," Included in error count"," ")</f>
        <v xml:space="preserve"> </v>
      </c>
      <c r="H7" s="165"/>
      <c r="I7" s="22"/>
      <c r="J7" s="48">
        <v>385</v>
      </c>
      <c r="K7" s="49" t="s">
        <v>45</v>
      </c>
      <c r="L7" s="201">
        <f>IF(D7="",E7,D7)+IF(D9="",E9,D9)</f>
        <v>0</v>
      </c>
      <c r="N7" s="50" t="s">
        <v>193</v>
      </c>
      <c r="P7" s="145"/>
    </row>
    <row r="8" spans="1:28" ht="90.75" customHeight="1" x14ac:dyDescent="0.3">
      <c r="A8" s="155">
        <f>'Unit Data from Audit Worksheet'!A10</f>
        <v>575</v>
      </c>
      <c r="B8" s="167" t="str">
        <f>'Unit Data from Audit Worksheet'!C10</f>
        <v>Net Position-Governmental Activities</v>
      </c>
      <c r="C8" s="154" t="str">
        <f>'Unit Data from Audit Worksheet'!D10</f>
        <v>Record any positive Internal balances on the net position statements that appear in the Asset Section of the Net Position Statement</v>
      </c>
      <c r="D8" s="86"/>
      <c r="E8" s="172">
        <f>'Unit Data from Audit Worksheet'!F10</f>
        <v>0</v>
      </c>
      <c r="F8" s="166">
        <f>IF(L8&lt;0,"Error: Number is normally positive.",)</f>
        <v>0</v>
      </c>
      <c r="G8" s="168"/>
      <c r="H8" s="165"/>
      <c r="I8" s="22"/>
      <c r="J8" s="164">
        <v>575</v>
      </c>
      <c r="K8" s="169" t="s">
        <v>195</v>
      </c>
      <c r="L8" s="200">
        <f>IF(D8="",E8,D8)</f>
        <v>0</v>
      </c>
      <c r="N8" s="39"/>
      <c r="P8" s="145"/>
    </row>
    <row r="9" spans="1:28" ht="103.5" customHeight="1" x14ac:dyDescent="0.3">
      <c r="A9" s="155">
        <f>'Unit Data from Audit Worksheet'!A11</f>
        <v>576</v>
      </c>
      <c r="B9" s="167" t="str">
        <f>'Unit Data from Audit Worksheet'!C11</f>
        <v>Net Position-Governmental Activities</v>
      </c>
      <c r="C9" s="202" t="str">
        <f>'Unit Data from Audit Worksheet'!D11</f>
        <v>Record any negative Internal balances on the net position statements that appear in the Asset Section of the Net Position Statement.
Enter as a positive</v>
      </c>
      <c r="D9" s="67"/>
      <c r="E9" s="93">
        <f>'Unit Data from Audit Worksheet'!F11</f>
        <v>0</v>
      </c>
      <c r="F9" s="162">
        <f>IF(E9&lt;0,"Error: Enter as positive.",)</f>
        <v>0</v>
      </c>
      <c r="G9" s="68"/>
      <c r="H9" s="69"/>
      <c r="I9" s="22"/>
      <c r="J9" s="64">
        <v>576</v>
      </c>
      <c r="K9" s="169" t="s">
        <v>196</v>
      </c>
      <c r="L9" s="200">
        <f>IF(D9="",E9,D9)</f>
        <v>0</v>
      </c>
      <c r="N9" s="39"/>
      <c r="P9" s="146"/>
    </row>
    <row r="10" spans="1:28" s="16" customFormat="1" ht="100.5" customHeight="1" x14ac:dyDescent="0.3">
      <c r="A10" s="155">
        <f>'Unit Data from Audit Worksheet'!A12</f>
        <v>626</v>
      </c>
      <c r="B10" s="159" t="str">
        <f>'Unit Data from Audit Worksheet'!C12</f>
        <v>Net Position-Governmental Activities</v>
      </c>
      <c r="C10" s="158" t="str">
        <f>'Unit Data from Audit Worksheet'!D12</f>
        <v xml:space="preserve">Total Current liabilities (as reported on Statement of Net Position)
Include:   Current liabilities including current portion of long-term debt.  Deferred inflows should not be included in Current Liabilities  </v>
      </c>
      <c r="D10" s="67"/>
      <c r="E10" s="175">
        <f>'Unit Data from Audit Worksheet'!F12</f>
        <v>0</v>
      </c>
      <c r="F10" s="161">
        <f>IF(L10&lt;0,"Error: Enter as a positive.",)</f>
        <v>0</v>
      </c>
      <c r="G10" s="151"/>
      <c r="H10" s="161"/>
      <c r="I10" s="22"/>
      <c r="J10" s="484">
        <v>626</v>
      </c>
      <c r="K10" s="485" t="s">
        <v>243</v>
      </c>
      <c r="L10" s="486">
        <f>IF(D10="",E10,D10)+IF(D9="",E9,D9)</f>
        <v>0</v>
      </c>
      <c r="M10"/>
      <c r="N10" s="117" t="s">
        <v>193</v>
      </c>
      <c r="O10" s="203"/>
      <c r="P10" s="147"/>
      <c r="Q10"/>
      <c r="R10"/>
      <c r="S10"/>
      <c r="T10"/>
      <c r="U10"/>
      <c r="V10"/>
      <c r="W10"/>
      <c r="X10"/>
      <c r="Y10"/>
      <c r="Z10"/>
      <c r="AA10"/>
      <c r="AB10"/>
    </row>
    <row r="11" spans="1:28" s="16" customFormat="1" ht="100.2" customHeight="1" x14ac:dyDescent="0.3">
      <c r="A11" s="155">
        <f>'Unit Data from Audit Worksheet'!A13</f>
        <v>627</v>
      </c>
      <c r="B11" s="159" t="str">
        <f>'Unit Data from Audit Worksheet'!C13</f>
        <v>Net Position-Governmental Activities</v>
      </c>
      <c r="C11" s="158" t="str">
        <f>'Unit Data from Audit Worksheet'!D13</f>
        <v>Please enter any bond anticipation notes that are classified as current liabilities and included in account 626 above (amounts entered should agree to the current amount included in the changes to long-term debt note)</v>
      </c>
      <c r="D11" s="67"/>
      <c r="E11" s="175">
        <f>'Unit Data from Audit Worksheet'!F13</f>
        <v>0</v>
      </c>
      <c r="F11" s="161"/>
      <c r="G11" s="151"/>
      <c r="H11" s="161"/>
      <c r="I11" s="22"/>
      <c r="J11" s="160">
        <v>627</v>
      </c>
      <c r="K11" s="141" t="s">
        <v>238</v>
      </c>
      <c r="L11" s="205">
        <f t="shared" ref="L11:L15" si="0">IF(D11="",E11,D11)</f>
        <v>0</v>
      </c>
      <c r="M11"/>
      <c r="N11" s="116"/>
      <c r="O11" s="203"/>
      <c r="P11" s="147"/>
      <c r="Q11"/>
      <c r="R11"/>
      <c r="S11"/>
      <c r="T11"/>
      <c r="U11"/>
      <c r="V11"/>
      <c r="W11"/>
      <c r="X11"/>
      <c r="Y11"/>
      <c r="Z11"/>
      <c r="AA11"/>
      <c r="AB11"/>
    </row>
    <row r="12" spans="1:28" s="16" customFormat="1" ht="97.2" customHeight="1" x14ac:dyDescent="0.3">
      <c r="A12" s="155">
        <f>'Unit Data from Audit Worksheet'!A14</f>
        <v>628</v>
      </c>
      <c r="B12" s="159" t="str">
        <f>'Unit Data from Audit Worksheet'!C14</f>
        <v>Net Position-Governmental Activities</v>
      </c>
      <c r="C12" s="158" t="str">
        <f>'Unit Data from Audit Worksheet'!D14</f>
        <v>Please enter any compensated absences that are classified as current liabilities and included in account 626 above (amounts entered should agree to the current amount included in the changes to long-term debt note)</v>
      </c>
      <c r="D12" s="67"/>
      <c r="E12" s="175">
        <f>'Unit Data from Audit Worksheet'!F14</f>
        <v>0</v>
      </c>
      <c r="F12" s="161"/>
      <c r="G12" s="151"/>
      <c r="H12" s="161"/>
      <c r="I12" s="22"/>
      <c r="J12" s="160">
        <v>628</v>
      </c>
      <c r="K12" s="141" t="s">
        <v>242</v>
      </c>
      <c r="L12" s="205">
        <f t="shared" si="0"/>
        <v>0</v>
      </c>
      <c r="M12"/>
      <c r="N12" s="116"/>
      <c r="O12" s="203"/>
      <c r="P12" s="147"/>
      <c r="Q12"/>
      <c r="R12"/>
      <c r="S12"/>
      <c r="T12"/>
      <c r="U12"/>
      <c r="V12"/>
      <c r="W12"/>
      <c r="X12"/>
      <c r="Y12"/>
      <c r="Z12"/>
      <c r="AA12"/>
      <c r="AB12"/>
    </row>
    <row r="13" spans="1:28" s="16" customFormat="1" ht="93" customHeight="1" x14ac:dyDescent="0.3">
      <c r="A13" s="155">
        <f>'Unit Data from Audit Worksheet'!A15</f>
        <v>629</v>
      </c>
      <c r="B13" s="159" t="str">
        <f>'Unit Data from Audit Worksheet'!C15</f>
        <v>Net Position-Governmental Activities</v>
      </c>
      <c r="C13" s="158" t="str">
        <f>'Unit Data from Audit Worksheet'!D15</f>
        <v>Please enter any pension liabilities that are classified as current liabilities and included in account 626 above (amounts entered should agree to the current amount included in the changes to long-term debt note)</v>
      </c>
      <c r="D13" s="67"/>
      <c r="E13" s="175">
        <f>'Unit Data from Audit Worksheet'!F15</f>
        <v>0</v>
      </c>
      <c r="F13" s="161"/>
      <c r="G13" s="151"/>
      <c r="H13" s="161"/>
      <c r="I13" s="22"/>
      <c r="J13" s="160">
        <v>629</v>
      </c>
      <c r="K13" s="141" t="s">
        <v>241</v>
      </c>
      <c r="L13" s="205">
        <f t="shared" si="0"/>
        <v>0</v>
      </c>
      <c r="M13"/>
      <c r="N13" s="116"/>
      <c r="O13" s="203"/>
      <c r="P13" s="147"/>
      <c r="Q13"/>
      <c r="R13"/>
      <c r="S13"/>
      <c r="T13"/>
      <c r="U13"/>
      <c r="V13"/>
      <c r="W13"/>
      <c r="X13"/>
      <c r="Y13"/>
      <c r="Z13"/>
      <c r="AA13"/>
      <c r="AB13"/>
    </row>
    <row r="14" spans="1:28" s="16" customFormat="1" ht="67.5" customHeight="1" x14ac:dyDescent="0.3">
      <c r="A14" s="155">
        <f>'Unit Data from Audit Worksheet'!A16</f>
        <v>630</v>
      </c>
      <c r="B14" s="159" t="str">
        <f>'Unit Data from Audit Worksheet'!C16</f>
        <v>Net Position-Governmental Activities</v>
      </c>
      <c r="C14" s="158" t="str">
        <f>'Unit Data from Audit Worksheet'!D16</f>
        <v>Please enter any current liabilities that are payable from restricted assets and included in account 626 above</v>
      </c>
      <c r="D14" s="67"/>
      <c r="E14" s="175">
        <f>'Unit Data from Audit Worksheet'!F16</f>
        <v>0</v>
      </c>
      <c r="F14" s="161"/>
      <c r="G14" s="151"/>
      <c r="H14" s="161"/>
      <c r="I14" s="22"/>
      <c r="J14" s="160">
        <v>630</v>
      </c>
      <c r="K14" s="141" t="s">
        <v>240</v>
      </c>
      <c r="L14" s="205">
        <f t="shared" si="0"/>
        <v>0</v>
      </c>
      <c r="M14"/>
      <c r="N14" s="116"/>
      <c r="O14" s="203"/>
      <c r="P14" s="147"/>
      <c r="Q14"/>
      <c r="R14"/>
      <c r="S14"/>
      <c r="T14"/>
      <c r="U14"/>
      <c r="V14"/>
      <c r="W14"/>
      <c r="X14"/>
      <c r="Y14"/>
      <c r="Z14"/>
      <c r="AA14"/>
      <c r="AB14"/>
    </row>
    <row r="15" spans="1:28" s="16" customFormat="1" ht="102.75" customHeight="1" x14ac:dyDescent="0.3">
      <c r="A15" s="155">
        <f>'Unit Data from Audit Worksheet'!A17</f>
        <v>631</v>
      </c>
      <c r="B15" s="167" t="str">
        <f>'Unit Data from Audit Worksheet'!C17</f>
        <v>Net Position-Governmental Activities</v>
      </c>
      <c r="C15" s="152" t="str">
        <f>'Unit Data from Audit Worksheet'!D17</f>
        <v>Please enter any OPEB liabilities that are classified as current liabilities and included in account 626 above (amounts entered should agree to the current amount included in the changes to long-term debt note)</v>
      </c>
      <c r="D15" s="67"/>
      <c r="E15" s="175">
        <f>'Unit Data from Audit Worksheet'!F17</f>
        <v>0</v>
      </c>
      <c r="F15" s="161"/>
      <c r="G15" s="151"/>
      <c r="H15" s="161"/>
      <c r="I15" s="22"/>
      <c r="J15" s="160">
        <v>631</v>
      </c>
      <c r="K15" s="141" t="s">
        <v>239</v>
      </c>
      <c r="L15" s="205">
        <f t="shared" si="0"/>
        <v>0</v>
      </c>
      <c r="M15"/>
      <c r="N15" s="116"/>
      <c r="O15" s="203"/>
      <c r="P15" s="147"/>
      <c r="Q15"/>
      <c r="R15"/>
      <c r="S15"/>
      <c r="T15"/>
      <c r="U15"/>
      <c r="V15"/>
      <c r="W15"/>
      <c r="X15"/>
      <c r="Y15"/>
      <c r="Z15"/>
      <c r="AA15"/>
      <c r="AB15"/>
    </row>
    <row r="16" spans="1:28" ht="44.4" customHeight="1" x14ac:dyDescent="0.3">
      <c r="A16" s="410">
        <f>'Unit Data from Audit Worksheet'!A18</f>
        <v>338</v>
      </c>
      <c r="B16" s="167" t="str">
        <f>'Unit Data from Audit Worksheet'!C18</f>
        <v>Net Position-Governmental Activities</v>
      </c>
      <c r="C16" s="154" t="str">
        <f>'Unit Data from Audit Worksheet'!D18</f>
        <v>Total Liabilities and total deferred inflows</v>
      </c>
      <c r="D16" s="67"/>
      <c r="E16" s="90">
        <f>'Unit Data from Audit Worksheet'!F18</f>
        <v>0</v>
      </c>
      <c r="F16" s="81" t="str">
        <f>IF(L10&gt;L16,"Please review accounts 626 greater than 338","")</f>
        <v/>
      </c>
      <c r="G16" s="44"/>
      <c r="H16" s="165"/>
      <c r="I16" s="22"/>
      <c r="J16" s="70">
        <v>338</v>
      </c>
      <c r="K16" s="71" t="s">
        <v>46</v>
      </c>
      <c r="L16" s="201">
        <f>IF(D16="",E16,D16)+IF(D9="",E9,D9)</f>
        <v>0</v>
      </c>
      <c r="N16" s="50" t="s">
        <v>193</v>
      </c>
      <c r="P16" s="144"/>
    </row>
    <row r="17" spans="1:16" ht="100.5" customHeight="1" x14ac:dyDescent="0.3">
      <c r="A17" s="155">
        <f>'Unit Data from Audit Worksheet'!A19</f>
        <v>335</v>
      </c>
      <c r="B17" s="167" t="str">
        <f>'Unit Data from Audit Worksheet'!C19</f>
        <v>Net Position-Governmental Activities</v>
      </c>
      <c r="C17" s="154" t="str">
        <f>'Unit Data from Audit Worksheet'!D19</f>
        <v>Unearned revenues that were included in current liabilities in your audit report or entered in acct # 626 above. 
Exclude - unearned revenues that are listed in deferred inflows.</v>
      </c>
      <c r="D17" s="67"/>
      <c r="E17" s="172">
        <f>'Unit Data from Audit Worksheet'!F19</f>
        <v>0</v>
      </c>
      <c r="F17" s="166">
        <f>IF(L17&lt;0,"Error: Enter as a positive.",)</f>
        <v>0</v>
      </c>
      <c r="G17" s="168"/>
      <c r="H17" s="165"/>
      <c r="I17" s="22"/>
      <c r="J17" s="164">
        <v>335</v>
      </c>
      <c r="K17" s="163" t="s">
        <v>47</v>
      </c>
      <c r="L17" s="200">
        <f>IF(D17="",E17,D17)</f>
        <v>0</v>
      </c>
      <c r="P17" s="145"/>
    </row>
    <row r="18" spans="1:16" ht="40.799999999999997" customHeight="1" x14ac:dyDescent="0.3">
      <c r="A18" s="155">
        <f>'Unit Data from Audit Worksheet'!A20</f>
        <v>252</v>
      </c>
      <c r="B18" s="167" t="str">
        <f>'Unit Data from Audit Worksheet'!C20</f>
        <v>Net Position-Governmental Activities</v>
      </c>
      <c r="C18" s="154" t="str">
        <f>'Unit Data from Audit Worksheet'!D20</f>
        <v xml:space="preserve"> Total Net investment in capital assets</v>
      </c>
      <c r="D18" s="67"/>
      <c r="E18" s="172">
        <f>'Unit Data from Audit Worksheet'!F20</f>
        <v>0</v>
      </c>
      <c r="F18" s="166"/>
      <c r="G18" s="168"/>
      <c r="H18" s="165"/>
      <c r="I18" s="22"/>
      <c r="J18" s="164">
        <v>252</v>
      </c>
      <c r="K18" s="163" t="s">
        <v>34</v>
      </c>
      <c r="L18" s="200">
        <f t="shared" ref="L18:L33" si="1">IF(D18="",E18,D18)</f>
        <v>0</v>
      </c>
      <c r="O18" s="206" t="e">
        <f>'Unit Data from Audit Worksheet'!E20</f>
        <v>#N/A</v>
      </c>
      <c r="P18" s="145"/>
    </row>
    <row r="19" spans="1:16" ht="49.2" customHeight="1" x14ac:dyDescent="0.3">
      <c r="A19" s="155">
        <f>'Unit Data from Audit Worksheet'!A21</f>
        <v>253</v>
      </c>
      <c r="B19" s="167" t="str">
        <f>'Unit Data from Audit Worksheet'!C21</f>
        <v>Net Position-Governmental Activities</v>
      </c>
      <c r="C19" s="154" t="str">
        <f>'Unit Data from Audit Worksheet'!D21</f>
        <v xml:space="preserve"> Total Net Position, Restricted</v>
      </c>
      <c r="D19" s="67"/>
      <c r="E19" s="172">
        <f>'Unit Data from Audit Worksheet'!F21</f>
        <v>0</v>
      </c>
      <c r="F19" s="166"/>
      <c r="G19" s="168"/>
      <c r="H19" s="165"/>
      <c r="I19" s="22"/>
      <c r="J19" s="164">
        <v>253</v>
      </c>
      <c r="K19" s="163" t="s">
        <v>35</v>
      </c>
      <c r="L19" s="200">
        <f t="shared" si="1"/>
        <v>0</v>
      </c>
      <c r="O19" s="206" t="e">
        <f>'Unit Data from Audit Worksheet'!E21</f>
        <v>#N/A</v>
      </c>
      <c r="P19" s="145"/>
    </row>
    <row r="20" spans="1:16" ht="73.5" customHeight="1" x14ac:dyDescent="0.3">
      <c r="A20" s="155">
        <f>'Unit Data from Audit Worksheet'!A22</f>
        <v>254</v>
      </c>
      <c r="B20" s="167" t="str">
        <f>'Unit Data from Audit Worksheet'!C22</f>
        <v>Net Position-Governmental Activities</v>
      </c>
      <c r="C20" s="154" t="str">
        <f>'Unit Data from Audit Worksheet'!D22</f>
        <v>Total Net Position, Unrestricted - enter negative unrestricted net position as a negative)</v>
      </c>
      <c r="D20" s="67"/>
      <c r="E20" s="172">
        <f>'Unit Data from Audit Worksheet'!F22</f>
        <v>0</v>
      </c>
      <c r="F20" s="166">
        <f>IF((L7-L16-L18-L19-L20)=0,,"Error: Total assets and deferred outflows less total liabilities and deferred inflows do not equal total net position accts 385-338-252-253-254")</f>
        <v>0</v>
      </c>
      <c r="G20" s="57">
        <f>+L7-L16-L18-L19-L20</f>
        <v>0</v>
      </c>
      <c r="H20" s="165"/>
      <c r="I20" s="22"/>
      <c r="J20" s="164">
        <v>254</v>
      </c>
      <c r="K20" s="163" t="s">
        <v>36</v>
      </c>
      <c r="L20" s="200">
        <f t="shared" si="1"/>
        <v>0</v>
      </c>
      <c r="O20" s="206" t="e">
        <f>'Unit Data from Audit Worksheet'!E22</f>
        <v>#N/A</v>
      </c>
      <c r="P20" s="145"/>
    </row>
    <row r="21" spans="1:16" ht="51.75" customHeight="1" x14ac:dyDescent="0.3">
      <c r="A21" s="155">
        <f>'Unit Data from Audit Worksheet'!A24</f>
        <v>502</v>
      </c>
      <c r="B21" s="167" t="str">
        <f>'Unit Data from Audit Worksheet'!C24</f>
        <v>Net Position-Business Activities</v>
      </c>
      <c r="C21" s="154" t="str">
        <f>'Unit Data from Audit Worksheet'!D24</f>
        <v xml:space="preserve">All unrestricted Cash and investments. 
Exclude restricted cash and cash held by a third party. </v>
      </c>
      <c r="D21" s="67"/>
      <c r="E21" s="172">
        <f>'Unit Data from Audit Worksheet'!F24</f>
        <v>0</v>
      </c>
      <c r="F21" s="166">
        <f>IF(L21&lt;0,"Error: Number is normally positive.",)</f>
        <v>0</v>
      </c>
      <c r="G21" s="168"/>
      <c r="H21" s="165"/>
      <c r="I21" s="22"/>
      <c r="J21" s="164">
        <v>502</v>
      </c>
      <c r="K21" s="163" t="s">
        <v>86</v>
      </c>
      <c r="L21" s="200">
        <f t="shared" si="1"/>
        <v>0</v>
      </c>
      <c r="P21" s="145"/>
    </row>
    <row r="22" spans="1:16" ht="40.5" customHeight="1" x14ac:dyDescent="0.3">
      <c r="A22" s="155">
        <f>'Unit Data from Audit Worksheet'!A25</f>
        <v>503</v>
      </c>
      <c r="B22" s="167" t="str">
        <f>'Unit Data from Audit Worksheet'!C25</f>
        <v>Net Position-Business Activities</v>
      </c>
      <c r="C22" s="154" t="str">
        <f>'Unit Data from Audit Worksheet'!D25</f>
        <v>All restricted Cash and investments</v>
      </c>
      <c r="D22" s="67"/>
      <c r="E22" s="172">
        <f>'Unit Data from Audit Worksheet'!F25</f>
        <v>0</v>
      </c>
      <c r="F22" s="166">
        <f>IF(L22&lt;0,"Error: Number is normally positive.",)</f>
        <v>0</v>
      </c>
      <c r="G22" s="168"/>
      <c r="H22" s="165"/>
      <c r="I22" s="22"/>
      <c r="J22" s="164">
        <v>503</v>
      </c>
      <c r="K22" s="163" t="s">
        <v>87</v>
      </c>
      <c r="L22" s="200">
        <f t="shared" si="1"/>
        <v>0</v>
      </c>
      <c r="P22" s="145"/>
    </row>
    <row r="23" spans="1:16" ht="39" customHeight="1" x14ac:dyDescent="0.3">
      <c r="A23" s="155">
        <f>'Unit Data from Audit Worksheet'!A27</f>
        <v>388</v>
      </c>
      <c r="B23" s="167" t="str">
        <f>'Unit Data from Audit Worksheet'!C27</f>
        <v>Statement of Activities - Governmental</v>
      </c>
      <c r="C23" s="154" t="str">
        <f>'Unit Data from Audit Worksheet'!D27</f>
        <v>Total Expenses</v>
      </c>
      <c r="D23" s="67"/>
      <c r="E23" s="172">
        <f>'Unit Data from Audit Worksheet'!F27</f>
        <v>0</v>
      </c>
      <c r="F23" s="166">
        <f t="shared" ref="F23" si="2">IF(L23&lt;0,"Error: Number is normally positive.",)</f>
        <v>0</v>
      </c>
      <c r="G23" s="168"/>
      <c r="H23" s="165"/>
      <c r="I23" s="22"/>
      <c r="J23" s="164">
        <v>388</v>
      </c>
      <c r="K23" s="163" t="s">
        <v>89</v>
      </c>
      <c r="L23" s="200">
        <f t="shared" si="1"/>
        <v>0</v>
      </c>
      <c r="P23" s="145"/>
    </row>
    <row r="24" spans="1:16" ht="39" customHeight="1" x14ac:dyDescent="0.3">
      <c r="A24" s="155">
        <f>'Unit Data from Audit Worksheet'!A28</f>
        <v>339</v>
      </c>
      <c r="B24" s="167" t="str">
        <f>'Unit Data from Audit Worksheet'!C28</f>
        <v>Statement of Activities - Governmental</v>
      </c>
      <c r="C24" s="154" t="str">
        <f>'Unit Data from Audit Worksheet'!D28</f>
        <v xml:space="preserve">Charges for services </v>
      </c>
      <c r="D24" s="67"/>
      <c r="E24" s="172">
        <f>'Unit Data from Audit Worksheet'!F28</f>
        <v>0</v>
      </c>
      <c r="F24" s="166"/>
      <c r="G24" s="168"/>
      <c r="H24" s="165"/>
      <c r="I24" s="22"/>
      <c r="J24" s="164">
        <v>339</v>
      </c>
      <c r="K24" s="163" t="s">
        <v>90</v>
      </c>
      <c r="L24" s="200">
        <f t="shared" si="1"/>
        <v>0</v>
      </c>
      <c r="P24" s="145"/>
    </row>
    <row r="25" spans="1:16" ht="39" customHeight="1" x14ac:dyDescent="0.3">
      <c r="A25" s="155">
        <f>'Unit Data from Audit Worksheet'!A29</f>
        <v>504</v>
      </c>
      <c r="B25" s="167" t="str">
        <f>'Unit Data from Audit Worksheet'!C29</f>
        <v>Statement of Activities - Governmental</v>
      </c>
      <c r="C25" s="154" t="str">
        <f>'Unit Data from Audit Worksheet'!D29</f>
        <v>Operating grants and contributions</v>
      </c>
      <c r="D25" s="67"/>
      <c r="E25" s="172">
        <f>'Unit Data from Audit Worksheet'!F29</f>
        <v>0</v>
      </c>
      <c r="F25" s="166"/>
      <c r="G25" s="168"/>
      <c r="H25" s="165"/>
      <c r="I25" s="22"/>
      <c r="J25" s="164">
        <v>504</v>
      </c>
      <c r="K25" s="163" t="s">
        <v>91</v>
      </c>
      <c r="L25" s="200">
        <f t="shared" si="1"/>
        <v>0</v>
      </c>
      <c r="P25" s="145"/>
    </row>
    <row r="26" spans="1:16" ht="39" customHeight="1" x14ac:dyDescent="0.3">
      <c r="A26" s="155">
        <f>'Unit Data from Audit Worksheet'!A30</f>
        <v>505</v>
      </c>
      <c r="B26" s="167" t="str">
        <f>'Unit Data from Audit Worksheet'!C30</f>
        <v>Statement of Activities - Governmental</v>
      </c>
      <c r="C26" s="154" t="str">
        <f>'Unit Data from Audit Worksheet'!D30</f>
        <v>Capital grants and contributions</v>
      </c>
      <c r="D26" s="67"/>
      <c r="E26" s="172">
        <f>'Unit Data from Audit Worksheet'!F30</f>
        <v>0</v>
      </c>
      <c r="F26" s="166"/>
      <c r="G26" s="168"/>
      <c r="H26" s="165"/>
      <c r="I26" s="22"/>
      <c r="J26" s="164">
        <v>505</v>
      </c>
      <c r="K26" s="163" t="s">
        <v>92</v>
      </c>
      <c r="L26" s="200">
        <f t="shared" si="1"/>
        <v>0</v>
      </c>
      <c r="P26" s="145"/>
    </row>
    <row r="27" spans="1:16" ht="82.5" customHeight="1" x14ac:dyDescent="0.3">
      <c r="A27" s="155">
        <f>'Unit Data from Audit Worksheet'!A31</f>
        <v>341</v>
      </c>
      <c r="B27" s="167" t="str">
        <f>'Unit Data from Audit Worksheet'!C31</f>
        <v>Statement of Activities - Governmental</v>
      </c>
      <c r="C27" s="154" t="str">
        <f>'Unit Data from Audit Worksheet'!D31</f>
        <v>Total General revenues
Exclude: transfers-in or out,
                 special items,
                 extraordinary amounts</v>
      </c>
      <c r="D27" s="67"/>
      <c r="E27" s="172">
        <f>'Unit Data from Audit Worksheet'!F31</f>
        <v>0</v>
      </c>
      <c r="F27" s="166"/>
      <c r="G27" s="168"/>
      <c r="H27" s="165"/>
      <c r="I27" s="22"/>
      <c r="J27" s="164">
        <v>341</v>
      </c>
      <c r="K27" s="163" t="s">
        <v>93</v>
      </c>
      <c r="L27" s="200">
        <f t="shared" si="1"/>
        <v>0</v>
      </c>
      <c r="P27" s="145"/>
    </row>
    <row r="28" spans="1:16" ht="82.5" customHeight="1" x14ac:dyDescent="0.3">
      <c r="A28" s="155">
        <f>'Unit Data from Audit Worksheet'!A32</f>
        <v>386</v>
      </c>
      <c r="B28" s="167" t="str">
        <f>'Unit Data from Audit Worksheet'!C32</f>
        <v>Statement of Activities - Governmental</v>
      </c>
      <c r="C28" s="154" t="str">
        <f>'Unit Data from Audit Worksheet'!D32</f>
        <v>Total Transfers in    (Preference is that transfers-in  are not netted against transfers-out)</v>
      </c>
      <c r="D28" s="67"/>
      <c r="E28" s="172">
        <f>'Unit Data from Audit Worksheet'!F32</f>
        <v>0</v>
      </c>
      <c r="F28" s="166"/>
      <c r="G28" s="168"/>
      <c r="H28" s="165"/>
      <c r="I28" s="22"/>
      <c r="J28" s="164">
        <v>386</v>
      </c>
      <c r="K28" s="163" t="s">
        <v>94</v>
      </c>
      <c r="L28" s="200">
        <f t="shared" si="1"/>
        <v>0</v>
      </c>
      <c r="P28" s="145"/>
    </row>
    <row r="29" spans="1:16" ht="82.5" customHeight="1" x14ac:dyDescent="0.3">
      <c r="A29" s="155">
        <f>'Unit Data from Audit Worksheet'!A33</f>
        <v>387</v>
      </c>
      <c r="B29" s="167" t="str">
        <f>'Unit Data from Audit Worksheet'!C33</f>
        <v>Statement of Activities - Governmental</v>
      </c>
      <c r="C29" s="154" t="str">
        <f>'Unit Data from Audit Worksheet'!D33</f>
        <v>Total Transfers out    (Preference is that transfers-in  are not netted against transfers-out)</v>
      </c>
      <c r="D29" s="67"/>
      <c r="E29" s="172">
        <f>'Unit Data from Audit Worksheet'!F33</f>
        <v>0</v>
      </c>
      <c r="F29" s="166"/>
      <c r="G29" s="168"/>
      <c r="H29" s="165"/>
      <c r="I29" s="22"/>
      <c r="J29" s="164">
        <v>387</v>
      </c>
      <c r="K29" s="163" t="s">
        <v>95</v>
      </c>
      <c r="L29" s="200">
        <f t="shared" si="1"/>
        <v>0</v>
      </c>
      <c r="P29" s="145"/>
    </row>
    <row r="30" spans="1:16" ht="82.5" customHeight="1" x14ac:dyDescent="0.3">
      <c r="A30" s="155">
        <f>'Unit Data from Audit Worksheet'!A34</f>
        <v>389</v>
      </c>
      <c r="B30" s="167" t="str">
        <f>'Unit Data from Audit Worksheet'!C34</f>
        <v>Statement of Activities - Governmental</v>
      </c>
      <c r="C30" s="154" t="str">
        <f>'Unit Data from Audit Worksheet'!D34</f>
        <v>Total Special and Extraordinary items.    (Amounts that increase net position are recorded as positive and amounts that decrease net position are recorded as negative)</v>
      </c>
      <c r="D30" s="67"/>
      <c r="E30" s="172">
        <f>'Unit Data from Audit Worksheet'!F34</f>
        <v>0</v>
      </c>
      <c r="F30" s="166"/>
      <c r="G30" s="168"/>
      <c r="H30" s="165"/>
      <c r="I30" s="22"/>
      <c r="J30" s="164">
        <v>389</v>
      </c>
      <c r="K30" s="163" t="s">
        <v>96</v>
      </c>
      <c r="L30" s="200">
        <f t="shared" si="1"/>
        <v>0</v>
      </c>
      <c r="N30" s="207"/>
      <c r="P30" s="145"/>
    </row>
    <row r="31" spans="1:16" ht="79.5" customHeight="1" x14ac:dyDescent="0.3">
      <c r="A31" s="155">
        <f>'Unit Data from Audit Worksheet'!A35</f>
        <v>255</v>
      </c>
      <c r="B31" s="167" t="str">
        <f>'Unit Data from Audit Worksheet'!C35</f>
        <v>Statement of Activities - Governmental</v>
      </c>
      <c r="C31" s="154" t="str">
        <f>'Unit Data from Audit Worksheet'!D35</f>
        <v>Total Change in net position - (Increase in net position is recorded as a positive and a decrease in net position is recorded as a negative)</v>
      </c>
      <c r="D31" s="67"/>
      <c r="E31" s="172">
        <f>'Unit Data from Audit Worksheet'!F35</f>
        <v>0</v>
      </c>
      <c r="F31" s="166">
        <f>IF((L24+L25+L26+L27+L28-L29+L30-L23-L31)=0,,"Total revenues less total expenses do not equal total change in net position. Acct 339+504+505+341+386-387+389-388-255=0")</f>
        <v>0</v>
      </c>
      <c r="G31" s="56">
        <f>L24+L25+L26+L27+L28-L29+L30-L23-L31</f>
        <v>0</v>
      </c>
      <c r="H31" s="165"/>
      <c r="I31" s="22"/>
      <c r="J31" s="164">
        <v>255</v>
      </c>
      <c r="K31" s="163" t="s">
        <v>97</v>
      </c>
      <c r="L31" s="200">
        <f t="shared" si="1"/>
        <v>0</v>
      </c>
      <c r="O31" s="206" t="e">
        <f>'Unit Data from Audit Worksheet'!E35</f>
        <v>#N/A</v>
      </c>
      <c r="P31" s="145"/>
    </row>
    <row r="32" spans="1:16" ht="89.25" customHeight="1" x14ac:dyDescent="0.3">
      <c r="A32" s="155">
        <f>'Unit Data from Audit Worksheet'!A36</f>
        <v>376</v>
      </c>
      <c r="B32" s="167" t="str">
        <f>'Unit Data from Audit Worksheet'!C36</f>
        <v>Statement of Activities - Governmental</v>
      </c>
      <c r="C32" s="154" t="str">
        <f>'Unit Data from Audit Worksheet'!D36</f>
        <v>Any adjustment to beginning net position including rounding, prior period adjustments and restatements.   (Increases to net position are positive; decreases to net position are negative)</v>
      </c>
      <c r="D32" s="67"/>
      <c r="E32" s="172">
        <f>'Unit Data from Audit Worksheet'!F36</f>
        <v>0</v>
      </c>
      <c r="F32" s="55" t="e">
        <f>IF(L18+L19+L20-L31-L32=O18+O19+O20,,"Beginning Balance does not agree with our records acct (252+253+254-255-376=PY252+PY253+PY254)")</f>
        <v>#N/A</v>
      </c>
      <c r="G32" s="57" t="e">
        <f>L18+L19+L20-L31-L32-(O18+O19+O20)</f>
        <v>#N/A</v>
      </c>
      <c r="H32" s="165"/>
      <c r="I32" s="22"/>
      <c r="J32" s="164">
        <v>376</v>
      </c>
      <c r="K32" s="163" t="s">
        <v>39</v>
      </c>
      <c r="L32" s="200">
        <f t="shared" si="1"/>
        <v>0</v>
      </c>
      <c r="O32" s="206" t="e">
        <f>'Unit Data from Audit Worksheet'!E36</f>
        <v>#N/A</v>
      </c>
      <c r="P32" s="145"/>
    </row>
    <row r="33" spans="1:28" ht="90" customHeight="1" x14ac:dyDescent="0.3">
      <c r="A33" s="155">
        <f>'Unit Data from Audit Worksheet'!A38</f>
        <v>592</v>
      </c>
      <c r="B33" s="167" t="str">
        <f>'Unit Data from Audit Worksheet'!C38</f>
        <v>Statement of Activities - Business Activities</v>
      </c>
      <c r="C33" s="154" t="str">
        <f>'Unit Data from Audit Worksheet'!D38</f>
        <v>Total Change in net position Business Type 
(Increase in net position is recorded as a positive and a decrease in net position is recorded as a negative)</v>
      </c>
      <c r="D33" s="67"/>
      <c r="E33" s="172">
        <f>'Unit Data from Audit Worksheet'!F38</f>
        <v>0</v>
      </c>
      <c r="F33" s="166"/>
      <c r="G33" s="168"/>
      <c r="H33" s="165"/>
      <c r="I33" s="22"/>
      <c r="J33" s="164">
        <v>592</v>
      </c>
      <c r="K33" s="163" t="s">
        <v>216</v>
      </c>
      <c r="L33" s="200">
        <f t="shared" si="1"/>
        <v>0</v>
      </c>
      <c r="O33" s="206"/>
      <c r="P33" s="145"/>
    </row>
    <row r="34" spans="1:28" ht="66" customHeight="1" x14ac:dyDescent="0.3">
      <c r="A34" s="155">
        <f>'Unit Data from Audit Worksheet'!A39</f>
        <v>591</v>
      </c>
      <c r="B34" s="167" t="str">
        <f>'Unit Data from Audit Worksheet'!C39</f>
        <v>Statement of Activities - Business Activities</v>
      </c>
      <c r="C34" s="154" t="str">
        <f>'Unit Data from Audit Worksheet'!D39</f>
        <v>Total Expenses - Exclude Transfers</v>
      </c>
      <c r="D34" s="67"/>
      <c r="E34" s="172">
        <f>'Unit Data from Audit Worksheet'!F39</f>
        <v>0</v>
      </c>
      <c r="F34" s="166">
        <f>IF(L34&lt;0,"Error: Enter as a positive.",)</f>
        <v>0</v>
      </c>
      <c r="G34" s="168"/>
      <c r="H34" s="165"/>
      <c r="I34" s="22"/>
      <c r="J34" s="164">
        <v>591</v>
      </c>
      <c r="K34" s="163" t="s">
        <v>215</v>
      </c>
      <c r="L34" s="200">
        <f>IF(D34="",E34,D34)</f>
        <v>0</v>
      </c>
      <c r="O34" s="206"/>
      <c r="P34" s="145"/>
    </row>
    <row r="35" spans="1:28" s="276" customFormat="1" ht="66" customHeight="1" x14ac:dyDescent="0.3">
      <c r="A35" s="213">
        <f>'Unit Data from Audit Worksheet'!A45</f>
        <v>1072</v>
      </c>
      <c r="B35" s="170" t="str">
        <f>'Unit Data from Audit Worksheet'!C45</f>
        <v>Revenue, Expenses &amp; Changes in Fund Net Position</v>
      </c>
      <c r="C35" s="214" t="str">
        <f>'Unit Data from Audit Worksheet'!D45</f>
        <v>All Proprietary Funds -total of all expenses excluding transfers out</v>
      </c>
      <c r="D35" s="67"/>
      <c r="E35" s="173">
        <f>'Unit Data from Audit Worksheet'!F45</f>
        <v>0</v>
      </c>
      <c r="F35" s="166"/>
      <c r="G35" s="168"/>
      <c r="H35" s="165"/>
      <c r="I35" s="22"/>
      <c r="J35" s="656">
        <v>1072</v>
      </c>
      <c r="K35" s="657" t="s">
        <v>817</v>
      </c>
      <c r="L35" s="200">
        <f t="shared" ref="L35:L37" si="3">IF(D35="",E35,D35)</f>
        <v>0</v>
      </c>
      <c r="M35" s="129"/>
      <c r="O35" s="206"/>
      <c r="P35" s="146"/>
      <c r="Q35" s="129"/>
      <c r="R35" s="129"/>
      <c r="S35" s="129"/>
      <c r="T35" s="129"/>
      <c r="U35" s="129"/>
      <c r="V35" s="129"/>
      <c r="W35" s="129"/>
      <c r="X35" s="129"/>
      <c r="Y35" s="129"/>
      <c r="Z35" s="129"/>
      <c r="AA35" s="129"/>
      <c r="AB35" s="129"/>
    </row>
    <row r="36" spans="1:28" s="276" customFormat="1" ht="66" customHeight="1" x14ac:dyDescent="0.3">
      <c r="A36" s="213">
        <f>'Unit Data from Audit Worksheet'!A46</f>
        <v>1073</v>
      </c>
      <c r="B36" s="170" t="str">
        <f>'Unit Data from Audit Worksheet'!C46</f>
        <v>Revenue, Expenses &amp; Changes in Fund Net Position</v>
      </c>
      <c r="C36" s="214" t="str">
        <f>'Unit Data from Audit Worksheet'!D46</f>
        <v>All Proprietary Funds -Depreciation and amortization expense</v>
      </c>
      <c r="D36" s="67"/>
      <c r="E36" s="173">
        <f>'Unit Data from Audit Worksheet'!F46</f>
        <v>0</v>
      </c>
      <c r="F36" s="166"/>
      <c r="G36" s="168"/>
      <c r="H36" s="165"/>
      <c r="I36" s="22"/>
      <c r="J36" s="656">
        <v>1073</v>
      </c>
      <c r="K36" s="657" t="s">
        <v>818</v>
      </c>
      <c r="L36" s="200">
        <f t="shared" si="3"/>
        <v>0</v>
      </c>
      <c r="M36" s="129"/>
      <c r="O36" s="206"/>
      <c r="P36" s="146"/>
      <c r="Q36" s="129"/>
      <c r="R36" s="129"/>
      <c r="S36" s="129"/>
      <c r="T36" s="129"/>
      <c r="U36" s="129"/>
      <c r="V36" s="129"/>
      <c r="W36" s="129"/>
      <c r="X36" s="129"/>
      <c r="Y36" s="129"/>
      <c r="Z36" s="129"/>
      <c r="AA36" s="129"/>
      <c r="AB36" s="129"/>
    </row>
    <row r="37" spans="1:28" s="276" customFormat="1" ht="66" customHeight="1" x14ac:dyDescent="0.3">
      <c r="A37" s="213">
        <f>'Unit Data from Audit Worksheet'!A47</f>
        <v>1074</v>
      </c>
      <c r="B37" s="170" t="str">
        <f>'Unit Data from Audit Worksheet'!C47</f>
        <v>Cash Flow Statement</v>
      </c>
      <c r="C37" s="214" t="str">
        <f>'Unit Data from Audit Worksheet'!D47</f>
        <v>All Proprietary Funds -Principal paid on long-term debt.  Amount should be reduced by principal payments for debt refunding.</v>
      </c>
      <c r="D37" s="67"/>
      <c r="E37" s="173">
        <f>'Unit Data from Audit Worksheet'!F47</f>
        <v>0</v>
      </c>
      <c r="F37" s="166"/>
      <c r="G37" s="168"/>
      <c r="H37" s="165"/>
      <c r="I37" s="22"/>
      <c r="J37" s="656">
        <v>1074</v>
      </c>
      <c r="K37" s="657" t="s">
        <v>819</v>
      </c>
      <c r="L37" s="200">
        <f t="shared" si="3"/>
        <v>0</v>
      </c>
      <c r="M37" s="129"/>
      <c r="O37" s="206"/>
      <c r="P37" s="146"/>
      <c r="Q37" s="129"/>
      <c r="R37" s="129"/>
      <c r="S37" s="129"/>
      <c r="T37" s="129"/>
      <c r="U37" s="129"/>
      <c r="V37" s="129"/>
      <c r="W37" s="129"/>
      <c r="X37" s="129"/>
      <c r="Y37" s="129"/>
      <c r="Z37" s="129"/>
      <c r="AA37" s="129"/>
      <c r="AB37" s="129"/>
    </row>
    <row r="38" spans="1:28" ht="59.4" customHeight="1" x14ac:dyDescent="0.3">
      <c r="A38" s="155">
        <f>'Unit Data from Audit Worksheet'!A49</f>
        <v>506</v>
      </c>
      <c r="B38" s="33" t="str">
        <f>'Unit Data from Audit Worksheet'!C49</f>
        <v>General Fund-Balance Sheet</v>
      </c>
      <c r="C38" s="208" t="str">
        <f>'Unit Data from Audit Worksheet'!D49</f>
        <v xml:space="preserve">All unrestricted cash and investments.  
Exclude restricted cash and cash held by a third party. </v>
      </c>
      <c r="D38" s="67"/>
      <c r="E38" s="92">
        <f>'Unit Data from Audit Worksheet'!F49</f>
        <v>0</v>
      </c>
      <c r="F38" s="21">
        <f>IF(L38&lt;0,"Error: Number is normally positive.",)</f>
        <v>0</v>
      </c>
      <c r="G38" s="45"/>
      <c r="H38" s="165"/>
      <c r="I38" s="22"/>
      <c r="J38" s="23">
        <v>506</v>
      </c>
      <c r="K38" s="163" t="s">
        <v>98</v>
      </c>
      <c r="L38" s="209">
        <f t="shared" ref="L38:L49" si="4">IF(D38="",E38,D38)</f>
        <v>0</v>
      </c>
      <c r="P38" s="146"/>
    </row>
    <row r="39" spans="1:28" ht="45.75" customHeight="1" x14ac:dyDescent="0.3">
      <c r="A39" s="155">
        <f>'Unit Data from Audit Worksheet'!A50</f>
        <v>536</v>
      </c>
      <c r="B39" s="33" t="str">
        <f>'Unit Data from Audit Worksheet'!C50</f>
        <v>General Fund-Balance Sheet</v>
      </c>
      <c r="C39" s="208" t="str">
        <f>'Unit Data from Audit Worksheet'!D50</f>
        <v>All restricted cash and investments</v>
      </c>
      <c r="D39" s="67"/>
      <c r="E39" s="92">
        <f>'Unit Data from Audit Worksheet'!F50</f>
        <v>0</v>
      </c>
      <c r="F39" s="21">
        <f>IF(L39&lt;0,"Error: Number is normally positive.",)</f>
        <v>0</v>
      </c>
      <c r="G39" s="45"/>
      <c r="H39" s="165"/>
      <c r="I39" s="22"/>
      <c r="J39" s="23">
        <v>536</v>
      </c>
      <c r="K39" s="163" t="s">
        <v>99</v>
      </c>
      <c r="L39" s="209">
        <f t="shared" si="4"/>
        <v>0</v>
      </c>
      <c r="P39" s="147"/>
    </row>
    <row r="40" spans="1:28" ht="56.25" customHeight="1" x14ac:dyDescent="0.3">
      <c r="A40" s="155">
        <f>'Unit Data from Audit Worksheet'!A51</f>
        <v>586</v>
      </c>
      <c r="B40" s="167" t="str">
        <f>'Unit Data from Audit Worksheet'!C51</f>
        <v>General Fund-Balance Sheet</v>
      </c>
      <c r="C40" s="154" t="str">
        <f>'Unit Data from Audit Worksheet'!D51</f>
        <v>Advance To: Interfund loan receivable-portion of repayment plan longer than 12 months</v>
      </c>
      <c r="D40" s="86"/>
      <c r="E40" s="172">
        <f>'Unit Data from Audit Worksheet'!F51</f>
        <v>0</v>
      </c>
      <c r="F40" s="166"/>
      <c r="G40" s="168"/>
      <c r="H40" s="165"/>
      <c r="I40" s="22"/>
      <c r="J40" s="164">
        <v>586</v>
      </c>
      <c r="K40" s="154" t="s">
        <v>205</v>
      </c>
      <c r="L40" s="200">
        <f t="shared" si="4"/>
        <v>0</v>
      </c>
      <c r="P40" s="147"/>
    </row>
    <row r="41" spans="1:28" ht="41.4" customHeight="1" x14ac:dyDescent="0.3">
      <c r="A41" s="155">
        <f>'Unit Data from Audit Worksheet'!A52</f>
        <v>379</v>
      </c>
      <c r="B41" s="167" t="str">
        <f>'Unit Data from Audit Worksheet'!C52</f>
        <v>General Fund-Balance Sheet</v>
      </c>
      <c r="C41" s="154" t="str">
        <f>'Unit Data from Audit Worksheet'!D52</f>
        <v>Total Assets and deferred outflows</v>
      </c>
      <c r="D41" s="86"/>
      <c r="E41" s="172">
        <f>'Unit Data from Audit Worksheet'!F52</f>
        <v>0</v>
      </c>
      <c r="F41" s="54">
        <f>IF((L38+L39)&gt;L41,"Error: Please review accts (506+536)&gt;379",)</f>
        <v>0</v>
      </c>
      <c r="G41" s="168"/>
      <c r="H41" s="165"/>
      <c r="I41" s="22"/>
      <c r="J41" s="164">
        <v>379</v>
      </c>
      <c r="K41" s="163" t="s">
        <v>48</v>
      </c>
      <c r="L41" s="200">
        <f t="shared" si="4"/>
        <v>0</v>
      </c>
      <c r="P41" s="144"/>
    </row>
    <row r="42" spans="1:28" ht="90.75" customHeight="1" x14ac:dyDescent="0.3">
      <c r="A42" s="155">
        <f>'Unit Data from Audit Worksheet'!A53</f>
        <v>4</v>
      </c>
      <c r="B42" s="33" t="str">
        <f>'Unit Data from Audit Worksheet'!C53</f>
        <v>General Fund-Balance Sheet</v>
      </c>
      <c r="C42" s="208" t="str">
        <f>'Unit Data from Audit Worksheet'!D53</f>
        <v>Current Liabilities (as reported on the Balance Sheet)
Exclude all deferred inflows. 
Include advance from(long-term portion of interfund loans)</v>
      </c>
      <c r="D42" s="86"/>
      <c r="E42" s="92">
        <f>'Unit Data from Audit Worksheet'!F53</f>
        <v>0</v>
      </c>
      <c r="F42" s="21">
        <f t="shared" ref="F42:F46" si="5">IF(L42&lt;0,"Error: Enter as a positive.",)</f>
        <v>0</v>
      </c>
      <c r="G42" s="45"/>
      <c r="H42" s="165"/>
      <c r="I42" s="22"/>
      <c r="J42" s="23">
        <v>4</v>
      </c>
      <c r="K42" s="163" t="s">
        <v>49</v>
      </c>
      <c r="L42" s="209">
        <f t="shared" si="4"/>
        <v>0</v>
      </c>
      <c r="P42" s="145"/>
    </row>
    <row r="43" spans="1:28" ht="131.25" customHeight="1" x14ac:dyDescent="0.3">
      <c r="A43" s="155">
        <f>'Unit Data from Audit Worksheet'!A54</f>
        <v>5</v>
      </c>
      <c r="B43" s="33" t="str">
        <f>'Unit Data from Audit Worksheet'!C54</f>
        <v>General Fund-Balance Sheet</v>
      </c>
      <c r="C43" s="208" t="str">
        <f>'Unit Data from Audit Worksheet'!D54</f>
        <v>General fund deferred inflows derived from cash receipts. 
 Prepaid taxes is a common item listed.  Deferred inflows on the face of the statements can include cash and non-cash.  You may have to refer to the note disclosure where the cash and non-cash is broken out.</v>
      </c>
      <c r="D43" s="86"/>
      <c r="E43" s="92">
        <f>'Unit Data from Audit Worksheet'!F54</f>
        <v>0</v>
      </c>
      <c r="F43" s="21">
        <f t="shared" si="5"/>
        <v>0</v>
      </c>
      <c r="G43" s="45"/>
      <c r="H43" s="165"/>
      <c r="I43" s="22"/>
      <c r="J43" s="23">
        <v>5</v>
      </c>
      <c r="K43" s="163" t="s">
        <v>50</v>
      </c>
      <c r="L43" s="209">
        <f t="shared" si="4"/>
        <v>0</v>
      </c>
      <c r="P43" s="145"/>
    </row>
    <row r="44" spans="1:28" ht="104.25" customHeight="1" x14ac:dyDescent="0.3">
      <c r="A44" s="155">
        <f>'Unit Data from Audit Worksheet'!A55</f>
        <v>380</v>
      </c>
      <c r="B44" s="167" t="str">
        <f>'Unit Data from Audit Worksheet'!C55</f>
        <v>General Fund-Balance Sheet</v>
      </c>
      <c r="C44" s="154" t="str">
        <f>'Unit Data from Audit Worksheet'!D55</f>
        <v>Total Deferred inflows not derived from cash receipts.  Deferred inflows on the face of the statements can include cash and non-cash.  You may have to refer to the note disclosure where the cash and non-cash is broken out.</v>
      </c>
      <c r="D44" s="86"/>
      <c r="E44" s="172">
        <f>'Unit Data from Audit Worksheet'!F55</f>
        <v>0</v>
      </c>
      <c r="F44" s="166">
        <f t="shared" si="5"/>
        <v>0</v>
      </c>
      <c r="G44" s="168"/>
      <c r="H44" s="165"/>
      <c r="I44" s="22"/>
      <c r="J44" s="164">
        <v>380</v>
      </c>
      <c r="K44" s="163" t="s">
        <v>51</v>
      </c>
      <c r="L44" s="200">
        <f t="shared" si="4"/>
        <v>0</v>
      </c>
      <c r="P44" s="145"/>
    </row>
    <row r="45" spans="1:28" ht="41.25" customHeight="1" x14ac:dyDescent="0.3">
      <c r="A45" s="155">
        <f>'Unit Data from Audit Worksheet'!A56</f>
        <v>391</v>
      </c>
      <c r="B45" s="167" t="str">
        <f>'Unit Data from Audit Worksheet'!C56</f>
        <v>General Fund-Balance Sheet</v>
      </c>
      <c r="C45" s="154" t="str">
        <f>'Unit Data from Audit Worksheet'!D56</f>
        <v xml:space="preserve">Fund balance, Restricted for Stabilization by State Statute </v>
      </c>
      <c r="D45" s="86"/>
      <c r="E45" s="172">
        <f>'Unit Data from Audit Worksheet'!F56</f>
        <v>0</v>
      </c>
      <c r="F45" s="166">
        <f t="shared" si="5"/>
        <v>0</v>
      </c>
      <c r="G45" s="168"/>
      <c r="H45" s="165"/>
      <c r="I45" s="22"/>
      <c r="J45" s="164">
        <v>391</v>
      </c>
      <c r="K45" s="163" t="s">
        <v>101</v>
      </c>
      <c r="L45" s="200">
        <f t="shared" si="4"/>
        <v>0</v>
      </c>
      <c r="P45" s="145"/>
    </row>
    <row r="46" spans="1:28" ht="43.2" customHeight="1" x14ac:dyDescent="0.3">
      <c r="A46" s="155">
        <f>'Unit Data from Audit Worksheet'!A57</f>
        <v>7</v>
      </c>
      <c r="B46" s="33" t="str">
        <f>'Unit Data from Audit Worksheet'!C57</f>
        <v>General Fund-Balance Sheet</v>
      </c>
      <c r="C46" s="208" t="str">
        <f>'Unit Data from Audit Worksheet'!D57</f>
        <v>Fund balance, Nonspendable-  inventory/prepaids/etc.</v>
      </c>
      <c r="D46" s="86"/>
      <c r="E46" s="92">
        <f>'Unit Data from Audit Worksheet'!F57</f>
        <v>0</v>
      </c>
      <c r="F46" s="21">
        <f t="shared" si="5"/>
        <v>0</v>
      </c>
      <c r="G46" s="45"/>
      <c r="H46" s="165"/>
      <c r="I46" s="22"/>
      <c r="J46" s="23">
        <v>7</v>
      </c>
      <c r="K46" s="163" t="s">
        <v>102</v>
      </c>
      <c r="L46" s="209">
        <f t="shared" si="4"/>
        <v>0</v>
      </c>
      <c r="P46" s="145"/>
    </row>
    <row r="47" spans="1:28" s="16" customFormat="1" ht="48.75" customHeight="1" x14ac:dyDescent="0.3">
      <c r="A47" s="139">
        <f>'Unit Data from Audit Worksheet'!A58</f>
        <v>645</v>
      </c>
      <c r="B47" s="176" t="str">
        <f>'Unit Data from Audit Worksheet'!C58</f>
        <v>General Fund-Balance Sheet</v>
      </c>
      <c r="C47" s="139" t="str">
        <f>'Unit Data from Audit Worksheet'!D58</f>
        <v>Fund balance, Assigned (total of all assigned components)</v>
      </c>
      <c r="D47" s="72"/>
      <c r="E47" s="175">
        <f>'Unit Data from Audit Worksheet'!F58</f>
        <v>0</v>
      </c>
      <c r="F47" s="161">
        <f>IF(L47&lt;0,"Error: Enter as a positive.",)</f>
        <v>0</v>
      </c>
      <c r="G47" s="151"/>
      <c r="H47" s="161"/>
      <c r="I47" s="210"/>
      <c r="J47" s="160">
        <v>645</v>
      </c>
      <c r="K47" s="139" t="s">
        <v>247</v>
      </c>
      <c r="L47" s="211">
        <f t="shared" si="4"/>
        <v>0</v>
      </c>
      <c r="M47"/>
      <c r="N47" s="203"/>
      <c r="O47" s="203"/>
      <c r="P47" s="145"/>
      <c r="Q47"/>
      <c r="R47"/>
      <c r="S47"/>
      <c r="T47"/>
      <c r="U47"/>
      <c r="V47"/>
      <c r="W47"/>
      <c r="X47"/>
      <c r="Y47"/>
      <c r="Z47"/>
      <c r="AA47"/>
      <c r="AB47"/>
    </row>
    <row r="48" spans="1:28" s="16" customFormat="1" ht="45.75" customHeight="1" x14ac:dyDescent="0.3">
      <c r="A48" s="139">
        <f>'Unit Data from Audit Worksheet'!A59</f>
        <v>646</v>
      </c>
      <c r="B48" s="176" t="str">
        <f>'Unit Data from Audit Worksheet'!C59</f>
        <v>General Fund-Balance Sheet</v>
      </c>
      <c r="C48" s="139" t="str">
        <f>'Unit Data from Audit Worksheet'!D59</f>
        <v>Fund Balance, Unassigned</v>
      </c>
      <c r="D48" s="72"/>
      <c r="E48" s="175">
        <f>'Unit Data from Audit Worksheet'!F59</f>
        <v>0</v>
      </c>
      <c r="F48" s="161">
        <f>IF(L48&lt;0,"Error: Enter as a positive.",)</f>
        <v>0</v>
      </c>
      <c r="G48" s="151"/>
      <c r="H48" s="161"/>
      <c r="I48" s="210"/>
      <c r="J48" s="160">
        <v>646</v>
      </c>
      <c r="K48" s="139" t="s">
        <v>248</v>
      </c>
      <c r="L48" s="211">
        <f t="shared" si="4"/>
        <v>0</v>
      </c>
      <c r="M48"/>
      <c r="N48" s="203"/>
      <c r="O48" s="203"/>
      <c r="P48" s="145"/>
      <c r="Q48"/>
      <c r="R48"/>
      <c r="S48"/>
      <c r="T48"/>
      <c r="U48"/>
      <c r="V48"/>
      <c r="W48"/>
      <c r="X48"/>
      <c r="Y48"/>
      <c r="Z48"/>
      <c r="AA48"/>
      <c r="AB48"/>
    </row>
    <row r="49" spans="1:28" ht="55.5" customHeight="1" x14ac:dyDescent="0.3">
      <c r="A49" s="198">
        <f>'Unit Data from Audit Worksheet'!A60</f>
        <v>9</v>
      </c>
      <c r="B49" s="73" t="str">
        <f>'Unit Data from Audit Worksheet'!C60</f>
        <v>General Fund-Balance Sheet</v>
      </c>
      <c r="C49" s="212" t="str">
        <f>'Unit Data from Audit Worksheet'!D60</f>
        <v>Total Fund balance (enter fund deficits as negative)</v>
      </c>
      <c r="D49" s="86"/>
      <c r="E49" s="91">
        <f>'Unit Data from Audit Worksheet'!F60</f>
        <v>0</v>
      </c>
      <c r="F49" s="74">
        <f>IF(L41-L42-L43-L44-L49=0,,"Error: Total assets less total liabilities do not equal Acct +379-4-5-380-9=0")</f>
        <v>0</v>
      </c>
      <c r="G49" s="75">
        <f>L41-L42-L43-L44-L49</f>
        <v>0</v>
      </c>
      <c r="H49" s="165"/>
      <c r="I49" s="22"/>
      <c r="J49" s="76">
        <v>9</v>
      </c>
      <c r="K49" s="31" t="s">
        <v>104</v>
      </c>
      <c r="L49" s="209">
        <f t="shared" si="4"/>
        <v>0</v>
      </c>
      <c r="O49" s="206" t="e">
        <f>'Unit Data from Audit Worksheet'!E60</f>
        <v>#N/A</v>
      </c>
      <c r="P49" s="145"/>
    </row>
    <row r="50" spans="1:28" s="16" customFormat="1" ht="73.5" customHeight="1" x14ac:dyDescent="0.3">
      <c r="A50" s="155">
        <f>'Unit Data from Audit Worksheet'!A61</f>
        <v>1052</v>
      </c>
      <c r="B50" s="167" t="str">
        <f>'Unit Data from Audit Worksheet'!C61</f>
        <v>General Fund-Rev, Exp. Change in Fund Balance</v>
      </c>
      <c r="C50" s="154" t="str">
        <f>'Unit Data from Audit Worksheet'!D61</f>
        <v>Mark to Market unrealized losses in the General Fund. (enter as a negative number)</v>
      </c>
      <c r="D50" s="86"/>
      <c r="E50" s="172">
        <f>'Unit Data from Audit Worksheet'!F61</f>
        <v>0</v>
      </c>
      <c r="F50" s="166"/>
      <c r="G50" s="168"/>
      <c r="H50" s="165"/>
      <c r="I50" s="22"/>
      <c r="J50" s="164">
        <v>1052</v>
      </c>
      <c r="K50" s="163" t="s">
        <v>633</v>
      </c>
      <c r="L50" s="205">
        <f t="shared" ref="L50:L84" si="6">IF(D50="",E50,D50)</f>
        <v>0</v>
      </c>
      <c r="M50"/>
      <c r="P50" s="145"/>
      <c r="Q50"/>
      <c r="R50"/>
      <c r="S50"/>
      <c r="T50"/>
      <c r="U50"/>
      <c r="V50"/>
      <c r="W50"/>
      <c r="X50"/>
      <c r="Y50"/>
      <c r="Z50"/>
      <c r="AA50"/>
      <c r="AB50"/>
    </row>
    <row r="51" spans="1:28" s="16" customFormat="1" ht="63.6" customHeight="1" x14ac:dyDescent="0.3">
      <c r="A51" s="155">
        <f>'Unit Data from Audit Worksheet'!A63</f>
        <v>16</v>
      </c>
      <c r="B51" s="155" t="str">
        <f>'Unit Data from Audit Worksheet'!C63</f>
        <v>General Fund-Rev, Exp. Change in Fund Balance</v>
      </c>
      <c r="C51" s="155" t="str">
        <f>'Unit Data from Audit Worksheet'!D63</f>
        <v>Total revenues</v>
      </c>
      <c r="D51" s="86"/>
      <c r="E51" s="172">
        <f>'Unit Data from Audit Worksheet'!F63</f>
        <v>0</v>
      </c>
      <c r="F51" s="166"/>
      <c r="G51" s="168"/>
      <c r="H51" s="165"/>
      <c r="I51" s="22"/>
      <c r="J51" s="157">
        <v>16</v>
      </c>
      <c r="K51" s="155" t="s">
        <v>106</v>
      </c>
      <c r="L51" s="205">
        <f t="shared" si="6"/>
        <v>0</v>
      </c>
      <c r="M51"/>
      <c r="P51" s="145"/>
      <c r="Q51"/>
      <c r="R51"/>
      <c r="S51"/>
      <c r="T51"/>
      <c r="U51"/>
      <c r="V51"/>
      <c r="W51"/>
      <c r="X51"/>
      <c r="Y51"/>
      <c r="Z51"/>
      <c r="AA51"/>
      <c r="AB51"/>
    </row>
    <row r="52" spans="1:28" s="16" customFormat="1" ht="58.2" customHeight="1" x14ac:dyDescent="0.3">
      <c r="A52" s="155">
        <f>'Unit Data from Audit Worksheet'!A64</f>
        <v>532</v>
      </c>
      <c r="B52" s="155" t="str">
        <f>'Unit Data from Audit Worksheet'!C64</f>
        <v>General Fund-Rev, Exp. Change in Fund Balance</v>
      </c>
      <c r="C52" s="155" t="str">
        <f>'Unit Data from Audit Worksheet'!D64</f>
        <v xml:space="preserve">Total expenditures  
Exclude expenditures in the "other financing sources (uses)" section.
</v>
      </c>
      <c r="D52" s="86"/>
      <c r="E52" s="172">
        <f>'Unit Data from Audit Worksheet'!F64</f>
        <v>0</v>
      </c>
      <c r="F52" s="166"/>
      <c r="G52" s="168"/>
      <c r="H52" s="165"/>
      <c r="I52" s="22"/>
      <c r="J52" s="157">
        <v>532</v>
      </c>
      <c r="K52" s="155" t="s">
        <v>636</v>
      </c>
      <c r="L52" s="205">
        <f t="shared" si="6"/>
        <v>0</v>
      </c>
      <c r="M52"/>
      <c r="P52" s="145"/>
      <c r="Q52"/>
      <c r="R52"/>
      <c r="S52"/>
      <c r="T52"/>
      <c r="U52"/>
      <c r="V52"/>
      <c r="W52"/>
      <c r="X52"/>
      <c r="Y52"/>
      <c r="Z52"/>
      <c r="AA52"/>
      <c r="AB52"/>
    </row>
    <row r="53" spans="1:28" s="16" customFormat="1" ht="64.2" customHeight="1" x14ac:dyDescent="0.3">
      <c r="A53" s="155">
        <f>'Unit Data from Audit Worksheet'!A65</f>
        <v>17</v>
      </c>
      <c r="B53" s="155" t="str">
        <f>'Unit Data from Audit Worksheet'!C65</f>
        <v>General Fund-Rev, Exp. Change in Fund Balance</v>
      </c>
      <c r="C53" s="155" t="str">
        <f>'Unit Data from Audit Worksheet'!D65</f>
        <v>Total Transfers in    (Preference is that transfers-in  are not netted against transfers-out)</v>
      </c>
      <c r="D53" s="86"/>
      <c r="E53" s="172">
        <f>'Unit Data from Audit Worksheet'!F65</f>
        <v>0</v>
      </c>
      <c r="F53" s="166"/>
      <c r="G53" s="168"/>
      <c r="H53" s="165"/>
      <c r="I53" s="22"/>
      <c r="J53" s="157">
        <v>17</v>
      </c>
      <c r="K53" s="155" t="s">
        <v>108</v>
      </c>
      <c r="L53" s="205">
        <f t="shared" si="6"/>
        <v>0</v>
      </c>
      <c r="M53"/>
      <c r="P53" s="145"/>
      <c r="Q53"/>
      <c r="R53"/>
      <c r="S53"/>
      <c r="T53"/>
      <c r="U53"/>
      <c r="V53"/>
      <c r="W53"/>
      <c r="X53"/>
      <c r="Y53"/>
      <c r="Z53"/>
      <c r="AA53"/>
      <c r="AB53"/>
    </row>
    <row r="54" spans="1:28" s="16" customFormat="1" ht="58.8" customHeight="1" x14ac:dyDescent="0.3">
      <c r="A54" s="155">
        <f>'Unit Data from Audit Worksheet'!A66</f>
        <v>20</v>
      </c>
      <c r="B54" s="155" t="str">
        <f>'Unit Data from Audit Worksheet'!C66</f>
        <v>General Fund-Rev, Exp. Change in Fund Balance</v>
      </c>
      <c r="C54" s="155" t="str">
        <f>'Unit Data from Audit Worksheet'!D66</f>
        <v>Total Transfers out    (Preference is that transfers-in  are not netted against transfers-out)</v>
      </c>
      <c r="D54" s="86"/>
      <c r="E54" s="172">
        <f>'Unit Data from Audit Worksheet'!F66</f>
        <v>0</v>
      </c>
      <c r="F54" s="166"/>
      <c r="G54" s="168"/>
      <c r="H54" s="165"/>
      <c r="I54" s="22"/>
      <c r="J54" s="157">
        <v>20</v>
      </c>
      <c r="K54" s="155" t="s">
        <v>109</v>
      </c>
      <c r="L54" s="205">
        <f t="shared" si="6"/>
        <v>0</v>
      </c>
      <c r="M54"/>
      <c r="P54" s="145"/>
      <c r="Q54"/>
      <c r="R54"/>
      <c r="S54"/>
      <c r="T54"/>
      <c r="U54"/>
      <c r="V54"/>
      <c r="W54"/>
      <c r="X54"/>
      <c r="Y54"/>
      <c r="Z54"/>
      <c r="AA54"/>
      <c r="AB54"/>
    </row>
    <row r="55" spans="1:28" s="16" customFormat="1" ht="69.599999999999994" customHeight="1" x14ac:dyDescent="0.3">
      <c r="A55" s="155">
        <f>'Unit Data from Audit Worksheet'!A67</f>
        <v>533</v>
      </c>
      <c r="B55" s="155" t="str">
        <f>'Unit Data from Audit Worksheet'!C67</f>
        <v>General Fund-Rev, Exp. Change in Fund Balance</v>
      </c>
      <c r="C55" s="155" t="str">
        <f>'Unit Data from Audit Worksheet'!D67</f>
        <v>Total Proceeds from all long-term debt issuances 
Exclude proceeds from refundings</v>
      </c>
      <c r="D55" s="86"/>
      <c r="E55" s="172">
        <f>'Unit Data from Audit Worksheet'!F67</f>
        <v>0</v>
      </c>
      <c r="F55" s="166"/>
      <c r="G55" s="168"/>
      <c r="H55" s="165"/>
      <c r="I55" s="22"/>
      <c r="J55" s="157">
        <v>533</v>
      </c>
      <c r="K55" s="155" t="s">
        <v>637</v>
      </c>
      <c r="L55" s="205">
        <f t="shared" si="6"/>
        <v>0</v>
      </c>
      <c r="M55"/>
      <c r="P55" s="145"/>
      <c r="Q55"/>
      <c r="R55"/>
      <c r="S55"/>
      <c r="T55"/>
      <c r="U55"/>
      <c r="V55"/>
      <c r="W55"/>
      <c r="X55"/>
      <c r="Y55"/>
      <c r="Z55"/>
      <c r="AA55"/>
      <c r="AB55"/>
    </row>
    <row r="56" spans="1:28" s="16" customFormat="1" ht="78.599999999999994" customHeight="1" x14ac:dyDescent="0.3">
      <c r="A56" s="155">
        <f>'Unit Data from Audit Worksheet'!A68</f>
        <v>22</v>
      </c>
      <c r="B56" s="155" t="str">
        <f>'Unit Data from Audit Worksheet'!C68</f>
        <v>General Fund-Rev, Exp. Change in Fund Balance</v>
      </c>
      <c r="C56" s="155" t="str">
        <f>'Unit Data from Audit Worksheet'!D68</f>
        <v xml:space="preserve">All other items on this statement that were not included in total revenues, total expenditures, transfers in or out, or proceeds from long-term debt above.  </v>
      </c>
      <c r="D56" s="86"/>
      <c r="E56" s="172">
        <f>'Unit Data from Audit Worksheet'!F68</f>
        <v>0</v>
      </c>
      <c r="F56" s="166"/>
      <c r="G56" s="168"/>
      <c r="H56" s="165"/>
      <c r="I56" s="22"/>
      <c r="J56" s="157">
        <v>22</v>
      </c>
      <c r="K56" s="155" t="s">
        <v>110</v>
      </c>
      <c r="L56" s="205">
        <f t="shared" si="6"/>
        <v>0</v>
      </c>
      <c r="M56"/>
      <c r="P56" s="145"/>
      <c r="Q56"/>
      <c r="R56"/>
      <c r="S56"/>
      <c r="T56"/>
      <c r="U56"/>
      <c r="V56"/>
      <c r="W56"/>
      <c r="X56"/>
      <c r="Y56"/>
      <c r="Z56"/>
      <c r="AA56"/>
      <c r="AB56"/>
    </row>
    <row r="57" spans="1:28" s="16" customFormat="1" ht="85.2" customHeight="1" x14ac:dyDescent="0.3">
      <c r="A57" s="155">
        <f>'Unit Data from Audit Worksheet'!A69</f>
        <v>23</v>
      </c>
      <c r="B57" s="155" t="str">
        <f>'Unit Data from Audit Worksheet'!C69</f>
        <v>General Fund-Rev, Exp. Change in Fund Balance</v>
      </c>
      <c r="C57" s="155" t="str">
        <f>'Unit Data from Audit Worksheet'!D69</f>
        <v>Change in fund balance - (Increase in Fund balance is recorded as a positive and a decrease in fund balance is recorded as a negative)</v>
      </c>
      <c r="D57" s="86"/>
      <c r="E57" s="172">
        <f>'Unit Data from Audit Worksheet'!F69</f>
        <v>0</v>
      </c>
      <c r="F57" s="166"/>
      <c r="G57" s="168"/>
      <c r="H57" s="165"/>
      <c r="I57" s="22"/>
      <c r="J57" s="157">
        <v>23</v>
      </c>
      <c r="K57" s="155" t="s">
        <v>113</v>
      </c>
      <c r="L57" s="205">
        <f t="shared" si="6"/>
        <v>0</v>
      </c>
      <c r="M57"/>
      <c r="P57" s="145"/>
      <c r="Q57"/>
      <c r="R57"/>
      <c r="S57"/>
      <c r="T57"/>
      <c r="U57"/>
      <c r="V57"/>
      <c r="W57"/>
      <c r="X57"/>
      <c r="Y57"/>
      <c r="Z57"/>
      <c r="AA57"/>
      <c r="AB57"/>
    </row>
    <row r="58" spans="1:28" s="16" customFormat="1" ht="108.6" customHeight="1" x14ac:dyDescent="0.3">
      <c r="A58" s="155">
        <f>'Unit Data from Audit Worksheet'!A70</f>
        <v>507</v>
      </c>
      <c r="B58" s="155" t="str">
        <f>'Unit Data from Audit Worksheet'!C70</f>
        <v>General Fund-Rev, Exp. Change in Fund Balance</v>
      </c>
      <c r="C58" s="155" t="str">
        <f>'Unit Data from Audit Worksheet'!D70</f>
        <v>Any adjustment to beginning fund balance including rounding, prior period adjustments and restatements.   (Amounts that increase fund balance are recorded as positive and amounts that decrease fund balance are recorded as negative)</v>
      </c>
      <c r="D58" s="86"/>
      <c r="E58" s="172">
        <f>'Unit Data from Audit Worksheet'!F70</f>
        <v>0</v>
      </c>
      <c r="F58" s="166"/>
      <c r="G58" s="681" t="e">
        <f>L49-L57-L58-O49</f>
        <v>#N/A</v>
      </c>
      <c r="H58" s="165"/>
      <c r="I58" s="22"/>
      <c r="J58" s="157">
        <v>507</v>
      </c>
      <c r="K58" s="155" t="s">
        <v>638</v>
      </c>
      <c r="L58" s="205">
        <f t="shared" si="6"/>
        <v>0</v>
      </c>
      <c r="M58"/>
      <c r="P58" s="145"/>
      <c r="Q58"/>
      <c r="R58"/>
      <c r="S58"/>
      <c r="T58"/>
      <c r="U58"/>
      <c r="V58"/>
      <c r="W58"/>
      <c r="X58"/>
      <c r="Y58"/>
      <c r="Z58"/>
      <c r="AA58"/>
      <c r="AB58"/>
    </row>
    <row r="59" spans="1:28" s="16" customFormat="1" ht="78.599999999999994" customHeight="1" x14ac:dyDescent="0.3">
      <c r="A59" s="155">
        <f>'Unit Data from Audit Worksheet'!A72</f>
        <v>512</v>
      </c>
      <c r="B59" s="167" t="str">
        <f>'Unit Data from Audit Worksheet'!C72</f>
        <v>Fiduciary Statements</v>
      </c>
      <c r="C59" s="154" t="str">
        <f>'Unit Data from Audit Worksheet'!D72</f>
        <v>Cash and investments.  
Include:  unrestricted and restricted.  
                   cash and investments held 
                   by a third party</v>
      </c>
      <c r="D59" s="86"/>
      <c r="E59" s="172">
        <f>'Unit Data from Audit Worksheet'!F72</f>
        <v>0</v>
      </c>
      <c r="F59" s="166"/>
      <c r="G59" s="168"/>
      <c r="H59" s="165"/>
      <c r="I59" s="22"/>
      <c r="J59" s="164">
        <v>512</v>
      </c>
      <c r="K59" s="163" t="s">
        <v>148</v>
      </c>
      <c r="L59" s="205">
        <f t="shared" si="6"/>
        <v>0</v>
      </c>
      <c r="M59"/>
      <c r="P59" s="145"/>
      <c r="Q59"/>
      <c r="R59"/>
      <c r="S59"/>
      <c r="T59"/>
      <c r="U59"/>
      <c r="V59"/>
      <c r="W59"/>
      <c r="X59"/>
      <c r="Y59"/>
      <c r="Z59"/>
      <c r="AA59"/>
      <c r="AB59"/>
    </row>
    <row r="60" spans="1:28" ht="87" customHeight="1" x14ac:dyDescent="0.3">
      <c r="A60" s="155">
        <f>'Unit Data from Audit Worksheet'!A74</f>
        <v>622</v>
      </c>
      <c r="B60" s="167" t="str">
        <f>'Unit Data from Audit Worksheet'!C74</f>
        <v>FS., Pension note or RSI</v>
      </c>
      <c r="C60" s="167" t="str">
        <f>'Unit Data from Audit Worksheet'!D74</f>
        <v xml:space="preserve">Unit's Share of Net Pension Liability ($s)
- unit of government is a participating employer in the State's TSERS (Teachers' and State Employees' Retirement System) or the LGERS (Local Governmental Employees' Retirement System).  </v>
      </c>
      <c r="D60" s="171"/>
      <c r="E60" s="172">
        <f>'Unit Data from Audit Worksheet'!F74</f>
        <v>0</v>
      </c>
      <c r="F60" s="166"/>
      <c r="G60" s="168"/>
      <c r="H60" s="165"/>
      <c r="I60" s="22"/>
      <c r="J60" s="164">
        <v>622</v>
      </c>
      <c r="K60" s="169" t="s">
        <v>235</v>
      </c>
      <c r="L60" s="205">
        <f t="shared" si="6"/>
        <v>0</v>
      </c>
      <c r="P60" s="145"/>
    </row>
    <row r="61" spans="1:28" ht="151.80000000000001" customHeight="1" x14ac:dyDescent="0.3">
      <c r="A61" s="155">
        <f>'Unit Data from Audit Worksheet'!A75</f>
        <v>577</v>
      </c>
      <c r="B61" s="167" t="str">
        <f>'Unit Data from Audit Worksheet'!C75</f>
        <v>Pension Notes</v>
      </c>
      <c r="C61" s="167" t="str">
        <f>'Unit Data from Audit Worksheet'!D75</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61" s="171"/>
      <c r="E61" s="172">
        <f>'Unit Data from Audit Worksheet'!F75</f>
        <v>0</v>
      </c>
      <c r="F61" s="166"/>
      <c r="G61" s="168"/>
      <c r="H61" s="165"/>
      <c r="I61" s="22"/>
      <c r="J61" s="164">
        <v>577</v>
      </c>
      <c r="K61" s="169" t="s">
        <v>217</v>
      </c>
      <c r="L61" s="205">
        <f t="shared" si="6"/>
        <v>0</v>
      </c>
      <c r="P61" s="145"/>
    </row>
    <row r="62" spans="1:28" s="276" customFormat="1" ht="90.6" customHeight="1" x14ac:dyDescent="0.3">
      <c r="A62" s="155">
        <f>'Unit Data from Audit Worksheet'!A77</f>
        <v>621</v>
      </c>
      <c r="B62" s="167" t="str">
        <f>'Unit Data from Audit Worksheet'!C77</f>
        <v>FS., OPEB note or RSI</v>
      </c>
      <c r="C62" s="167" t="str">
        <f>'Unit Data from Audit Worksheet'!D77</f>
        <v xml:space="preserve">Unit's share of Retirement Health Benefit Fund Net OPEB Liability ($s)
- unit of government is a participating employer in the State's RHBF </v>
      </c>
      <c r="D62" s="171"/>
      <c r="E62" s="524">
        <f>'Unit Data from Audit Worksheet'!F77</f>
        <v>0</v>
      </c>
      <c r="F62" s="166"/>
      <c r="G62" s="168"/>
      <c r="H62" s="165"/>
      <c r="I62" s="22"/>
      <c r="J62" s="164">
        <v>621</v>
      </c>
      <c r="K62" s="169" t="s">
        <v>616</v>
      </c>
      <c r="L62" s="205">
        <f>IF(D62="",E62,D62)</f>
        <v>0</v>
      </c>
      <c r="M62"/>
      <c r="P62" s="146"/>
      <c r="Q62"/>
      <c r="R62"/>
      <c r="S62"/>
      <c r="T62"/>
      <c r="U62"/>
      <c r="V62"/>
      <c r="W62"/>
      <c r="X62"/>
      <c r="Y62"/>
      <c r="Z62"/>
      <c r="AA62"/>
      <c r="AB62"/>
    </row>
    <row r="63" spans="1:28" s="16" customFormat="1" ht="127.2" customHeight="1" x14ac:dyDescent="0.3">
      <c r="A63" s="219">
        <f>'Unit Data from Audit Worksheet'!A78</f>
        <v>547</v>
      </c>
      <c r="B63" s="167" t="str">
        <f>'Unit Data from Audit Worksheet'!C78</f>
        <v>OPEB Note</v>
      </c>
      <c r="C63" s="167" t="str">
        <f>'Unit Data from Audit Worksheet'!D78</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63" s="58"/>
      <c r="E63" s="524">
        <f>'Unit Data from Audit Worksheet'!F78</f>
        <v>0</v>
      </c>
      <c r="F63" s="166"/>
      <c r="G63" s="168"/>
      <c r="H63" s="62"/>
      <c r="I63" s="22"/>
      <c r="J63" s="164">
        <v>547</v>
      </c>
      <c r="K63" s="221" t="s">
        <v>191</v>
      </c>
      <c r="L63" s="205">
        <f t="shared" si="6"/>
        <v>0</v>
      </c>
      <c r="M63"/>
      <c r="P63" s="146"/>
      <c r="Q63"/>
      <c r="R63"/>
      <c r="S63"/>
      <c r="T63"/>
      <c r="U63"/>
      <c r="V63"/>
      <c r="W63"/>
      <c r="X63"/>
      <c r="Y63"/>
      <c r="Z63"/>
      <c r="AA63"/>
      <c r="AB63"/>
    </row>
    <row r="64" spans="1:28" s="16" customFormat="1" ht="99" customHeight="1" x14ac:dyDescent="0.3">
      <c r="A64" s="155">
        <f>'Unit Data from Audit Worksheet'!A79</f>
        <v>659</v>
      </c>
      <c r="B64" s="167" t="str">
        <f>'Unit Data from Audit Worksheet'!C79</f>
        <v>OPEB
 Note or RSI</v>
      </c>
      <c r="C64" s="154" t="str">
        <f>'Unit Data from Audit Worksheet'!D79</f>
        <v>Total OPEB benefits - total OPEB liability
If you do not provide benefit, please enter 0</v>
      </c>
      <c r="D64" s="58"/>
      <c r="E64" s="524">
        <f>'Unit Data from Audit Worksheet'!F79</f>
        <v>0</v>
      </c>
      <c r="F64" s="166"/>
      <c r="G64" s="222" t="s">
        <v>631</v>
      </c>
      <c r="H64" s="165"/>
      <c r="I64" s="22"/>
      <c r="J64" s="157">
        <v>659</v>
      </c>
      <c r="K64" s="156" t="s">
        <v>267</v>
      </c>
      <c r="L64" s="205">
        <f t="shared" si="6"/>
        <v>0</v>
      </c>
      <c r="M64"/>
      <c r="P64" s="146"/>
      <c r="Q64"/>
      <c r="R64"/>
      <c r="S64"/>
      <c r="T64"/>
      <c r="U64"/>
      <c r="V64"/>
      <c r="W64"/>
      <c r="X64"/>
      <c r="Y64"/>
      <c r="Z64"/>
      <c r="AA64"/>
      <c r="AB64"/>
    </row>
    <row r="65" spans="1:28" s="16" customFormat="1" ht="109.2" customHeight="1" x14ac:dyDescent="0.3">
      <c r="A65" s="155">
        <f>'Unit Data from Audit Worksheet'!A80</f>
        <v>660</v>
      </c>
      <c r="B65" s="167" t="str">
        <f>'Unit Data from Audit Worksheet'!C80</f>
        <v>OPEB
 Note or RSI</v>
      </c>
      <c r="C65" s="154" t="str">
        <f>'Unit Data from Audit Worksheet'!D80</f>
        <v>Total OPEB benefits- OPEB plan fiduciary net position
If no fiduciary net position, enter 0</v>
      </c>
      <c r="D65" s="171"/>
      <c r="E65" s="524">
        <f>'Unit Data from Audit Worksheet'!F80</f>
        <v>0</v>
      </c>
      <c r="F65" s="166"/>
      <c r="G65" s="222" t="s">
        <v>631</v>
      </c>
      <c r="H65" s="165"/>
      <c r="I65" s="22"/>
      <c r="J65" s="157">
        <v>660</v>
      </c>
      <c r="K65" s="156" t="s">
        <v>268</v>
      </c>
      <c r="L65" s="205">
        <f t="shared" si="6"/>
        <v>0</v>
      </c>
      <c r="M65"/>
      <c r="P65" s="146"/>
      <c r="Q65"/>
      <c r="R65"/>
      <c r="S65"/>
      <c r="T65"/>
      <c r="U65"/>
      <c r="V65"/>
      <c r="W65"/>
      <c r="X65"/>
      <c r="Y65"/>
      <c r="Z65"/>
      <c r="AA65"/>
      <c r="AB65"/>
    </row>
    <row r="66" spans="1:28" ht="134.25" customHeight="1" x14ac:dyDescent="0.3">
      <c r="A66" s="155">
        <f>'Unit Data from Audit Worksheet'!A81</f>
        <v>661</v>
      </c>
      <c r="B66" s="167" t="str">
        <f>'Unit Data from Audit Worksheet'!C81</f>
        <v>OPEB
RSI</v>
      </c>
      <c r="C66" s="154" t="str">
        <f>'Unit Data from Audit Worksheet'!D81</f>
        <v>Total OPEB benefits - What is the plan’s fiduciary net position as a percentage of the total OPEB liability?  Please enter as percentage value; for example, 83.5% should be entered as 83.5.  If assets have not been set aside in a trust, please enter 0.0</v>
      </c>
      <c r="D66" s="171"/>
      <c r="E66" s="514">
        <f>'Unit Data from Audit Worksheet'!F81</f>
        <v>0</v>
      </c>
      <c r="F66" s="166"/>
      <c r="G66" s="222" t="s">
        <v>631</v>
      </c>
      <c r="H66" s="165"/>
      <c r="I66" s="22"/>
      <c r="J66" s="157">
        <v>661</v>
      </c>
      <c r="K66" s="169" t="s">
        <v>269</v>
      </c>
      <c r="L66" s="525">
        <f t="shared" si="6"/>
        <v>0</v>
      </c>
      <c r="P66" s="146"/>
    </row>
    <row r="67" spans="1:28" ht="84.75" customHeight="1" x14ac:dyDescent="0.3">
      <c r="A67" s="223">
        <f>'Unit Data from Audit Worksheet'!A84</f>
        <v>6</v>
      </c>
      <c r="B67" s="33" t="str">
        <f>'Unit Data from Audit Worksheet'!C84</f>
        <v>Fund Balance Note</v>
      </c>
      <c r="C67" s="208" t="str">
        <f>'Unit Data from Audit Worksheet'!D84</f>
        <v>General Fund -  Total Encumbrances.  You will probably have to refer to the note disclosure where the amount of encumbrances is listed.</v>
      </c>
      <c r="D67" s="481"/>
      <c r="E67" s="172">
        <f>'Unit Data from Audit Worksheet'!F84</f>
        <v>0</v>
      </c>
      <c r="F67" s="166"/>
      <c r="G67" s="168"/>
      <c r="H67" s="165"/>
      <c r="I67" s="22"/>
      <c r="J67" s="23">
        <v>6</v>
      </c>
      <c r="K67" s="80" t="s">
        <v>156</v>
      </c>
      <c r="L67" s="205">
        <f t="shared" si="6"/>
        <v>0</v>
      </c>
      <c r="P67" s="148"/>
    </row>
    <row r="68" spans="1:28" ht="87.75" customHeight="1" x14ac:dyDescent="0.3">
      <c r="A68" s="155">
        <f>'TD Info Completed by Auditor'!A9</f>
        <v>906</v>
      </c>
      <c r="B68" s="79" t="s">
        <v>310</v>
      </c>
      <c r="C68" s="155" t="str">
        <f>'TD Info Completed by Auditor'!B9</f>
        <v>Is the Independent Auditor's Report Opinion Unmodified?</v>
      </c>
      <c r="D68" s="171"/>
      <c r="E68" s="157">
        <f>IF(+'TD Info Completed by Auditor'!C9="Yes",1,IF(+'TD Info Completed by Auditor'!C9="No",2,IF(+'TD Info Completed by Auditor'!C9="N/A",3,0)))</f>
        <v>0</v>
      </c>
      <c r="F68" s="166"/>
      <c r="G68" s="168"/>
      <c r="H68" s="165"/>
      <c r="I68" s="22"/>
      <c r="J68" s="131">
        <v>906</v>
      </c>
      <c r="K68" s="37" t="s">
        <v>303</v>
      </c>
      <c r="L68" s="205">
        <f t="shared" si="6"/>
        <v>0</v>
      </c>
      <c r="N68" s="180" t="s">
        <v>324</v>
      </c>
      <c r="P68" s="144"/>
    </row>
    <row r="69" spans="1:28" ht="87.75" customHeight="1" x14ac:dyDescent="0.3">
      <c r="A69" s="155">
        <f>'TD Info Completed by Auditor'!A10</f>
        <v>907</v>
      </c>
      <c r="B69" s="79" t="s">
        <v>310</v>
      </c>
      <c r="C69" s="155" t="str">
        <f>'TD Info Completed by Auditor'!B10</f>
        <v xml:space="preserve">Is there a finding for lack of segregation of duties at this unit? </v>
      </c>
      <c r="D69" s="171"/>
      <c r="E69" s="157">
        <f>IF(+'TD Info Completed by Auditor'!C10="Yes",1,IF(+'TD Info Completed by Auditor'!C10="No",2,IF(+'TD Info Completed by Auditor'!C10="N/A",3,0)))</f>
        <v>0</v>
      </c>
      <c r="F69" s="166"/>
      <c r="G69" s="168"/>
      <c r="H69" s="165"/>
      <c r="I69" s="22"/>
      <c r="J69" s="131">
        <v>907</v>
      </c>
      <c r="K69" s="37" t="s">
        <v>304</v>
      </c>
      <c r="L69" s="205">
        <f t="shared" si="6"/>
        <v>0</v>
      </c>
      <c r="N69" s="180" t="s">
        <v>324</v>
      </c>
      <c r="P69" s="145"/>
    </row>
    <row r="70" spans="1:28" s="276" customFormat="1" ht="87.75" customHeight="1" x14ac:dyDescent="0.3">
      <c r="A70" s="155">
        <f>'TD Info Completed by Auditor'!A11</f>
        <v>1058</v>
      </c>
      <c r="B70" s="79"/>
      <c r="C70" s="155" t="str">
        <f>'TD Info Completed by Auditor'!B11</f>
        <v>Did your audit disclose as a finding any statutory violations? (not including budget violations) (Yes or No) If the answer  is "Yes", review whether this needs to be disclosed in the Stewardship, Compliance and Accountability Note</v>
      </c>
      <c r="D70" s="171"/>
      <c r="E70" s="157">
        <f>IF(+'TD Info Completed by Auditor'!C11="Yes",1,IF(+'TD Info Completed by Auditor'!C11="No",2,IF(+'TD Info Completed by Auditor'!C11="N/A",3,0)))</f>
        <v>0</v>
      </c>
      <c r="F70" s="166"/>
      <c r="G70" s="168"/>
      <c r="H70" s="165"/>
      <c r="I70" s="22"/>
      <c r="J70" s="131">
        <v>1058</v>
      </c>
      <c r="K70" s="531" t="s">
        <v>639</v>
      </c>
      <c r="L70" s="205">
        <f t="shared" si="6"/>
        <v>0</v>
      </c>
      <c r="M70"/>
      <c r="N70" s="180"/>
      <c r="P70" s="146"/>
      <c r="Q70"/>
      <c r="R70"/>
      <c r="S70"/>
      <c r="T70"/>
      <c r="U70"/>
      <c r="V70"/>
      <c r="W70"/>
      <c r="X70"/>
      <c r="Y70"/>
      <c r="Z70"/>
      <c r="AA70"/>
      <c r="AB70"/>
    </row>
    <row r="71" spans="1:28" s="276" customFormat="1" ht="150.6" customHeight="1" x14ac:dyDescent="0.3">
      <c r="A71" s="155">
        <f>'TD Info Completed by Auditor'!A12</f>
        <v>1059</v>
      </c>
      <c r="B71" s="79"/>
      <c r="C71" s="155"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71" s="171"/>
      <c r="E71" s="157">
        <f>IF(+'TD Info Completed by Auditor'!C12="Yes",1,IF(+'TD Info Completed by Auditor'!C12="No",2,IF(+'TD Info Completed by Auditor'!C12="N/A",3,0)))</f>
        <v>0</v>
      </c>
      <c r="F71" s="166"/>
      <c r="G71" s="168"/>
      <c r="H71" s="165"/>
      <c r="I71" s="22"/>
      <c r="J71" s="131">
        <v>1059</v>
      </c>
      <c r="K71" s="531" t="s">
        <v>640</v>
      </c>
      <c r="L71" s="205">
        <f t="shared" si="6"/>
        <v>0</v>
      </c>
      <c r="M71"/>
      <c r="N71" s="180"/>
      <c r="P71" s="146"/>
      <c r="Q71"/>
      <c r="R71"/>
      <c r="S71"/>
      <c r="T71"/>
      <c r="U71"/>
      <c r="V71"/>
      <c r="W71"/>
      <c r="X71"/>
      <c r="Y71"/>
      <c r="Z71"/>
      <c r="AA71"/>
      <c r="AB71"/>
    </row>
    <row r="72" spans="1:28" s="276" customFormat="1" ht="153" customHeight="1" x14ac:dyDescent="0.3">
      <c r="A72" s="213">
        <f>'TD Info Completed by Auditor'!A13</f>
        <v>1078</v>
      </c>
      <c r="B72" s="658"/>
      <c r="C72" s="213"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72" s="171"/>
      <c r="E72" s="157">
        <f>IF(+'TD Info Completed by Auditor'!C13="Yes",1,IF(+'TD Info Completed by Auditor'!C13="No",2,IF(+'TD Info Completed by Auditor'!C13="N/A",3,0)))</f>
        <v>0</v>
      </c>
      <c r="F72" s="166"/>
      <c r="G72" s="168"/>
      <c r="H72" s="165"/>
      <c r="I72" s="22"/>
      <c r="J72" s="660">
        <v>1078</v>
      </c>
      <c r="K72" s="659" t="s">
        <v>820</v>
      </c>
      <c r="L72" s="215">
        <f t="shared" si="6"/>
        <v>0</v>
      </c>
      <c r="M72" s="129"/>
      <c r="N72" s="180"/>
      <c r="P72" s="146"/>
      <c r="Q72" s="129"/>
      <c r="R72" s="129"/>
      <c r="S72" s="129"/>
      <c r="T72" s="129"/>
      <c r="U72" s="129"/>
      <c r="V72" s="129"/>
      <c r="W72" s="129"/>
      <c r="X72" s="129"/>
      <c r="Y72" s="129"/>
      <c r="Z72" s="129"/>
      <c r="AA72" s="129"/>
      <c r="AB72" s="129"/>
    </row>
    <row r="73" spans="1:28" s="276" customFormat="1" ht="148.80000000000001" customHeight="1" x14ac:dyDescent="0.3">
      <c r="A73" s="213">
        <f>'TD Info Completed by Auditor'!A14</f>
        <v>1067</v>
      </c>
      <c r="B73" s="658"/>
      <c r="C73" s="213"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73" s="171"/>
      <c r="E73" s="157">
        <f>IF(+'TD Info Completed by Auditor'!C14="Yes",1,IF(+'TD Info Completed by Auditor'!C14="No",2,IF(+'TD Info Completed by Auditor'!C14="N/A",3,0)))</f>
        <v>0</v>
      </c>
      <c r="F73" s="166"/>
      <c r="G73" s="168"/>
      <c r="H73" s="165"/>
      <c r="I73" s="22"/>
      <c r="J73" s="660">
        <v>1067</v>
      </c>
      <c r="K73" s="659" t="s">
        <v>821</v>
      </c>
      <c r="L73" s="215">
        <f t="shared" si="6"/>
        <v>0</v>
      </c>
      <c r="M73" s="129"/>
      <c r="N73" s="180"/>
      <c r="P73" s="146"/>
      <c r="Q73" s="129"/>
      <c r="R73" s="129"/>
      <c r="S73" s="129"/>
      <c r="T73" s="129"/>
      <c r="U73" s="129"/>
      <c r="V73" s="129"/>
      <c r="W73" s="129"/>
      <c r="X73" s="129"/>
      <c r="Y73" s="129"/>
      <c r="Z73" s="129"/>
      <c r="AA73" s="129"/>
      <c r="AB73" s="129"/>
    </row>
    <row r="74" spans="1:28" s="276" customFormat="1" ht="87.75" customHeight="1" x14ac:dyDescent="0.3">
      <c r="A74" s="155">
        <f>'TD Info Completed by Auditor'!A15</f>
        <v>951</v>
      </c>
      <c r="B74" s="16"/>
      <c r="C74" s="155" t="str">
        <f>'TD Info Completed by Auditor'!B15</f>
        <v>Is there a finding for lack of technical skills, knowledge and experience (SKE) at this unit?</v>
      </c>
      <c r="D74" s="171"/>
      <c r="E74" s="157">
        <f>IF(+'TD Info Completed by Auditor'!C15="Yes",1,IF(+'TD Info Completed by Auditor'!C15="No",2,IF(+'TD Info Completed by Auditor'!C15="N/A",3,0)))</f>
        <v>0</v>
      </c>
      <c r="F74" s="166"/>
      <c r="G74" s="168"/>
      <c r="H74" s="165"/>
      <c r="I74" s="22"/>
      <c r="J74" s="131">
        <v>951</v>
      </c>
      <c r="K74" s="531" t="s">
        <v>632</v>
      </c>
      <c r="L74" s="205">
        <f t="shared" si="6"/>
        <v>0</v>
      </c>
      <c r="M74"/>
      <c r="N74" s="180"/>
      <c r="P74" s="146"/>
      <c r="Q74"/>
      <c r="R74"/>
      <c r="S74"/>
      <c r="T74"/>
      <c r="U74"/>
      <c r="V74"/>
      <c r="W74"/>
      <c r="X74"/>
      <c r="Y74"/>
      <c r="Z74"/>
      <c r="AA74"/>
      <c r="AB74"/>
    </row>
    <row r="75" spans="1:28" ht="87.75" customHeight="1" x14ac:dyDescent="0.3">
      <c r="A75" s="155">
        <f>'TD Info Completed by Auditor'!A16</f>
        <v>953</v>
      </c>
      <c r="B75" s="79" t="s">
        <v>310</v>
      </c>
      <c r="C75" s="155" t="str">
        <f>'TD Info Completed by Auditor'!B16</f>
        <v xml:space="preserve">Is there is a going concern noted in the audit report? </v>
      </c>
      <c r="D75" s="171"/>
      <c r="E75" s="157">
        <f>IF(+'TD Info Completed by Auditor'!C16="Yes",1,IF(+'TD Info Completed by Auditor'!C16="No",2,IF(+'TD Info Completed by Auditor'!C16="N/A",3,0)))</f>
        <v>0</v>
      </c>
      <c r="F75" s="166"/>
      <c r="G75" s="168"/>
      <c r="H75" s="165"/>
      <c r="I75" s="22"/>
      <c r="J75" s="131">
        <v>953</v>
      </c>
      <c r="K75" s="37" t="s">
        <v>822</v>
      </c>
      <c r="L75" s="205">
        <f t="shared" si="6"/>
        <v>0</v>
      </c>
      <c r="N75" s="180" t="s">
        <v>324</v>
      </c>
      <c r="P75" s="146"/>
    </row>
    <row r="76" spans="1:28" ht="87.75" customHeight="1" x14ac:dyDescent="0.3">
      <c r="A76" s="155">
        <f>'TD Info Completed by Auditor'!A17</f>
        <v>955</v>
      </c>
      <c r="B76" s="79" t="s">
        <v>310</v>
      </c>
      <c r="C76" s="155" t="str">
        <f>'TD Info Completed by Auditor'!B17</f>
        <v>Number of significant deficiency findings (financial statement findings only)
Exclude findings reported in questions 907, 951</v>
      </c>
      <c r="D76" s="171"/>
      <c r="E76" s="157">
        <f>'TD Info Completed by Auditor'!C17</f>
        <v>0</v>
      </c>
      <c r="F76" s="166"/>
      <c r="G76" s="168"/>
      <c r="H76" s="165"/>
      <c r="I76" s="22"/>
      <c r="J76" s="131">
        <v>955</v>
      </c>
      <c r="K76" s="37" t="s">
        <v>634</v>
      </c>
      <c r="L76" s="205">
        <f t="shared" si="6"/>
        <v>0</v>
      </c>
      <c r="N76" s="180" t="s">
        <v>324</v>
      </c>
      <c r="P76" s="146"/>
    </row>
    <row r="77" spans="1:28" ht="87.75" customHeight="1" x14ac:dyDescent="0.3">
      <c r="A77" s="155">
        <f>'TD Info Completed by Auditor'!A18</f>
        <v>957</v>
      </c>
      <c r="B77" s="79" t="s">
        <v>310</v>
      </c>
      <c r="C77" s="155" t="str">
        <f>'TD Info Completed by Auditor'!B18</f>
        <v xml:space="preserve">Number of material weaknesses findings (financial statements findings only)
Exclude findings reported in questions 907, 951 </v>
      </c>
      <c r="D77" s="171"/>
      <c r="E77" s="157">
        <f>'TD Info Completed by Auditor'!C18</f>
        <v>0</v>
      </c>
      <c r="F77" s="166"/>
      <c r="G77" s="168"/>
      <c r="H77" s="165"/>
      <c r="I77" s="22"/>
      <c r="J77" s="131">
        <v>957</v>
      </c>
      <c r="K77" s="37" t="s">
        <v>635</v>
      </c>
      <c r="L77" s="205">
        <f t="shared" si="6"/>
        <v>0</v>
      </c>
      <c r="N77" s="180" t="s">
        <v>324</v>
      </c>
      <c r="P77" s="146"/>
    </row>
    <row r="78" spans="1:28" s="276" customFormat="1" ht="208.8" customHeight="1" x14ac:dyDescent="0.3">
      <c r="A78" s="155">
        <f>'TD Info Completed by Auditor'!A19</f>
        <v>973</v>
      </c>
      <c r="B78" s="79" t="s">
        <v>310</v>
      </c>
      <c r="C78" s="155"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78" s="171"/>
      <c r="E78" s="157">
        <f>'TD Info Completed by Auditor'!C19</f>
        <v>0</v>
      </c>
      <c r="F78" s="166"/>
      <c r="G78" s="168"/>
      <c r="H78" s="165"/>
      <c r="I78" s="22"/>
      <c r="J78" s="131">
        <v>973</v>
      </c>
      <c r="K78" s="37" t="s">
        <v>627</v>
      </c>
      <c r="L78" s="205">
        <f t="shared" si="6"/>
        <v>0</v>
      </c>
      <c r="M78"/>
      <c r="N78" s="180"/>
      <c r="P78" s="146"/>
      <c r="Q78"/>
      <c r="R78"/>
      <c r="S78"/>
      <c r="T78"/>
      <c r="U78"/>
      <c r="V78"/>
      <c r="W78"/>
      <c r="X78"/>
      <c r="Y78"/>
      <c r="Z78"/>
      <c r="AA78"/>
      <c r="AB78"/>
    </row>
    <row r="79" spans="1:28" ht="94.2" customHeight="1" x14ac:dyDescent="0.3">
      <c r="A79" s="155">
        <f>'TD Info Completed by Auditor'!A20</f>
        <v>959</v>
      </c>
      <c r="B79" s="79" t="s">
        <v>310</v>
      </c>
      <c r="C79" s="155" t="str">
        <f>'TD Info Completed by Auditor'!B20</f>
        <v>Did the Unit have debt service payments deferred or restructured in this fiscal year? (does not include refinancings designed to take advantage of lower interest rates)  Select Yes, No, or NA</v>
      </c>
      <c r="D79" s="171"/>
      <c r="E79" s="157">
        <f>IF(+'TD Info Completed by Auditor'!C20="Yes",1,IF(+'TD Info Completed by Auditor'!C20="No",2,IF(+'TD Info Completed by Auditor'!C20="N/A",3,0)))</f>
        <v>0</v>
      </c>
      <c r="F79" s="166"/>
      <c r="G79" s="168"/>
      <c r="H79" s="165"/>
      <c r="I79" s="22"/>
      <c r="J79" s="131">
        <v>959</v>
      </c>
      <c r="K79" s="37" t="s">
        <v>326</v>
      </c>
      <c r="L79" s="205">
        <f t="shared" si="6"/>
        <v>0</v>
      </c>
      <c r="N79" s="180" t="s">
        <v>324</v>
      </c>
      <c r="P79" s="146"/>
    </row>
    <row r="80" spans="1:28" ht="100.2" customHeight="1" x14ac:dyDescent="0.3">
      <c r="A80" s="155">
        <f>'TD Info Completed by Auditor'!A27</f>
        <v>975</v>
      </c>
      <c r="B80" s="79" t="s">
        <v>310</v>
      </c>
      <c r="C80" s="154" t="str">
        <f>'TD Info Completed by Auditor'!B27</f>
        <v>Does the Performance Indicator Print worksheet in this workbook have a red shaded cell?</v>
      </c>
      <c r="D80" s="171"/>
      <c r="E80" s="157">
        <f>IF(+'TD Info Completed by Auditor'!C27="Yes",1,IF(+'TD Info Completed by Auditor'!C27="No",2,IF(+'TD Info Completed by Auditor'!C27="N/A",3,0)))</f>
        <v>0</v>
      </c>
      <c r="F80" s="166"/>
      <c r="G80" s="168"/>
      <c r="H80" s="165"/>
      <c r="I80" s="22"/>
      <c r="J80" s="131">
        <v>975</v>
      </c>
      <c r="K80" s="37" t="s">
        <v>311</v>
      </c>
      <c r="L80" s="205">
        <f t="shared" si="6"/>
        <v>0</v>
      </c>
      <c r="N80" s="180" t="s">
        <v>324</v>
      </c>
      <c r="P80" s="149"/>
    </row>
    <row r="81" spans="1:28" s="276" customFormat="1" ht="100.2" customHeight="1" x14ac:dyDescent="0.3">
      <c r="A81" s="213">
        <f>'TD Info Completed by Auditor'!A29</f>
        <v>1068</v>
      </c>
      <c r="B81" s="153"/>
      <c r="C81" s="143" t="str">
        <f>'TD Info Completed by Auditor'!B29</f>
        <v xml:space="preserve">Does the unit have a self-insurance fund? </v>
      </c>
      <c r="D81" s="171"/>
      <c r="E81" s="157">
        <f>IF(+'TD Info Completed by Auditor'!C29="Yes",1,IF(+'TD Info Completed by Auditor'!C29="No",2,IF(+'TD Info Completed by Auditor'!C29="N/A",3,0)))</f>
        <v>0</v>
      </c>
      <c r="F81" s="166"/>
      <c r="G81" s="168"/>
      <c r="H81" s="165"/>
      <c r="I81" s="22"/>
      <c r="J81" s="660">
        <v>1068</v>
      </c>
      <c r="K81" s="661" t="s">
        <v>823</v>
      </c>
      <c r="L81" s="215">
        <f t="shared" si="6"/>
        <v>0</v>
      </c>
      <c r="M81" s="129"/>
      <c r="N81" s="180"/>
      <c r="P81" s="149"/>
      <c r="Q81" s="129"/>
      <c r="R81" s="129"/>
      <c r="S81" s="129"/>
      <c r="T81" s="129"/>
      <c r="U81" s="129"/>
      <c r="V81" s="129"/>
      <c r="W81" s="129"/>
      <c r="X81" s="129"/>
      <c r="Y81" s="129"/>
      <c r="Z81" s="129"/>
      <c r="AA81" s="129"/>
      <c r="AB81" s="129"/>
    </row>
    <row r="82" spans="1:28" s="276" customFormat="1" ht="100.2" customHeight="1" x14ac:dyDescent="0.3">
      <c r="A82" s="213">
        <f>'TD Info Completed by Auditor'!A30</f>
        <v>1069</v>
      </c>
      <c r="B82" s="153"/>
      <c r="C82" s="143" t="str">
        <f>'TD Info Completed by Auditor'!B30</f>
        <v>If the unit is self-insured for employee health care, does the unit use a qualified consultant to establish rates and appropriate reserve levels?</v>
      </c>
      <c r="D82" s="171"/>
      <c r="E82" s="157">
        <f>IF(+'TD Info Completed by Auditor'!C30="Yes",1,IF(+'TD Info Completed by Auditor'!C30="No",2,IF(+'TD Info Completed by Auditor'!C30="N/A",3,0)))</f>
        <v>0</v>
      </c>
      <c r="F82" s="166"/>
      <c r="G82" s="168"/>
      <c r="H82" s="165"/>
      <c r="I82" s="22"/>
      <c r="J82" s="660">
        <v>1069</v>
      </c>
      <c r="K82" s="661" t="s">
        <v>824</v>
      </c>
      <c r="L82" s="215">
        <f t="shared" si="6"/>
        <v>0</v>
      </c>
      <c r="M82" s="129"/>
      <c r="N82" s="180"/>
      <c r="P82" s="149"/>
      <c r="Q82" s="129"/>
      <c r="R82" s="129"/>
      <c r="S82" s="129"/>
      <c r="T82" s="129"/>
      <c r="U82" s="129"/>
      <c r="V82" s="129"/>
      <c r="W82" s="129"/>
      <c r="X82" s="129"/>
      <c r="Y82" s="129"/>
      <c r="Z82" s="129"/>
      <c r="AA82" s="129"/>
      <c r="AB82" s="129"/>
    </row>
    <row r="83" spans="1:28" s="276" customFormat="1" ht="100.2" customHeight="1" x14ac:dyDescent="0.3">
      <c r="A83" s="213">
        <f>'TD Info Completed by Auditor'!A31</f>
        <v>1070</v>
      </c>
      <c r="B83" s="153"/>
      <c r="C83" s="143" t="str">
        <f>'TD Info Completed by Auditor'!B31</f>
        <v>Does the Unit have a non-state administered pension plan?
(Note - OPEB is not a pension plan.)</v>
      </c>
      <c r="D83" s="171"/>
      <c r="E83" s="157">
        <f>IF(+'TD Info Completed by Auditor'!C31="Yes",1,IF(+'TD Info Completed by Auditor'!C31="No",2,IF(+'TD Info Completed by Auditor'!C31="N/A",3,0)))</f>
        <v>0</v>
      </c>
      <c r="F83" s="166"/>
      <c r="G83" s="168"/>
      <c r="H83" s="165"/>
      <c r="I83" s="22"/>
      <c r="J83" s="660">
        <v>1070</v>
      </c>
      <c r="K83" s="661" t="s">
        <v>835</v>
      </c>
      <c r="L83" s="215">
        <f t="shared" si="6"/>
        <v>0</v>
      </c>
      <c r="M83" s="129"/>
      <c r="N83" s="180"/>
      <c r="P83" s="149"/>
      <c r="Q83" s="129"/>
      <c r="R83" s="129"/>
      <c r="S83" s="129"/>
      <c r="T83" s="129"/>
      <c r="U83" s="129"/>
      <c r="V83" s="129"/>
      <c r="W83" s="129"/>
      <c r="X83" s="129"/>
      <c r="Y83" s="129"/>
      <c r="Z83" s="129"/>
      <c r="AA83" s="129"/>
      <c r="AB83" s="129"/>
    </row>
    <row r="84" spans="1:28" s="276" customFormat="1" ht="100.2" customHeight="1" x14ac:dyDescent="0.3">
      <c r="A84" s="213">
        <f>'TD Info Completed by Auditor'!A32</f>
        <v>1071</v>
      </c>
      <c r="B84" s="153"/>
      <c r="C84" s="143" t="str">
        <f>'TD Info Completed by Auditor'!B32</f>
        <v>Please list the amount of ARPA funds expended in total this fiscal year for non-capital purposes.  Enter "0" if no ARPA funds expended for this fiscal year for non-capital purposes.</v>
      </c>
      <c r="D84" s="171"/>
      <c r="E84" s="682">
        <f>'TD Info Completed by Auditor'!C32</f>
        <v>0</v>
      </c>
      <c r="F84" s="166"/>
      <c r="G84" s="168"/>
      <c r="H84" s="165"/>
      <c r="I84" s="22"/>
      <c r="J84" s="660">
        <v>1071</v>
      </c>
      <c r="K84" s="661" t="s">
        <v>825</v>
      </c>
      <c r="L84" s="215">
        <f t="shared" si="6"/>
        <v>0</v>
      </c>
      <c r="M84" s="129"/>
      <c r="N84" s="180"/>
      <c r="P84" s="149"/>
      <c r="Q84" s="129"/>
      <c r="R84" s="129"/>
      <c r="S84" s="129"/>
      <c r="T84" s="129"/>
      <c r="U84" s="129"/>
      <c r="V84" s="129"/>
      <c r="W84" s="129"/>
      <c r="X84" s="129"/>
      <c r="Y84" s="129"/>
      <c r="Z84" s="129"/>
      <c r="AA84" s="129"/>
      <c r="AB84" s="129"/>
    </row>
    <row r="85" spans="1:28" ht="127.8" customHeight="1" x14ac:dyDescent="0.3">
      <c r="A85" s="224">
        <v>336</v>
      </c>
      <c r="B85" s="177"/>
      <c r="C85" s="225" t="s">
        <v>328</v>
      </c>
      <c r="D85" s="226" t="s">
        <v>319</v>
      </c>
      <c r="E85" s="227" t="s">
        <v>626</v>
      </c>
      <c r="F85" s="178" t="s">
        <v>534</v>
      </c>
      <c r="G85" s="168"/>
      <c r="H85" s="165"/>
      <c r="I85" s="22"/>
      <c r="J85" s="694">
        <v>336</v>
      </c>
      <c r="K85" s="508" t="s">
        <v>321</v>
      </c>
      <c r="L85" s="510">
        <f>L10-L11-L12-L13-L14-L15</f>
        <v>0</v>
      </c>
      <c r="N85" s="181" t="s">
        <v>320</v>
      </c>
      <c r="P85" s="149"/>
    </row>
    <row r="86" spans="1:28" ht="113.4" customHeight="1" x14ac:dyDescent="0.3">
      <c r="A86" s="228"/>
      <c r="B86" s="60"/>
      <c r="C86" s="229"/>
      <c r="D86" s="82"/>
      <c r="E86" s="89"/>
      <c r="F86" s="40"/>
      <c r="G86" s="83"/>
      <c r="H86" s="84"/>
      <c r="I86" s="22"/>
      <c r="J86" s="694">
        <v>998</v>
      </c>
      <c r="K86" s="508" t="s">
        <v>181</v>
      </c>
      <c r="L86" s="510" t="e">
        <f>VLOOKUP('Unit Data from Audit Worksheet'!D2,'Unit Names(H)'!$A$2:$C$8,3,FALSE)</f>
        <v>#N/A</v>
      </c>
      <c r="N86" s="181" t="s">
        <v>322</v>
      </c>
      <c r="P86" s="149"/>
    </row>
    <row r="87" spans="1:28" ht="80.400000000000006" customHeight="1" x14ac:dyDescent="0.3">
      <c r="A87" s="228"/>
      <c r="B87" s="60"/>
      <c r="C87" s="229"/>
      <c r="D87" s="230"/>
      <c r="E87" s="231"/>
      <c r="F87" s="232"/>
      <c r="G87" s="233"/>
      <c r="H87" s="234"/>
      <c r="I87" s="22"/>
      <c r="J87" s="509">
        <v>554</v>
      </c>
      <c r="K87" s="236" t="s">
        <v>206</v>
      </c>
      <c r="L87" s="218"/>
      <c r="N87"/>
      <c r="P87" s="149"/>
    </row>
    <row r="88" spans="1:28" ht="69.599999999999994" customHeight="1" x14ac:dyDescent="0.3">
      <c r="A88" s="228"/>
      <c r="B88" s="60"/>
      <c r="C88" s="229"/>
      <c r="D88" s="230"/>
      <c r="E88" s="231"/>
      <c r="F88" s="232"/>
      <c r="G88" s="233"/>
      <c r="H88" s="234"/>
      <c r="I88" s="22"/>
      <c r="J88" s="109">
        <v>555</v>
      </c>
      <c r="K88" s="236" t="s">
        <v>207</v>
      </c>
      <c r="L88" s="218"/>
      <c r="N88"/>
      <c r="P88" s="149"/>
    </row>
    <row r="89" spans="1:28" ht="57" customHeight="1" x14ac:dyDescent="0.3">
      <c r="A89" s="228"/>
      <c r="B89" s="60"/>
      <c r="C89" s="229"/>
      <c r="D89" s="230"/>
      <c r="E89" s="231"/>
      <c r="F89" s="232"/>
      <c r="G89" s="233"/>
      <c r="H89" s="235"/>
      <c r="I89" s="22"/>
      <c r="J89" s="109">
        <v>556</v>
      </c>
      <c r="K89" s="236" t="s">
        <v>208</v>
      </c>
      <c r="L89" s="218"/>
      <c r="N89" s="237"/>
      <c r="P89" s="149"/>
    </row>
    <row r="90" spans="1:28" ht="61.8" customHeight="1" x14ac:dyDescent="0.3">
      <c r="A90" s="228"/>
      <c r="B90" s="60"/>
      <c r="C90" s="229"/>
      <c r="D90" s="230"/>
      <c r="E90" s="231"/>
      <c r="F90" s="232"/>
      <c r="G90" s="233"/>
      <c r="H90" s="235"/>
      <c r="I90" s="22"/>
      <c r="J90" s="109">
        <v>557</v>
      </c>
      <c r="K90" s="236" t="s">
        <v>209</v>
      </c>
      <c r="L90" s="218"/>
      <c r="N90" s="237"/>
      <c r="P90" s="149"/>
    </row>
    <row r="91" spans="1:28" ht="61.2" customHeight="1" x14ac:dyDescent="0.3">
      <c r="A91" s="228"/>
      <c r="B91" s="60"/>
      <c r="C91" s="229"/>
      <c r="D91" s="230"/>
      <c r="E91" s="231"/>
      <c r="F91" s="232"/>
      <c r="G91" s="233"/>
      <c r="H91" s="235"/>
      <c r="I91" s="22"/>
      <c r="J91" s="109">
        <v>606</v>
      </c>
      <c r="K91" s="236" t="s">
        <v>284</v>
      </c>
      <c r="L91" s="218"/>
      <c r="N91" s="237"/>
      <c r="P91" s="149"/>
    </row>
    <row r="92" spans="1:28" ht="60" customHeight="1" x14ac:dyDescent="0.3">
      <c r="A92" s="228"/>
      <c r="B92" s="60"/>
      <c r="C92" s="229"/>
      <c r="D92" s="230"/>
      <c r="E92" s="231"/>
      <c r="F92" s="232"/>
      <c r="G92" s="233"/>
      <c r="H92" s="235"/>
      <c r="I92" s="22"/>
      <c r="J92" s="85"/>
      <c r="K92" s="239"/>
      <c r="L92" s="240"/>
      <c r="N92" s="237"/>
      <c r="P92" s="150"/>
    </row>
    <row r="93" spans="1:28" ht="79.95" customHeight="1" x14ac:dyDescent="0.3">
      <c r="A93" s="155">
        <f>'Unit Data from Audit Worksheet'!A86</f>
        <v>947</v>
      </c>
      <c r="B93" s="79"/>
      <c r="C93" s="154" t="str">
        <f>'Unit Data from Audit Worksheet'!D86</f>
        <v>First name of finance officer or interim finance officer (please enter “vacant” for first name if the position is currently vacant)</v>
      </c>
      <c r="D93" s="174"/>
      <c r="E93" s="498">
        <f>'Unit Data from Audit Worksheet'!F86</f>
        <v>0</v>
      </c>
      <c r="F93" s="166" t="str">
        <f>'Unit Data from Audit Worksheet'!G86</f>
        <v>Please do not leave blank</v>
      </c>
      <c r="G93" s="168"/>
      <c r="H93" s="165"/>
      <c r="I93" s="22"/>
      <c r="J93" s="111">
        <v>947</v>
      </c>
      <c r="K93" s="241" t="s">
        <v>258</v>
      </c>
      <c r="L93" s="242">
        <f t="shared" ref="L93:L103" si="7">IF(D93="",E93,D93)</f>
        <v>0</v>
      </c>
      <c r="N93" s="237"/>
      <c r="P93" s="150"/>
    </row>
    <row r="94" spans="1:28" s="16" customFormat="1" ht="75" customHeight="1" x14ac:dyDescent="0.3">
      <c r="A94" s="155">
        <f>'Unit Data from Audit Worksheet'!A87</f>
        <v>948</v>
      </c>
      <c r="B94" s="79"/>
      <c r="C94" s="154" t="str">
        <f>'Unit Data from Audit Worksheet'!D87</f>
        <v>Last name of finance officer or interim finance officer (please enter “vacant” for last name if the position is currently vacant)</v>
      </c>
      <c r="D94" s="174"/>
      <c r="E94" s="243">
        <f>'Unit Data from Audit Worksheet'!F87</f>
        <v>0</v>
      </c>
      <c r="F94" s="166" t="str">
        <f>'Unit Data from Audit Worksheet'!G87</f>
        <v>Please do not leave blank</v>
      </c>
      <c r="G94" s="168"/>
      <c r="H94" s="165"/>
      <c r="I94" s="22"/>
      <c r="J94" s="111">
        <v>948</v>
      </c>
      <c r="K94" s="241" t="s">
        <v>259</v>
      </c>
      <c r="L94" s="242">
        <f t="shared" si="7"/>
        <v>0</v>
      </c>
      <c r="M94"/>
      <c r="N94" s="180"/>
      <c r="P94" s="150"/>
      <c r="Q94"/>
      <c r="R94"/>
      <c r="S94"/>
      <c r="T94"/>
      <c r="U94"/>
      <c r="V94"/>
      <c r="W94"/>
      <c r="X94"/>
      <c r="Y94"/>
      <c r="Z94"/>
      <c r="AA94"/>
      <c r="AB94"/>
    </row>
    <row r="95" spans="1:28" ht="99" customHeight="1" x14ac:dyDescent="0.3">
      <c r="A95" s="155">
        <f>'Unit Data from Audit Worksheet'!A88</f>
        <v>949</v>
      </c>
      <c r="B95" s="79"/>
      <c r="C95" s="154" t="str">
        <f>'Unit Data from Audit Worksheet'!D88</f>
        <v>Is the finance officer serving in a permanent role or an interim role? (select permanent/interim/vacant)</v>
      </c>
      <c r="D95" s="174"/>
      <c r="E95" s="122">
        <f>'Unit Data from Audit Worksheet'!F88</f>
        <v>0</v>
      </c>
      <c r="F95" s="166" t="str">
        <f>'Unit Data from Audit Worksheet'!G88</f>
        <v>Please do not leave blank</v>
      </c>
      <c r="G95" s="168"/>
      <c r="H95" s="165"/>
      <c r="I95" s="22"/>
      <c r="J95" s="111">
        <v>949</v>
      </c>
      <c r="K95" s="241" t="s">
        <v>280</v>
      </c>
      <c r="L95" s="242">
        <f t="shared" si="7"/>
        <v>0</v>
      </c>
      <c r="N95" s="237"/>
      <c r="P95" s="150"/>
    </row>
    <row r="96" spans="1:28" ht="128.25" customHeight="1" x14ac:dyDescent="0.3">
      <c r="A96" s="155">
        <f>'Unit Data from Audit Worksheet'!A89</f>
        <v>950</v>
      </c>
      <c r="B96" s="79"/>
      <c r="C96" s="154" t="str">
        <f>'Unit Data from Audit Worksheet'!D89</f>
        <v>Has the finance officer been formally appointed by the local government, public authority, or designated official?  (Y/N)</v>
      </c>
      <c r="D96" s="174"/>
      <c r="E96" s="122">
        <f>'Unit Data from Audit Worksheet'!F89</f>
        <v>0</v>
      </c>
      <c r="F96" s="166" t="str">
        <f>'Unit Data from Audit Worksheet'!G89</f>
        <v>Please do not leave blank</v>
      </c>
      <c r="G96" s="168"/>
      <c r="H96" s="165"/>
      <c r="I96" s="22"/>
      <c r="J96" s="111">
        <v>950</v>
      </c>
      <c r="K96" s="241" t="s">
        <v>281</v>
      </c>
      <c r="L96" s="242">
        <f t="shared" si="7"/>
        <v>0</v>
      </c>
      <c r="N96" s="237"/>
      <c r="P96" s="150"/>
    </row>
    <row r="97" spans="1:28" ht="115.2" customHeight="1" x14ac:dyDescent="0.3">
      <c r="A97" s="155">
        <f>'Unit Data from Audit Worksheet'!A90</f>
        <v>952</v>
      </c>
      <c r="B97" s="79"/>
      <c r="C97" s="154" t="str">
        <f>'Unit Data from Audit Worksheet'!D90</f>
        <v>Date on which the local government, public authority, or designated official appointed the finance officer?     Date Format  MM/DD/YYYY</v>
      </c>
      <c r="D97" s="174"/>
      <c r="E97" s="492" t="str">
        <f>IF('Unit Data from Audit Worksheet'!F90&gt;0,'Unit Data from Audit Worksheet'!F90," ")</f>
        <v xml:space="preserve"> </v>
      </c>
      <c r="F97" s="166" t="str">
        <f>'Unit Data from Audit Worksheet'!G90</f>
        <v>Leave blank if data not available</v>
      </c>
      <c r="G97" s="168"/>
      <c r="H97" s="165"/>
      <c r="I97" s="22"/>
      <c r="J97" s="111">
        <v>952</v>
      </c>
      <c r="K97" s="241" t="s">
        <v>282</v>
      </c>
      <c r="L97" s="244" t="str">
        <f t="shared" si="7"/>
        <v xml:space="preserve"> </v>
      </c>
      <c r="N97" s="237"/>
      <c r="P97" s="150"/>
    </row>
    <row r="98" spans="1:28" ht="41.4" customHeight="1" x14ac:dyDescent="0.3">
      <c r="A98" s="245">
        <f>'Unit Data from Audit Worksheet'!A98</f>
        <v>960</v>
      </c>
      <c r="B98" s="118"/>
      <c r="C98" s="119" t="str">
        <f>'Unit Data from Audit Worksheet'!B98</f>
        <v>Name of Finance Officer</v>
      </c>
      <c r="D98" s="174"/>
      <c r="E98" s="246">
        <f>'Unit Data from Audit Worksheet'!D98</f>
        <v>0</v>
      </c>
      <c r="F98" s="247" t="str">
        <f>'Unit Data from Audit Worksheet'!F98</f>
        <v>Required</v>
      </c>
      <c r="G98" s="168"/>
      <c r="H98" s="165"/>
      <c r="I98" s="22"/>
      <c r="J98" s="121">
        <v>960</v>
      </c>
      <c r="K98" s="248" t="s">
        <v>276</v>
      </c>
      <c r="L98" s="249">
        <f t="shared" si="7"/>
        <v>0</v>
      </c>
      <c r="N98" s="237"/>
      <c r="P98" s="150"/>
    </row>
    <row r="99" spans="1:28" ht="33" customHeight="1" x14ac:dyDescent="0.3">
      <c r="A99" s="245">
        <f>'Unit Data from Audit Worksheet'!A99</f>
        <v>962</v>
      </c>
      <c r="B99" s="118"/>
      <c r="C99" s="119" t="str">
        <f>'Unit Data from Audit Worksheet'!B99</f>
        <v>Title of Official</v>
      </c>
      <c r="D99" s="174"/>
      <c r="E99" s="246">
        <f>'Unit Data from Audit Worksheet'!D99</f>
        <v>0</v>
      </c>
      <c r="F99" s="247" t="str">
        <f>'Unit Data from Audit Worksheet'!F99</f>
        <v>Required</v>
      </c>
      <c r="G99" s="168"/>
      <c r="H99" s="165"/>
      <c r="I99" s="22"/>
      <c r="J99" s="121">
        <v>962</v>
      </c>
      <c r="K99" s="248" t="s">
        <v>254</v>
      </c>
      <c r="L99" s="249">
        <f t="shared" si="7"/>
        <v>0</v>
      </c>
      <c r="N99" s="237"/>
      <c r="P99" s="150"/>
    </row>
    <row r="100" spans="1:28" ht="30.75" customHeight="1" x14ac:dyDescent="0.3">
      <c r="A100" s="245">
        <f>'Unit Data from Audit Worksheet'!A100</f>
        <v>964</v>
      </c>
      <c r="B100" s="118"/>
      <c r="C100" s="120" t="str">
        <f>'Unit Data from Audit Worksheet'!B100</f>
        <v>Date                        (Enter as "MM/DD/YYYY")</v>
      </c>
      <c r="D100" s="174"/>
      <c r="E100" s="250" t="str">
        <f>IF('Unit Data from Audit Worksheet'!D100&gt;0,'Unit Data from Audit Worksheet'!D100," ")</f>
        <v xml:space="preserve"> </v>
      </c>
      <c r="F100" s="247" t="str">
        <f>'Unit Data from Audit Worksheet'!F100</f>
        <v>Required</v>
      </c>
      <c r="G100" s="428"/>
      <c r="H100" s="165"/>
      <c r="I100" s="22"/>
      <c r="J100" s="121">
        <v>964</v>
      </c>
      <c r="K100" s="248" t="s">
        <v>292</v>
      </c>
      <c r="L100" s="251" t="str">
        <f t="shared" si="7"/>
        <v xml:space="preserve"> </v>
      </c>
      <c r="N100" s="217"/>
      <c r="P100" s="150"/>
    </row>
    <row r="101" spans="1:28" ht="30.75" customHeight="1" x14ac:dyDescent="0.3">
      <c r="A101" s="245">
        <f>'Unit Data from Audit Worksheet'!A101</f>
        <v>966</v>
      </c>
      <c r="B101" s="118"/>
      <c r="C101" s="119" t="s">
        <v>535</v>
      </c>
      <c r="D101" s="174"/>
      <c r="E101" s="427" t="str">
        <f>_xlfn.TEXTJOIN(",",,TEXT('Unit Data from Audit Worksheet'!D101,"###-###-####")," "&amp;'Unit Data from Audit Worksheet'!D102)</f>
        <v xml:space="preserve">--, </v>
      </c>
      <c r="F101" s="247" t="str">
        <f>'Unit Data from Audit Worksheet'!F101</f>
        <v>Required</v>
      </c>
      <c r="G101" s="168"/>
      <c r="H101" s="165"/>
      <c r="I101" s="22"/>
      <c r="J101" s="121">
        <v>966</v>
      </c>
      <c r="K101" s="248" t="s">
        <v>256</v>
      </c>
      <c r="L101" s="249" t="str">
        <f t="shared" si="7"/>
        <v xml:space="preserve">--, </v>
      </c>
      <c r="N101" s="217"/>
      <c r="P101" s="150"/>
    </row>
    <row r="102" spans="1:28" ht="30.75" customHeight="1" x14ac:dyDescent="0.3">
      <c r="A102" s="245">
        <f>'Unit Data from Audit Worksheet'!A103</f>
        <v>968</v>
      </c>
      <c r="B102" s="118"/>
      <c r="C102" s="119" t="str">
        <f>'Unit Data from Audit Worksheet'!B103</f>
        <v>E-mail address</v>
      </c>
      <c r="D102" s="174"/>
      <c r="E102" s="246">
        <f>'Unit Data from Audit Worksheet'!D103</f>
        <v>0</v>
      </c>
      <c r="F102" s="247" t="str">
        <f>'Unit Data from Audit Worksheet'!F103</f>
        <v>Required</v>
      </c>
      <c r="G102" s="168"/>
      <c r="H102" s="165"/>
      <c r="I102" s="22"/>
      <c r="J102" s="121">
        <v>968</v>
      </c>
      <c r="K102" s="248" t="s">
        <v>257</v>
      </c>
      <c r="L102" s="249">
        <f t="shared" si="7"/>
        <v>0</v>
      </c>
      <c r="N102" s="217"/>
      <c r="P102" s="150"/>
    </row>
    <row r="103" spans="1:28" ht="103.2" customHeight="1" x14ac:dyDescent="0.3">
      <c r="A103" s="252">
        <v>980</v>
      </c>
      <c r="B103" s="177" t="s">
        <v>310</v>
      </c>
      <c r="C103" s="526" t="str">
        <f>'TD Info Completed by Auditor'!B26</f>
        <v>Date the auditor presented or plans to present Financial Performance Indicators of Concern (FPIC) to the Governing Board.  If there are no FPICs to present to the governing board,  enter "7/1/2023" to indicate that a FPIC response is not required.</v>
      </c>
      <c r="D103" s="174"/>
      <c r="E103" s="527" t="str">
        <f>IF('TD Info Completed by Auditor'!C26&gt;0,'TD Info Completed by Auditor'!C26," ")</f>
        <v xml:space="preserve"> </v>
      </c>
      <c r="F103" s="253" t="s">
        <v>323</v>
      </c>
      <c r="G103" s="168"/>
      <c r="H103" s="165"/>
      <c r="I103" s="22"/>
      <c r="J103" s="182">
        <v>980</v>
      </c>
      <c r="K103" s="183" t="s">
        <v>308</v>
      </c>
      <c r="L103" s="254" t="str">
        <f t="shared" si="7"/>
        <v xml:space="preserve"> </v>
      </c>
      <c r="N103" s="217"/>
      <c r="P103" s="150"/>
    </row>
    <row r="104" spans="1:28" s="276" customFormat="1" ht="103.2" customHeight="1" x14ac:dyDescent="0.3">
      <c r="A104" s="662">
        <f>'TD Info Completed by Auditor'!A25</f>
        <v>1079</v>
      </c>
      <c r="B104" s="177"/>
      <c r="C104" s="526" t="str">
        <f>'TD Info Completed by Auditor'!B25</f>
        <v>What date was the audit report submitted to the LGC?  (Note audit reports are due four months after fiscal year end regardless of the contract submission date.)</v>
      </c>
      <c r="D104" s="174"/>
      <c r="E104" s="527">
        <f>'TD Info Completed by Auditor'!C25</f>
        <v>0</v>
      </c>
      <c r="F104" s="253"/>
      <c r="G104" s="168"/>
      <c r="H104" s="165"/>
      <c r="I104" s="22"/>
      <c r="J104" s="182">
        <v>1079</v>
      </c>
      <c r="K104" s="183" t="s">
        <v>827</v>
      </c>
      <c r="L104" s="663">
        <f>E104</f>
        <v>0</v>
      </c>
      <c r="M104" s="129"/>
      <c r="N104" s="217"/>
      <c r="P104" s="150"/>
      <c r="Q104" s="129"/>
      <c r="R104" s="129"/>
      <c r="S104" s="129"/>
      <c r="T104" s="129"/>
      <c r="U104" s="129"/>
      <c r="V104" s="129"/>
      <c r="W104" s="129"/>
      <c r="X104" s="129"/>
      <c r="Y104" s="129"/>
      <c r="Z104" s="129"/>
      <c r="AA104" s="129"/>
      <c r="AB104" s="129"/>
    </row>
    <row r="105" spans="1:28" ht="63.6" customHeight="1" x14ac:dyDescent="0.3">
      <c r="A105" s="228"/>
      <c r="B105" s="60"/>
      <c r="C105" s="229"/>
      <c r="D105" s="230"/>
      <c r="E105" s="231"/>
      <c r="F105" s="232"/>
      <c r="G105" s="233"/>
      <c r="H105" s="234"/>
      <c r="I105" s="22"/>
      <c r="J105" s="111">
        <v>999</v>
      </c>
      <c r="K105" s="241" t="s">
        <v>182</v>
      </c>
      <c r="L105" s="528" t="e">
        <f>'Unit Data from Audit Worksheet'!D3</f>
        <v>#N/A</v>
      </c>
      <c r="N105" s="255" t="s">
        <v>836</v>
      </c>
      <c r="P105" s="150"/>
    </row>
    <row r="106" spans="1:28" customFormat="1" ht="33" customHeight="1" x14ac:dyDescent="0.3"/>
    <row r="107" spans="1:28" customFormat="1" ht="33" customHeight="1" x14ac:dyDescent="0.3"/>
    <row r="108" spans="1:28" ht="29.4" customHeight="1" x14ac:dyDescent="0.3">
      <c r="C108" s="483"/>
      <c r="D108" s="257"/>
      <c r="E108" s="258"/>
      <c r="F108" s="258"/>
      <c r="G108" s="259"/>
      <c r="H108" s="258"/>
      <c r="I108" s="137"/>
      <c r="K108" s="499" t="s">
        <v>551</v>
      </c>
      <c r="L108" s="500" t="e">
        <f>SUM(L4:L91)</f>
        <v>#N/A</v>
      </c>
      <c r="N108" s="3"/>
      <c r="P108" s="150"/>
    </row>
    <row r="109" spans="1:28" s="276" customFormat="1" ht="27.6" customHeight="1" x14ac:dyDescent="0.35">
      <c r="A109" s="101" t="s">
        <v>234</v>
      </c>
      <c r="B109" s="102"/>
      <c r="C109" s="103"/>
      <c r="D109" s="104"/>
      <c r="E109" s="105"/>
      <c r="F109" s="258"/>
      <c r="G109" s="259"/>
      <c r="H109" s="258"/>
      <c r="I109" s="137"/>
      <c r="J109" s="4"/>
      <c r="K109" s="501" t="s">
        <v>547</v>
      </c>
      <c r="L109" s="500"/>
      <c r="M109"/>
      <c r="N109" s="3"/>
      <c r="P109" s="150"/>
      <c r="Q109"/>
      <c r="R109"/>
      <c r="S109"/>
      <c r="T109"/>
      <c r="U109"/>
      <c r="V109"/>
      <c r="W109"/>
      <c r="X109"/>
      <c r="Y109"/>
      <c r="Z109"/>
      <c r="AA109"/>
      <c r="AB109"/>
    </row>
    <row r="110" spans="1:28" ht="36.6" x14ac:dyDescent="0.7">
      <c r="A110" s="155"/>
      <c r="B110" s="155"/>
      <c r="C110" s="53"/>
      <c r="D110" s="52"/>
      <c r="E110" s="63"/>
      <c r="F110" s="52"/>
      <c r="G110" s="259"/>
      <c r="H110" s="258"/>
      <c r="I110" s="260"/>
      <c r="J110" s="95"/>
      <c r="K110" s="94"/>
      <c r="L110" s="500" t="e">
        <f>L108-L109</f>
        <v>#N/A</v>
      </c>
      <c r="N110" s="3"/>
      <c r="P110" s="150"/>
    </row>
    <row r="111" spans="1:28" x14ac:dyDescent="0.3">
      <c r="A111" s="137"/>
      <c r="B111" s="137"/>
      <c r="C111" s="137"/>
      <c r="D111" s="137"/>
      <c r="E111" s="137"/>
      <c r="F111" s="258"/>
      <c r="G111" s="259"/>
      <c r="H111" s="258"/>
      <c r="I111" s="260"/>
      <c r="K111" s="8"/>
      <c r="L111" s="261"/>
      <c r="N111" s="3"/>
      <c r="P111" s="150"/>
    </row>
    <row r="112" spans="1:28" ht="117" customHeight="1" x14ac:dyDescent="0.3">
      <c r="A112" s="137"/>
      <c r="B112" s="137"/>
      <c r="C112" s="137"/>
      <c r="D112" s="137"/>
      <c r="E112" s="137"/>
      <c r="F112" s="258"/>
      <c r="G112" s="259"/>
      <c r="H112" s="258"/>
      <c r="I112" s="260"/>
      <c r="K112" s="8"/>
      <c r="L112" s="261"/>
      <c r="N112" s="3"/>
      <c r="P112" s="150"/>
    </row>
    <row r="113" spans="1:16" ht="25.2" customHeight="1" x14ac:dyDescent="0.3">
      <c r="A113" s="137"/>
      <c r="B113" s="137"/>
      <c r="C113" s="137"/>
      <c r="D113" s="137"/>
      <c r="E113" s="137"/>
      <c r="F113" s="258"/>
      <c r="G113" s="259"/>
      <c r="H113" s="258"/>
      <c r="I113" s="260"/>
      <c r="K113" s="8"/>
      <c r="L113" s="261"/>
      <c r="P113" s="150"/>
    </row>
    <row r="114" spans="1:16" x14ac:dyDescent="0.3">
      <c r="A114" s="137"/>
      <c r="B114" s="137"/>
      <c r="C114" s="137"/>
      <c r="D114" s="137"/>
      <c r="E114" s="137"/>
      <c r="F114" s="258"/>
      <c r="G114" s="259"/>
      <c r="H114" s="258"/>
      <c r="I114" s="260"/>
      <c r="K114" s="8"/>
      <c r="L114" s="261"/>
      <c r="P114" s="150"/>
    </row>
    <row r="115" spans="1:16" ht="18.75" customHeight="1" x14ac:dyDescent="0.3">
      <c r="A115" s="137"/>
      <c r="B115" s="137"/>
      <c r="C115" s="137"/>
      <c r="D115" s="137"/>
      <c r="E115" s="137"/>
      <c r="F115" s="258"/>
      <c r="G115" s="259"/>
      <c r="H115" s="258"/>
      <c r="I115" s="260"/>
      <c r="K115" s="8"/>
      <c r="L115" s="261"/>
      <c r="P115" s="150"/>
    </row>
    <row r="116" spans="1:16" ht="30.75" customHeight="1" x14ac:dyDescent="0.3">
      <c r="A116" s="137"/>
      <c r="B116" s="137"/>
      <c r="C116" s="137"/>
      <c r="D116" s="137"/>
      <c r="E116" s="137"/>
      <c r="F116" s="258"/>
      <c r="G116" s="259"/>
      <c r="H116" s="258"/>
      <c r="I116" s="260"/>
      <c r="K116" s="8"/>
      <c r="L116" s="261"/>
      <c r="P116" s="150"/>
    </row>
    <row r="117" spans="1:16" ht="30.75" customHeight="1" x14ac:dyDescent="0.3">
      <c r="A117" s="137"/>
      <c r="B117" s="137"/>
      <c r="C117" s="137"/>
      <c r="D117" s="137"/>
      <c r="E117" s="137"/>
      <c r="F117" s="258"/>
      <c r="G117" s="259"/>
      <c r="H117" s="258"/>
      <c r="I117" s="260"/>
      <c r="K117" s="8"/>
      <c r="L117" s="261"/>
      <c r="P117" s="150"/>
    </row>
    <row r="118" spans="1:16" ht="30.75" customHeight="1" x14ac:dyDescent="0.3">
      <c r="A118" s="137"/>
      <c r="B118" s="137"/>
      <c r="C118" s="137"/>
      <c r="D118" s="137"/>
      <c r="E118" s="137"/>
      <c r="F118" s="258"/>
      <c r="G118" s="259"/>
      <c r="H118" s="258"/>
      <c r="I118" s="260"/>
      <c r="K118" s="8"/>
      <c r="L118" s="261"/>
      <c r="P118" s="150"/>
    </row>
    <row r="119" spans="1:16" ht="30.75" customHeight="1" x14ac:dyDescent="0.3">
      <c r="A119" s="137"/>
      <c r="B119" s="137"/>
      <c r="C119" s="137"/>
      <c r="D119" s="137"/>
      <c r="E119" s="137"/>
      <c r="I119" s="260"/>
      <c r="K119" s="8"/>
      <c r="L119" s="261"/>
      <c r="P119" s="150"/>
    </row>
    <row r="120" spans="1:16" ht="30.75" customHeight="1" x14ac:dyDescent="0.3">
      <c r="A120" s="137"/>
      <c r="B120" s="137"/>
      <c r="C120" s="137"/>
      <c r="D120" s="137"/>
      <c r="E120" s="137"/>
      <c r="I120" s="260"/>
      <c r="L120" s="261"/>
      <c r="P120" s="150"/>
    </row>
    <row r="121" spans="1:16" x14ac:dyDescent="0.3">
      <c r="A121" s="4"/>
      <c r="B121" s="262"/>
      <c r="C121" s="19"/>
      <c r="D121" s="51"/>
      <c r="I121" s="260"/>
      <c r="L121" s="261"/>
      <c r="P121" s="150"/>
    </row>
    <row r="122" spans="1:16" x14ac:dyDescent="0.3">
      <c r="A122" s="4"/>
      <c r="B122" s="262"/>
      <c r="C122" s="19"/>
      <c r="D122" s="51"/>
      <c r="I122" s="260"/>
      <c r="L122" s="261"/>
      <c r="P122" s="150"/>
    </row>
    <row r="123" spans="1:16" x14ac:dyDescent="0.3">
      <c r="D123" s="51"/>
      <c r="I123" s="260"/>
      <c r="P123" s="150"/>
    </row>
    <row r="124" spans="1:16" x14ac:dyDescent="0.3">
      <c r="D124" s="51"/>
      <c r="P124" s="150"/>
    </row>
    <row r="125" spans="1:16" x14ac:dyDescent="0.3">
      <c r="D125" s="51"/>
      <c r="P125" s="150"/>
    </row>
    <row r="126" spans="1:16" x14ac:dyDescent="0.3">
      <c r="D126" s="51"/>
      <c r="P126" s="150"/>
    </row>
    <row r="127" spans="1:16" x14ac:dyDescent="0.3">
      <c r="A127" s="4"/>
      <c r="B127" s="262"/>
      <c r="C127" s="19"/>
      <c r="D127" s="51"/>
      <c r="P127" s="150"/>
    </row>
    <row r="128" spans="1:16" x14ac:dyDescent="0.3">
      <c r="A128" s="4"/>
      <c r="B128" s="262"/>
      <c r="C128" s="19"/>
      <c r="D128" s="51"/>
      <c r="P128" s="150"/>
    </row>
    <row r="129" spans="1:16" x14ac:dyDescent="0.3">
      <c r="D129" s="51"/>
      <c r="P129" s="150"/>
    </row>
    <row r="130" spans="1:16" x14ac:dyDescent="0.3">
      <c r="D130" s="51"/>
      <c r="P130" s="150"/>
    </row>
    <row r="131" spans="1:16" x14ac:dyDescent="0.3">
      <c r="D131" s="51"/>
      <c r="P131" s="150"/>
    </row>
    <row r="132" spans="1:16" x14ac:dyDescent="0.3">
      <c r="D132" s="51"/>
      <c r="P132" s="150"/>
    </row>
    <row r="133" spans="1:16" x14ac:dyDescent="0.3">
      <c r="A133" s="4"/>
      <c r="B133" s="262"/>
      <c r="C133" s="19"/>
      <c r="D133" s="51"/>
      <c r="P133" s="150"/>
    </row>
    <row r="134" spans="1:16" x14ac:dyDescent="0.3">
      <c r="A134" s="4"/>
      <c r="B134" s="262"/>
      <c r="C134" s="19"/>
      <c r="D134" s="51"/>
      <c r="P134" s="150"/>
    </row>
    <row r="135" spans="1:16" x14ac:dyDescent="0.3">
      <c r="D135" s="51"/>
      <c r="P135" s="150"/>
    </row>
    <row r="136" spans="1:16" x14ac:dyDescent="0.3">
      <c r="D136" s="51"/>
      <c r="P136" s="150"/>
    </row>
    <row r="137" spans="1:16" x14ac:dyDescent="0.3">
      <c r="D137" s="51"/>
      <c r="P137" s="150"/>
    </row>
    <row r="138" spans="1:16" x14ac:dyDescent="0.3">
      <c r="D138" s="51"/>
      <c r="P138" s="150"/>
    </row>
    <row r="139" spans="1:16" x14ac:dyDescent="0.3">
      <c r="A139" s="4"/>
      <c r="B139" s="262"/>
      <c r="C139" s="19"/>
      <c r="D139" s="51"/>
      <c r="P139" s="150"/>
    </row>
    <row r="140" spans="1:16" x14ac:dyDescent="0.3">
      <c r="A140" s="4"/>
      <c r="B140" s="262"/>
      <c r="C140" s="19"/>
      <c r="D140" s="51"/>
      <c r="P140" s="150"/>
    </row>
    <row r="141" spans="1:16" x14ac:dyDescent="0.3">
      <c r="A141" s="4"/>
      <c r="B141" s="262"/>
      <c r="C141" s="19"/>
      <c r="D141" s="51"/>
      <c r="P141" s="150"/>
    </row>
    <row r="142" spans="1:16" x14ac:dyDescent="0.3">
      <c r="A142" s="4"/>
      <c r="B142" s="262"/>
      <c r="C142" s="19"/>
      <c r="D142" s="51"/>
      <c r="P142" s="150"/>
    </row>
    <row r="143" spans="1:16" x14ac:dyDescent="0.3">
      <c r="D143" s="51"/>
      <c r="P143" s="150"/>
    </row>
    <row r="144" spans="1:16" x14ac:dyDescent="0.3">
      <c r="D144" s="51"/>
      <c r="P144" s="150"/>
    </row>
    <row r="145" spans="1:16" x14ac:dyDescent="0.3">
      <c r="D145" s="51"/>
      <c r="P145" s="150"/>
    </row>
    <row r="146" spans="1:16" x14ac:dyDescent="0.3">
      <c r="A146" s="4"/>
      <c r="B146" s="262"/>
      <c r="C146" s="19"/>
      <c r="D146" s="51"/>
      <c r="P146" s="150"/>
    </row>
    <row r="147" spans="1:16" x14ac:dyDescent="0.3">
      <c r="A147" s="4"/>
      <c r="B147" s="262"/>
      <c r="C147" s="19"/>
      <c r="D147" s="51"/>
      <c r="P147" s="150"/>
    </row>
    <row r="148" spans="1:16" x14ac:dyDescent="0.3">
      <c r="A148" s="4"/>
      <c r="B148" s="262"/>
      <c r="C148" s="19"/>
      <c r="D148" s="51"/>
      <c r="P148" s="150"/>
    </row>
    <row r="149" spans="1:16" x14ac:dyDescent="0.3">
      <c r="A149" s="4"/>
      <c r="B149" s="262"/>
      <c r="C149" s="19"/>
      <c r="D149" s="51"/>
      <c r="P149" s="150"/>
    </row>
    <row r="150" spans="1:16" x14ac:dyDescent="0.3">
      <c r="A150" s="4"/>
      <c r="B150" s="262"/>
      <c r="C150" s="19"/>
      <c r="D150" s="51"/>
      <c r="P150" s="150"/>
    </row>
    <row r="151" spans="1:16" x14ac:dyDescent="0.3">
      <c r="A151" s="4"/>
      <c r="B151" s="262"/>
      <c r="C151" s="19"/>
      <c r="D151" s="51"/>
      <c r="P151" s="150"/>
    </row>
    <row r="152" spans="1:16" x14ac:dyDescent="0.3">
      <c r="A152" s="4"/>
      <c r="B152" s="262"/>
      <c r="C152" s="19"/>
      <c r="D152" s="51"/>
      <c r="P152" s="150"/>
    </row>
    <row r="153" spans="1:16" x14ac:dyDescent="0.3">
      <c r="A153" s="4"/>
      <c r="B153" s="262"/>
      <c r="C153" s="19"/>
      <c r="D153" s="51"/>
      <c r="P153" s="150"/>
    </row>
    <row r="154" spans="1:16" x14ac:dyDescent="0.3">
      <c r="A154" s="4"/>
      <c r="B154" s="262"/>
      <c r="C154" s="19"/>
      <c r="D154" s="51"/>
      <c r="P154" s="150"/>
    </row>
    <row r="155" spans="1:16" x14ac:dyDescent="0.3">
      <c r="A155" s="4"/>
      <c r="B155" s="262"/>
      <c r="C155" s="19"/>
      <c r="D155" s="51"/>
      <c r="P155" s="150"/>
    </row>
    <row r="156" spans="1:16" x14ac:dyDescent="0.3">
      <c r="A156" s="4"/>
      <c r="B156" s="262"/>
      <c r="C156" s="19"/>
      <c r="D156" s="51"/>
      <c r="P156" s="150"/>
    </row>
    <row r="157" spans="1:16" x14ac:dyDescent="0.3">
      <c r="A157" s="4"/>
      <c r="B157" s="262"/>
      <c r="C157" s="19"/>
      <c r="D157" s="51"/>
      <c r="P157" s="150"/>
    </row>
    <row r="158" spans="1:16" x14ac:dyDescent="0.3">
      <c r="A158" s="4"/>
      <c r="B158" s="262"/>
      <c r="C158" s="19"/>
      <c r="D158" s="51"/>
      <c r="P158" s="150"/>
    </row>
    <row r="159" spans="1:16" x14ac:dyDescent="0.3">
      <c r="A159" s="4"/>
      <c r="B159" s="262"/>
      <c r="C159" s="19"/>
      <c r="D159" s="51"/>
      <c r="P159" s="150"/>
    </row>
    <row r="160" spans="1:16" x14ac:dyDescent="0.3">
      <c r="A160" s="4"/>
      <c r="B160" s="262"/>
      <c r="C160" s="19"/>
      <c r="D160" s="51"/>
      <c r="P160" s="150"/>
    </row>
    <row r="161" spans="1:16" x14ac:dyDescent="0.3">
      <c r="A161" s="4"/>
      <c r="B161" s="262"/>
      <c r="C161" s="19"/>
      <c r="D161" s="51"/>
      <c r="P161" s="150"/>
    </row>
    <row r="162" spans="1:16" x14ac:dyDescent="0.3">
      <c r="A162" s="4"/>
      <c r="B162" s="262"/>
      <c r="C162" s="19"/>
      <c r="D162" s="51"/>
      <c r="P162" s="150"/>
    </row>
    <row r="163" spans="1:16" x14ac:dyDescent="0.3">
      <c r="A163" s="4"/>
      <c r="B163" s="262"/>
      <c r="C163" s="19"/>
      <c r="D163" s="51"/>
      <c r="P163" s="150"/>
    </row>
    <row r="164" spans="1:16" x14ac:dyDescent="0.3">
      <c r="A164" s="4"/>
      <c r="B164" s="262"/>
      <c r="C164" s="19"/>
      <c r="D164" s="51"/>
      <c r="P164" s="150"/>
    </row>
    <row r="165" spans="1:16" x14ac:dyDescent="0.3">
      <c r="A165" s="4"/>
      <c r="B165" s="262"/>
      <c r="C165" s="19"/>
      <c r="D165" s="51"/>
      <c r="P165" s="150"/>
    </row>
    <row r="166" spans="1:16" x14ac:dyDescent="0.3">
      <c r="A166" s="4"/>
      <c r="B166" s="262"/>
      <c r="C166" s="19"/>
      <c r="D166" s="51"/>
      <c r="P166" s="150"/>
    </row>
    <row r="167" spans="1:16" x14ac:dyDescent="0.3">
      <c r="A167" s="4"/>
      <c r="B167" s="262"/>
      <c r="C167" s="19"/>
      <c r="D167" s="51"/>
      <c r="P167" s="150"/>
    </row>
    <row r="168" spans="1:16" x14ac:dyDescent="0.3">
      <c r="A168" s="4"/>
      <c r="B168" s="262"/>
      <c r="C168" s="19"/>
      <c r="D168" s="51"/>
      <c r="P168" s="150"/>
    </row>
    <row r="169" spans="1:16" x14ac:dyDescent="0.3">
      <c r="A169" s="4"/>
      <c r="B169" s="262"/>
      <c r="C169" s="19"/>
      <c r="D169" s="51"/>
      <c r="P169" s="150"/>
    </row>
    <row r="170" spans="1:16" x14ac:dyDescent="0.3">
      <c r="A170" s="4"/>
      <c r="B170" s="262"/>
      <c r="C170" s="19"/>
      <c r="D170" s="51"/>
      <c r="P170" s="150"/>
    </row>
    <row r="171" spans="1:16" x14ac:dyDescent="0.3">
      <c r="A171" s="4"/>
      <c r="B171" s="262"/>
      <c r="C171" s="19"/>
      <c r="D171" s="51"/>
      <c r="P171" s="150"/>
    </row>
    <row r="172" spans="1:16" x14ac:dyDescent="0.3">
      <c r="A172" s="4"/>
      <c r="B172" s="262"/>
      <c r="C172" s="19"/>
      <c r="D172" s="51"/>
      <c r="P172" s="150"/>
    </row>
    <row r="173" spans="1:16" x14ac:dyDescent="0.3">
      <c r="A173" s="4"/>
      <c r="B173" s="262"/>
      <c r="C173" s="19"/>
      <c r="D173" s="51"/>
      <c r="P173" s="150"/>
    </row>
    <row r="174" spans="1:16" x14ac:dyDescent="0.3">
      <c r="A174" s="4"/>
      <c r="B174" s="262"/>
      <c r="C174" s="19"/>
      <c r="D174" s="51"/>
      <c r="P174" s="150"/>
    </row>
    <row r="175" spans="1:16" x14ac:dyDescent="0.3">
      <c r="A175" s="4"/>
      <c r="B175" s="262"/>
      <c r="C175" s="19"/>
      <c r="D175" s="51"/>
      <c r="P175" s="150"/>
    </row>
    <row r="176" spans="1:16" x14ac:dyDescent="0.3">
      <c r="A176" s="4"/>
      <c r="B176" s="262"/>
      <c r="C176" s="19"/>
      <c r="D176" s="51"/>
      <c r="P176" s="150"/>
    </row>
    <row r="177" spans="1:16" x14ac:dyDescent="0.3">
      <c r="A177" s="4"/>
      <c r="B177" s="262"/>
      <c r="C177" s="19"/>
      <c r="D177" s="51"/>
      <c r="P177" s="150"/>
    </row>
    <row r="178" spans="1:16" x14ac:dyDescent="0.3">
      <c r="A178" s="4"/>
      <c r="B178" s="262"/>
      <c r="C178" s="19"/>
      <c r="D178" s="51"/>
      <c r="P178" s="150"/>
    </row>
    <row r="179" spans="1:16" x14ac:dyDescent="0.3">
      <c r="A179" s="4"/>
      <c r="B179" s="262"/>
      <c r="C179" s="19"/>
      <c r="D179" s="51"/>
      <c r="P179" s="150"/>
    </row>
    <row r="180" spans="1:16" x14ac:dyDescent="0.3">
      <c r="A180" s="4"/>
      <c r="B180" s="262"/>
      <c r="C180" s="19"/>
      <c r="D180" s="51"/>
      <c r="P180" s="150"/>
    </row>
    <row r="181" spans="1:16" x14ac:dyDescent="0.3">
      <c r="A181" s="4"/>
      <c r="B181" s="262"/>
      <c r="C181" s="19"/>
      <c r="D181" s="51"/>
      <c r="P181" s="150"/>
    </row>
    <row r="182" spans="1:16" x14ac:dyDescent="0.3">
      <c r="A182" s="4"/>
      <c r="B182" s="262"/>
      <c r="C182" s="19"/>
      <c r="D182" s="51"/>
      <c r="P182" s="150"/>
    </row>
    <row r="183" spans="1:16" x14ac:dyDescent="0.3">
      <c r="A183" s="4"/>
      <c r="B183" s="262"/>
      <c r="C183" s="19"/>
      <c r="D183" s="51"/>
      <c r="P183" s="150"/>
    </row>
    <row r="184" spans="1:16" x14ac:dyDescent="0.3">
      <c r="A184" s="4"/>
      <c r="B184" s="262"/>
      <c r="C184" s="19"/>
      <c r="D184" s="51"/>
      <c r="P184" s="150"/>
    </row>
    <row r="185" spans="1:16" x14ac:dyDescent="0.3">
      <c r="A185" s="4"/>
      <c r="B185" s="262"/>
      <c r="C185" s="19"/>
      <c r="D185" s="51"/>
      <c r="P185" s="150"/>
    </row>
    <row r="186" spans="1:16" x14ac:dyDescent="0.3">
      <c r="A186" s="4"/>
      <c r="B186" s="262"/>
      <c r="C186" s="19"/>
      <c r="D186" s="51"/>
      <c r="P186" s="150"/>
    </row>
    <row r="187" spans="1:16" x14ac:dyDescent="0.3">
      <c r="A187" s="4"/>
      <c r="B187" s="262"/>
      <c r="C187" s="19"/>
      <c r="D187" s="51"/>
      <c r="P187" s="150"/>
    </row>
    <row r="188" spans="1:16" x14ac:dyDescent="0.3">
      <c r="A188" s="4"/>
      <c r="B188" s="262"/>
      <c r="C188" s="19"/>
      <c r="D188" s="51"/>
      <c r="P188" s="150"/>
    </row>
    <row r="189" spans="1:16" x14ac:dyDescent="0.3">
      <c r="A189" s="4"/>
      <c r="B189" s="262"/>
      <c r="C189" s="19"/>
      <c r="D189" s="51"/>
      <c r="P189" s="150"/>
    </row>
    <row r="190" spans="1:16" x14ac:dyDescent="0.3">
      <c r="A190" s="4"/>
      <c r="B190" s="262"/>
      <c r="C190" s="19"/>
      <c r="D190" s="51"/>
      <c r="P190" s="150"/>
    </row>
    <row r="191" spans="1:16" x14ac:dyDescent="0.3">
      <c r="A191" s="4"/>
      <c r="B191" s="262"/>
      <c r="C191" s="19"/>
      <c r="D191" s="51"/>
      <c r="P191" s="150"/>
    </row>
    <row r="192" spans="1:16" x14ac:dyDescent="0.3">
      <c r="A192" s="4"/>
      <c r="B192" s="262"/>
      <c r="C192" s="19"/>
      <c r="D192" s="51"/>
      <c r="P192" s="150"/>
    </row>
    <row r="193" spans="1:16" x14ac:dyDescent="0.3">
      <c r="A193" s="4"/>
      <c r="B193" s="262"/>
      <c r="C193" s="19"/>
      <c r="D193" s="51"/>
      <c r="P193" s="150"/>
    </row>
    <row r="194" spans="1:16" x14ac:dyDescent="0.3">
      <c r="A194" s="4"/>
      <c r="B194" s="262"/>
      <c r="C194" s="19"/>
      <c r="D194" s="51"/>
      <c r="P194" s="150"/>
    </row>
    <row r="195" spans="1:16" x14ac:dyDescent="0.3">
      <c r="A195" s="4"/>
      <c r="B195" s="262"/>
      <c r="C195" s="19"/>
      <c r="D195" s="51"/>
      <c r="P195" s="150"/>
    </row>
    <row r="196" spans="1:16" x14ac:dyDescent="0.3">
      <c r="A196" s="4"/>
      <c r="B196" s="262"/>
      <c r="C196" s="19"/>
      <c r="D196" s="51"/>
      <c r="P196" s="150"/>
    </row>
    <row r="197" spans="1:16" x14ac:dyDescent="0.3">
      <c r="A197" s="4"/>
      <c r="B197" s="262"/>
      <c r="C197" s="19"/>
      <c r="D197" s="51"/>
      <c r="P197" s="150"/>
    </row>
    <row r="198" spans="1:16" x14ac:dyDescent="0.3">
      <c r="A198" s="4"/>
      <c r="B198" s="262"/>
      <c r="C198" s="19"/>
      <c r="D198" s="51"/>
      <c r="P198" s="150"/>
    </row>
    <row r="199" spans="1:16" x14ac:dyDescent="0.3">
      <c r="A199" s="4"/>
      <c r="B199" s="262"/>
      <c r="C199" s="19"/>
      <c r="D199" s="51"/>
      <c r="P199" s="150"/>
    </row>
    <row r="200" spans="1:16" x14ac:dyDescent="0.3">
      <c r="A200" s="4"/>
      <c r="B200" s="262"/>
      <c r="C200" s="19"/>
      <c r="D200" s="51"/>
      <c r="P200" s="150"/>
    </row>
    <row r="201" spans="1:16" x14ac:dyDescent="0.3">
      <c r="A201" s="4"/>
      <c r="B201" s="262"/>
      <c r="C201" s="19"/>
      <c r="D201" s="51"/>
      <c r="P201" s="150"/>
    </row>
    <row r="202" spans="1:16" x14ac:dyDescent="0.3">
      <c r="A202" s="4"/>
      <c r="B202" s="262"/>
      <c r="C202" s="19"/>
      <c r="D202" s="51"/>
      <c r="P202" s="150"/>
    </row>
    <row r="203" spans="1:16" x14ac:dyDescent="0.3">
      <c r="A203" s="4"/>
      <c r="B203" s="262"/>
      <c r="C203" s="19"/>
      <c r="D203" s="51"/>
      <c r="P203" s="150"/>
    </row>
    <row r="204" spans="1:16" x14ac:dyDescent="0.3">
      <c r="A204" s="4"/>
      <c r="B204" s="262"/>
      <c r="C204" s="19"/>
      <c r="D204" s="51"/>
      <c r="P204" s="150"/>
    </row>
    <row r="205" spans="1:16" x14ac:dyDescent="0.3">
      <c r="A205" s="4"/>
      <c r="B205" s="262"/>
      <c r="C205" s="19"/>
      <c r="D205" s="51"/>
      <c r="P205" s="150"/>
    </row>
    <row r="206" spans="1:16" x14ac:dyDescent="0.3">
      <c r="A206" s="4"/>
      <c r="B206" s="262"/>
      <c r="C206" s="19"/>
      <c r="D206" s="51"/>
      <c r="P206" s="150"/>
    </row>
    <row r="207" spans="1:16" x14ac:dyDescent="0.3">
      <c r="A207" s="4"/>
      <c r="B207" s="262"/>
      <c r="C207" s="19"/>
      <c r="D207" s="51"/>
      <c r="P207" s="150"/>
    </row>
    <row r="208" spans="1:16" x14ac:dyDescent="0.3">
      <c r="A208" s="4"/>
      <c r="B208" s="262"/>
      <c r="C208" s="19"/>
      <c r="D208" s="51"/>
      <c r="P208" s="150"/>
    </row>
    <row r="209" spans="1:16" x14ac:dyDescent="0.3">
      <c r="A209" s="4"/>
      <c r="B209" s="262"/>
      <c r="C209" s="19"/>
      <c r="D209" s="51"/>
      <c r="P209" s="150"/>
    </row>
    <row r="210" spans="1:16" x14ac:dyDescent="0.3">
      <c r="A210" s="4"/>
      <c r="B210" s="262"/>
      <c r="C210" s="19"/>
      <c r="D210" s="51"/>
      <c r="P210" s="150"/>
    </row>
    <row r="211" spans="1:16" x14ac:dyDescent="0.3">
      <c r="A211" s="4"/>
      <c r="B211" s="262"/>
      <c r="C211" s="19"/>
      <c r="D211" s="51"/>
      <c r="P211" s="150"/>
    </row>
    <row r="212" spans="1:16" x14ac:dyDescent="0.3">
      <c r="A212" s="4"/>
      <c r="B212" s="262"/>
      <c r="C212" s="19"/>
      <c r="D212" s="51"/>
      <c r="P212" s="150"/>
    </row>
    <row r="213" spans="1:16" x14ac:dyDescent="0.3">
      <c r="A213" s="4"/>
      <c r="B213" s="262"/>
      <c r="C213" s="19"/>
      <c r="D213" s="51"/>
      <c r="P213" s="150"/>
    </row>
    <row r="214" spans="1:16" x14ac:dyDescent="0.3">
      <c r="A214" s="4"/>
      <c r="B214" s="262"/>
      <c r="C214" s="19"/>
      <c r="D214" s="51"/>
      <c r="P214" s="150"/>
    </row>
    <row r="215" spans="1:16" x14ac:dyDescent="0.3">
      <c r="A215" s="4"/>
      <c r="B215" s="262"/>
      <c r="C215" s="19"/>
      <c r="D215" s="51"/>
      <c r="P215" s="150"/>
    </row>
    <row r="216" spans="1:16" x14ac:dyDescent="0.3">
      <c r="A216" s="4"/>
      <c r="B216" s="262"/>
      <c r="C216" s="19"/>
      <c r="D216" s="51"/>
      <c r="P216" s="150"/>
    </row>
    <row r="217" spans="1:16" x14ac:dyDescent="0.3">
      <c r="A217" s="4"/>
      <c r="B217" s="262"/>
      <c r="C217" s="19"/>
      <c r="D217" s="51"/>
      <c r="P217" s="150"/>
    </row>
    <row r="218" spans="1:16" x14ac:dyDescent="0.3">
      <c r="A218" s="4"/>
      <c r="B218" s="262"/>
      <c r="C218" s="19"/>
      <c r="D218" s="51"/>
      <c r="P218" s="150"/>
    </row>
    <row r="219" spans="1:16" x14ac:dyDescent="0.3">
      <c r="A219" s="4"/>
      <c r="B219" s="262"/>
      <c r="C219" s="19"/>
      <c r="D219" s="51"/>
      <c r="P219" s="150"/>
    </row>
    <row r="220" spans="1:16" x14ac:dyDescent="0.3">
      <c r="A220" s="4"/>
      <c r="B220" s="262"/>
      <c r="C220" s="19"/>
      <c r="D220" s="51"/>
      <c r="P220" s="150"/>
    </row>
    <row r="221" spans="1:16" x14ac:dyDescent="0.3">
      <c r="A221" s="4"/>
      <c r="B221" s="262"/>
      <c r="C221" s="19"/>
      <c r="D221" s="51"/>
      <c r="P221" s="150"/>
    </row>
    <row r="222" spans="1:16" x14ac:dyDescent="0.3">
      <c r="A222" s="4"/>
      <c r="B222" s="262"/>
      <c r="C222" s="19"/>
      <c r="D222" s="51"/>
      <c r="P222" s="150"/>
    </row>
    <row r="223" spans="1:16" x14ac:dyDescent="0.3">
      <c r="A223" s="4"/>
      <c r="B223" s="262"/>
      <c r="C223" s="19"/>
      <c r="D223" s="51"/>
      <c r="P223" s="150"/>
    </row>
    <row r="224" spans="1:16" x14ac:dyDescent="0.3">
      <c r="A224" s="4"/>
      <c r="B224" s="262"/>
      <c r="C224" s="19"/>
      <c r="D224" s="51"/>
      <c r="P224" s="150"/>
    </row>
    <row r="225" spans="1:16" x14ac:dyDescent="0.3">
      <c r="A225" s="4"/>
      <c r="B225" s="262"/>
      <c r="C225" s="19"/>
      <c r="D225" s="51"/>
      <c r="P225" s="150"/>
    </row>
    <row r="226" spans="1:16" x14ac:dyDescent="0.3">
      <c r="A226" s="4"/>
      <c r="B226" s="262"/>
      <c r="C226" s="19"/>
      <c r="D226" s="51"/>
    </row>
    <row r="227" spans="1:16" x14ac:dyDescent="0.3">
      <c r="A227" s="4"/>
      <c r="B227" s="262"/>
      <c r="C227" s="19"/>
      <c r="D227" s="51"/>
      <c r="P227" s="150"/>
    </row>
    <row r="228" spans="1:16" x14ac:dyDescent="0.3">
      <c r="A228" s="4"/>
      <c r="B228" s="262"/>
      <c r="C228" s="19"/>
      <c r="D228" s="51"/>
    </row>
    <row r="229" spans="1:16" x14ac:dyDescent="0.3">
      <c r="A229" s="4"/>
      <c r="B229" s="262"/>
      <c r="C229" s="19"/>
      <c r="D229" s="51"/>
    </row>
    <row r="230" spans="1:16" x14ac:dyDescent="0.3">
      <c r="A230" s="4"/>
      <c r="B230" s="262"/>
      <c r="C230" s="19"/>
      <c r="D230" s="51"/>
    </row>
    <row r="231" spans="1:16" x14ac:dyDescent="0.3">
      <c r="A231" s="4"/>
      <c r="B231" s="262"/>
      <c r="C231" s="19"/>
      <c r="D231" s="51"/>
    </row>
    <row r="232" spans="1:16" x14ac:dyDescent="0.3">
      <c r="A232" s="4"/>
      <c r="B232" s="262"/>
      <c r="C232" s="19"/>
      <c r="D232" s="51"/>
    </row>
    <row r="233" spans="1:16" x14ac:dyDescent="0.3">
      <c r="A233" s="4"/>
      <c r="B233" s="262"/>
      <c r="C233" s="19"/>
      <c r="D233" s="51"/>
    </row>
    <row r="234" spans="1:16" x14ac:dyDescent="0.3">
      <c r="A234" s="4"/>
      <c r="B234" s="262"/>
      <c r="C234" s="19"/>
      <c r="D234" s="51"/>
    </row>
    <row r="235" spans="1:16" x14ac:dyDescent="0.3">
      <c r="A235" s="4"/>
      <c r="B235" s="262"/>
      <c r="C235" s="19"/>
      <c r="D235" s="51"/>
    </row>
    <row r="236" spans="1:16" x14ac:dyDescent="0.3">
      <c r="A236" s="4"/>
      <c r="B236" s="262"/>
      <c r="C236" s="19"/>
      <c r="D236" s="51"/>
    </row>
    <row r="237" spans="1:16" x14ac:dyDescent="0.3">
      <c r="A237" s="4"/>
      <c r="B237" s="262"/>
      <c r="C237" s="19"/>
      <c r="D237" s="51"/>
    </row>
    <row r="238" spans="1:16" x14ac:dyDescent="0.3">
      <c r="A238" s="4"/>
      <c r="B238" s="262"/>
      <c r="C238" s="19"/>
      <c r="D238" s="51"/>
    </row>
    <row r="239" spans="1:16" x14ac:dyDescent="0.3">
      <c r="A239" s="4"/>
      <c r="B239" s="262"/>
      <c r="C239" s="19"/>
      <c r="D239" s="51"/>
    </row>
    <row r="240" spans="1:16" x14ac:dyDescent="0.3">
      <c r="A240" s="4"/>
      <c r="B240" s="262"/>
      <c r="C240" s="19"/>
      <c r="D240" s="51"/>
    </row>
    <row r="241" spans="1:4" x14ac:dyDescent="0.3">
      <c r="A241" s="4"/>
      <c r="B241" s="262"/>
      <c r="C241" s="19"/>
      <c r="D241" s="51"/>
    </row>
    <row r="242" spans="1:4" x14ac:dyDescent="0.3">
      <c r="A242" s="4"/>
      <c r="B242" s="262"/>
      <c r="C242" s="19"/>
      <c r="D242" s="51"/>
    </row>
    <row r="243" spans="1:4" x14ac:dyDescent="0.3">
      <c r="A243" s="4"/>
      <c r="B243" s="262"/>
      <c r="C243" s="19"/>
      <c r="D243" s="51"/>
    </row>
    <row r="244" spans="1:4" x14ac:dyDescent="0.3">
      <c r="A244" s="4"/>
      <c r="B244" s="262"/>
      <c r="C244" s="19"/>
      <c r="D244" s="51"/>
    </row>
    <row r="245" spans="1:4" x14ac:dyDescent="0.3">
      <c r="A245" s="4"/>
      <c r="B245" s="262"/>
      <c r="C245" s="19"/>
      <c r="D245" s="51"/>
    </row>
    <row r="246" spans="1:4" x14ac:dyDescent="0.3">
      <c r="A246" s="4"/>
      <c r="B246" s="262"/>
      <c r="C246" s="19"/>
      <c r="D246" s="51"/>
    </row>
    <row r="247" spans="1:4" x14ac:dyDescent="0.3">
      <c r="A247" s="4"/>
      <c r="B247" s="262"/>
      <c r="C247" s="19"/>
      <c r="D247" s="51"/>
    </row>
    <row r="248" spans="1:4" x14ac:dyDescent="0.3">
      <c r="A248" s="4"/>
      <c r="B248" s="262"/>
      <c r="C248" s="19"/>
      <c r="D248" s="51"/>
    </row>
    <row r="249" spans="1:4" x14ac:dyDescent="0.3">
      <c r="A249" s="4"/>
      <c r="B249" s="262"/>
      <c r="C249" s="19"/>
      <c r="D249" s="51"/>
    </row>
    <row r="250" spans="1:4" x14ac:dyDescent="0.3">
      <c r="A250" s="4"/>
      <c r="B250" s="262"/>
      <c r="C250" s="19"/>
      <c r="D250" s="51"/>
    </row>
    <row r="251" spans="1:4" x14ac:dyDescent="0.3">
      <c r="A251" s="4"/>
      <c r="B251" s="262"/>
      <c r="C251" s="19"/>
      <c r="D251" s="51"/>
    </row>
    <row r="252" spans="1:4" x14ac:dyDescent="0.3">
      <c r="A252" s="4"/>
      <c r="B252" s="262"/>
      <c r="C252" s="19"/>
      <c r="D252" s="51"/>
    </row>
    <row r="253" spans="1:4" x14ac:dyDescent="0.3">
      <c r="A253" s="4"/>
      <c r="B253" s="262"/>
      <c r="C253" s="19"/>
      <c r="D253" s="51"/>
    </row>
    <row r="254" spans="1:4" x14ac:dyDescent="0.3">
      <c r="A254" s="4"/>
      <c r="B254" s="262"/>
      <c r="C254" s="19"/>
      <c r="D254" s="51"/>
    </row>
    <row r="255" spans="1:4" x14ac:dyDescent="0.3">
      <c r="A255" s="4"/>
      <c r="B255" s="262"/>
      <c r="C255" s="19"/>
      <c r="D255" s="51"/>
    </row>
    <row r="256" spans="1:4" x14ac:dyDescent="0.3">
      <c r="A256" s="4"/>
      <c r="B256" s="262"/>
      <c r="C256" s="19"/>
      <c r="D256" s="51"/>
    </row>
    <row r="257" spans="1:4" x14ac:dyDescent="0.3">
      <c r="A257" s="4"/>
      <c r="B257" s="262"/>
      <c r="C257" s="19"/>
      <c r="D257" s="51"/>
    </row>
    <row r="258" spans="1:4" x14ac:dyDescent="0.3">
      <c r="D258" s="51"/>
    </row>
    <row r="259" spans="1:4" x14ac:dyDescent="0.3">
      <c r="D259" s="51"/>
    </row>
    <row r="260" spans="1:4" x14ac:dyDescent="0.3">
      <c r="D260" s="51"/>
    </row>
    <row r="261" spans="1:4" x14ac:dyDescent="0.3">
      <c r="D261" s="51"/>
    </row>
    <row r="262" spans="1:4" x14ac:dyDescent="0.3">
      <c r="D262" s="51"/>
    </row>
    <row r="263" spans="1:4" x14ac:dyDescent="0.3">
      <c r="D263" s="51"/>
    </row>
    <row r="264" spans="1:4" x14ac:dyDescent="0.3">
      <c r="D264" s="51"/>
    </row>
    <row r="265" spans="1:4" x14ac:dyDescent="0.3">
      <c r="D265" s="51"/>
    </row>
    <row r="266" spans="1:4" x14ac:dyDescent="0.3">
      <c r="D266" s="51"/>
    </row>
    <row r="267" spans="1:4" x14ac:dyDescent="0.3">
      <c r="D267" s="51"/>
    </row>
    <row r="268" spans="1:4" x14ac:dyDescent="0.3">
      <c r="D268" s="51"/>
    </row>
    <row r="269" spans="1:4" x14ac:dyDescent="0.3">
      <c r="D269" s="51"/>
    </row>
    <row r="270" spans="1:4" x14ac:dyDescent="0.3">
      <c r="D270" s="51"/>
    </row>
    <row r="271" spans="1:4" x14ac:dyDescent="0.3">
      <c r="D271" s="51"/>
    </row>
    <row r="272" spans="1:4" x14ac:dyDescent="0.3">
      <c r="D272" s="51"/>
    </row>
    <row r="273" spans="4:4" x14ac:dyDescent="0.3">
      <c r="D273" s="51"/>
    </row>
    <row r="274" spans="4:4" x14ac:dyDescent="0.3">
      <c r="D274" s="51"/>
    </row>
    <row r="275" spans="4:4" x14ac:dyDescent="0.3">
      <c r="D275" s="51"/>
    </row>
    <row r="276" spans="4:4" x14ac:dyDescent="0.3">
      <c r="D276" s="51"/>
    </row>
    <row r="277" spans="4:4" x14ac:dyDescent="0.3">
      <c r="D277" s="51"/>
    </row>
    <row r="278" spans="4:4" x14ac:dyDescent="0.3">
      <c r="D278" s="51"/>
    </row>
    <row r="279" spans="4:4" x14ac:dyDescent="0.3">
      <c r="D279" s="51"/>
    </row>
    <row r="280" spans="4:4" x14ac:dyDescent="0.3">
      <c r="D280" s="51"/>
    </row>
    <row r="281" spans="4:4" x14ac:dyDescent="0.3">
      <c r="D281" s="51"/>
    </row>
    <row r="282" spans="4:4" x14ac:dyDescent="0.3">
      <c r="D282" s="51"/>
    </row>
    <row r="283" spans="4:4" x14ac:dyDescent="0.3">
      <c r="D283" s="51"/>
    </row>
    <row r="284" spans="4:4" x14ac:dyDescent="0.3">
      <c r="D284" s="51"/>
    </row>
    <row r="285" spans="4:4" x14ac:dyDescent="0.3">
      <c r="D285" s="51"/>
    </row>
    <row r="286" spans="4:4" x14ac:dyDescent="0.3">
      <c r="D286" s="51"/>
    </row>
    <row r="287" spans="4:4" x14ac:dyDescent="0.3">
      <c r="D287" s="51"/>
    </row>
    <row r="288" spans="4:4" x14ac:dyDescent="0.3">
      <c r="D288" s="51"/>
    </row>
    <row r="289" spans="4:4" x14ac:dyDescent="0.3">
      <c r="D289" s="51"/>
    </row>
    <row r="290" spans="4:4" x14ac:dyDescent="0.3">
      <c r="D290" s="51"/>
    </row>
    <row r="291" spans="4:4" x14ac:dyDescent="0.3">
      <c r="D291" s="51"/>
    </row>
    <row r="292" spans="4:4" x14ac:dyDescent="0.3">
      <c r="D292" s="51"/>
    </row>
    <row r="293" spans="4:4" x14ac:dyDescent="0.3">
      <c r="D293" s="51"/>
    </row>
    <row r="294" spans="4:4" x14ac:dyDescent="0.3">
      <c r="D294" s="51"/>
    </row>
    <row r="295" spans="4:4" x14ac:dyDescent="0.3">
      <c r="D295" s="51"/>
    </row>
    <row r="296" spans="4:4" x14ac:dyDescent="0.3">
      <c r="D296" s="51"/>
    </row>
    <row r="297" spans="4:4" x14ac:dyDescent="0.3">
      <c r="D297" s="51"/>
    </row>
    <row r="298" spans="4:4" x14ac:dyDescent="0.3">
      <c r="D298" s="51"/>
    </row>
    <row r="299" spans="4:4" x14ac:dyDescent="0.3">
      <c r="D299" s="51"/>
    </row>
    <row r="300" spans="4:4" x14ac:dyDescent="0.3">
      <c r="D300" s="51"/>
    </row>
    <row r="301" spans="4:4" x14ac:dyDescent="0.3">
      <c r="D301" s="51"/>
    </row>
    <row r="302" spans="4:4" x14ac:dyDescent="0.3">
      <c r="D302" s="51"/>
    </row>
    <row r="303" spans="4:4" x14ac:dyDescent="0.3">
      <c r="D303" s="51"/>
    </row>
    <row r="304" spans="4:4" x14ac:dyDescent="0.3">
      <c r="D304" s="51"/>
    </row>
    <row r="305" spans="4:4" x14ac:dyDescent="0.3">
      <c r="D305" s="51"/>
    </row>
    <row r="306" spans="4:4" x14ac:dyDescent="0.3">
      <c r="D306" s="51"/>
    </row>
    <row r="307" spans="4:4" x14ac:dyDescent="0.3">
      <c r="D307" s="51"/>
    </row>
    <row r="308" spans="4:4" x14ac:dyDescent="0.3">
      <c r="D308" s="51"/>
    </row>
    <row r="309" spans="4:4" x14ac:dyDescent="0.3">
      <c r="D309" s="51"/>
    </row>
    <row r="310" spans="4:4" x14ac:dyDescent="0.3">
      <c r="D310" s="51"/>
    </row>
    <row r="311" spans="4:4" x14ac:dyDescent="0.3">
      <c r="D311" s="51"/>
    </row>
    <row r="312" spans="4:4" x14ac:dyDescent="0.3">
      <c r="D312" s="51"/>
    </row>
    <row r="313" spans="4:4" x14ac:dyDescent="0.3">
      <c r="D313" s="51"/>
    </row>
    <row r="314" spans="4:4" x14ac:dyDescent="0.3">
      <c r="D314" s="51"/>
    </row>
    <row r="315" spans="4:4" x14ac:dyDescent="0.3">
      <c r="D315" s="51"/>
    </row>
    <row r="316" spans="4:4" x14ac:dyDescent="0.3">
      <c r="D316" s="51"/>
    </row>
    <row r="317" spans="4:4" x14ac:dyDescent="0.3">
      <c r="D317" s="51"/>
    </row>
    <row r="318" spans="4:4" x14ac:dyDescent="0.3">
      <c r="D318" s="51"/>
    </row>
    <row r="319" spans="4:4" x14ac:dyDescent="0.3">
      <c r="D319" s="51"/>
    </row>
    <row r="320" spans="4:4" x14ac:dyDescent="0.3">
      <c r="D320" s="51"/>
    </row>
    <row r="321" spans="4:4" x14ac:dyDescent="0.3">
      <c r="D321" s="51"/>
    </row>
    <row r="322" spans="4:4" x14ac:dyDescent="0.3">
      <c r="D322" s="51"/>
    </row>
    <row r="323" spans="4:4" x14ac:dyDescent="0.3">
      <c r="D323" s="51"/>
    </row>
    <row r="324" spans="4:4" x14ac:dyDescent="0.3">
      <c r="D324" s="51"/>
    </row>
    <row r="325" spans="4:4" x14ac:dyDescent="0.3">
      <c r="D325" s="51"/>
    </row>
    <row r="326" spans="4:4" x14ac:dyDescent="0.3">
      <c r="D326" s="51"/>
    </row>
    <row r="327" spans="4:4" x14ac:dyDescent="0.3">
      <c r="D327" s="51"/>
    </row>
    <row r="328" spans="4:4" x14ac:dyDescent="0.3">
      <c r="D328" s="51"/>
    </row>
    <row r="329" spans="4:4" x14ac:dyDescent="0.3">
      <c r="D329" s="51"/>
    </row>
    <row r="330" spans="4:4" x14ac:dyDescent="0.3">
      <c r="D330" s="51"/>
    </row>
    <row r="331" spans="4:4" x14ac:dyDescent="0.3">
      <c r="D331" s="51"/>
    </row>
    <row r="332" spans="4:4" x14ac:dyDescent="0.3">
      <c r="D332" s="51"/>
    </row>
    <row r="333" spans="4:4" x14ac:dyDescent="0.3">
      <c r="D333" s="51"/>
    </row>
    <row r="334" spans="4:4" x14ac:dyDescent="0.3">
      <c r="D334" s="51"/>
    </row>
    <row r="335" spans="4:4" x14ac:dyDescent="0.3">
      <c r="D335" s="51"/>
    </row>
    <row r="336" spans="4:4" x14ac:dyDescent="0.3">
      <c r="D336" s="51"/>
    </row>
    <row r="337" spans="4:4" x14ac:dyDescent="0.3">
      <c r="D337" s="51"/>
    </row>
    <row r="338" spans="4:4" x14ac:dyDescent="0.3">
      <c r="D338" s="51"/>
    </row>
    <row r="339" spans="4:4" x14ac:dyDescent="0.3">
      <c r="D339" s="51"/>
    </row>
    <row r="340" spans="4:4" x14ac:dyDescent="0.3">
      <c r="D340" s="51"/>
    </row>
    <row r="341" spans="4:4" x14ac:dyDescent="0.3">
      <c r="D341" s="51"/>
    </row>
    <row r="342" spans="4:4" x14ac:dyDescent="0.3">
      <c r="D342" s="51"/>
    </row>
    <row r="343" spans="4:4" x14ac:dyDescent="0.3">
      <c r="D343" s="51"/>
    </row>
    <row r="344" spans="4:4" x14ac:dyDescent="0.3">
      <c r="D344" s="51"/>
    </row>
    <row r="345" spans="4:4" x14ac:dyDescent="0.3">
      <c r="D345" s="51"/>
    </row>
    <row r="346" spans="4:4" x14ac:dyDescent="0.3">
      <c r="D346" s="51"/>
    </row>
    <row r="347" spans="4:4" x14ac:dyDescent="0.3">
      <c r="D347" s="51"/>
    </row>
    <row r="348" spans="4:4" x14ac:dyDescent="0.3">
      <c r="D348" s="51"/>
    </row>
    <row r="349" spans="4:4" x14ac:dyDescent="0.3">
      <c r="D349" s="51"/>
    </row>
    <row r="350" spans="4:4" x14ac:dyDescent="0.3">
      <c r="D350" s="51"/>
    </row>
    <row r="351" spans="4:4" x14ac:dyDescent="0.3">
      <c r="D351" s="51"/>
    </row>
    <row r="352" spans="4:4" x14ac:dyDescent="0.3">
      <c r="D352" s="51"/>
    </row>
    <row r="353" spans="4:4" x14ac:dyDescent="0.3">
      <c r="D353" s="51"/>
    </row>
    <row r="354" spans="4:4" x14ac:dyDescent="0.3">
      <c r="D354" s="51"/>
    </row>
    <row r="355" spans="4:4" x14ac:dyDescent="0.3">
      <c r="D355" s="51"/>
    </row>
    <row r="356" spans="4:4" x14ac:dyDescent="0.3">
      <c r="D356" s="51"/>
    </row>
    <row r="357" spans="4:4" x14ac:dyDescent="0.3">
      <c r="D357" s="51"/>
    </row>
    <row r="358" spans="4:4" x14ac:dyDescent="0.3">
      <c r="D358" s="51"/>
    </row>
    <row r="359" spans="4:4" x14ac:dyDescent="0.3">
      <c r="D359" s="51"/>
    </row>
    <row r="360" spans="4:4" x14ac:dyDescent="0.3">
      <c r="D360" s="51"/>
    </row>
    <row r="361" spans="4:4" x14ac:dyDescent="0.3">
      <c r="D361" s="51"/>
    </row>
    <row r="362" spans="4:4" x14ac:dyDescent="0.3">
      <c r="D362" s="51"/>
    </row>
    <row r="363" spans="4:4" x14ac:dyDescent="0.3">
      <c r="D363" s="51"/>
    </row>
    <row r="364" spans="4:4" x14ac:dyDescent="0.3">
      <c r="D364" s="51"/>
    </row>
    <row r="365" spans="4:4" x14ac:dyDescent="0.3">
      <c r="D365" s="51"/>
    </row>
    <row r="366" spans="4:4" x14ac:dyDescent="0.3">
      <c r="D366" s="51"/>
    </row>
    <row r="367" spans="4:4" x14ac:dyDescent="0.3">
      <c r="D367" s="51"/>
    </row>
    <row r="368" spans="4:4" x14ac:dyDescent="0.3">
      <c r="D368" s="51"/>
    </row>
    <row r="369" spans="4:4" x14ac:dyDescent="0.3">
      <c r="D369" s="51"/>
    </row>
    <row r="370" spans="4:4" x14ac:dyDescent="0.3">
      <c r="D370" s="51"/>
    </row>
    <row r="371" spans="4:4" x14ac:dyDescent="0.3">
      <c r="D371" s="51"/>
    </row>
    <row r="372" spans="4:4" x14ac:dyDescent="0.3">
      <c r="D372" s="51"/>
    </row>
    <row r="373" spans="4:4" x14ac:dyDescent="0.3">
      <c r="D373" s="51"/>
    </row>
    <row r="374" spans="4:4" x14ac:dyDescent="0.3">
      <c r="D374" s="51"/>
    </row>
    <row r="375" spans="4:4" x14ac:dyDescent="0.3">
      <c r="D375" s="51"/>
    </row>
    <row r="376" spans="4:4" x14ac:dyDescent="0.3">
      <c r="D376" s="51"/>
    </row>
    <row r="377" spans="4:4" x14ac:dyDescent="0.3">
      <c r="D377" s="51"/>
    </row>
    <row r="378" spans="4:4" x14ac:dyDescent="0.3">
      <c r="D378" s="51"/>
    </row>
    <row r="379" spans="4:4" x14ac:dyDescent="0.3">
      <c r="D379" s="51"/>
    </row>
    <row r="380" spans="4:4" x14ac:dyDescent="0.3">
      <c r="D380" s="51"/>
    </row>
    <row r="381" spans="4:4" x14ac:dyDescent="0.3">
      <c r="D381" s="51"/>
    </row>
    <row r="382" spans="4:4" x14ac:dyDescent="0.3">
      <c r="D382" s="51"/>
    </row>
    <row r="383" spans="4:4" x14ac:dyDescent="0.3">
      <c r="D383" s="51"/>
    </row>
    <row r="384" spans="4:4" x14ac:dyDescent="0.3">
      <c r="D384" s="51"/>
    </row>
    <row r="385" spans="4:4" x14ac:dyDescent="0.3">
      <c r="D385" s="51"/>
    </row>
    <row r="386" spans="4:4" x14ac:dyDescent="0.3">
      <c r="D386" s="51"/>
    </row>
    <row r="387" spans="4:4" x14ac:dyDescent="0.3">
      <c r="D387" s="51"/>
    </row>
    <row r="388" spans="4:4" x14ac:dyDescent="0.3">
      <c r="D388" s="51"/>
    </row>
    <row r="389" spans="4:4" x14ac:dyDescent="0.3">
      <c r="D389" s="51"/>
    </row>
    <row r="390" spans="4:4" x14ac:dyDescent="0.3">
      <c r="D390" s="51"/>
    </row>
    <row r="391" spans="4:4" x14ac:dyDescent="0.3">
      <c r="D391" s="51"/>
    </row>
    <row r="392" spans="4:4" x14ac:dyDescent="0.3">
      <c r="D392" s="51"/>
    </row>
    <row r="393" spans="4:4" x14ac:dyDescent="0.3">
      <c r="D393" s="51"/>
    </row>
    <row r="394" spans="4:4" x14ac:dyDescent="0.3">
      <c r="D394" s="51"/>
    </row>
    <row r="395" spans="4:4" x14ac:dyDescent="0.3">
      <c r="D395" s="51"/>
    </row>
    <row r="396" spans="4:4" x14ac:dyDescent="0.3">
      <c r="D396" s="51"/>
    </row>
    <row r="397" spans="4:4" x14ac:dyDescent="0.3">
      <c r="D397" s="51"/>
    </row>
    <row r="398" spans="4:4" x14ac:dyDescent="0.3">
      <c r="D398" s="51"/>
    </row>
    <row r="399" spans="4:4" x14ac:dyDescent="0.3">
      <c r="D399" s="51"/>
    </row>
    <row r="400" spans="4:4" x14ac:dyDescent="0.3">
      <c r="D400" s="51"/>
    </row>
    <row r="401" spans="4:4" x14ac:dyDescent="0.3">
      <c r="D401" s="51"/>
    </row>
    <row r="402" spans="4:4" x14ac:dyDescent="0.3">
      <c r="D402" s="51"/>
    </row>
    <row r="403" spans="4:4" x14ac:dyDescent="0.3">
      <c r="D403" s="51"/>
    </row>
    <row r="404" spans="4:4" x14ac:dyDescent="0.3">
      <c r="D404" s="51"/>
    </row>
    <row r="405" spans="4:4" x14ac:dyDescent="0.3">
      <c r="D405" s="51"/>
    </row>
    <row r="406" spans="4:4" x14ac:dyDescent="0.3">
      <c r="D406" s="51"/>
    </row>
    <row r="407" spans="4:4" x14ac:dyDescent="0.3">
      <c r="D407" s="51"/>
    </row>
    <row r="408" spans="4:4" x14ac:dyDescent="0.3">
      <c r="D408" s="51"/>
    </row>
    <row r="409" spans="4:4" x14ac:dyDescent="0.3">
      <c r="D409" s="51"/>
    </row>
    <row r="410" spans="4:4" x14ac:dyDescent="0.3">
      <c r="D410" s="51"/>
    </row>
    <row r="411" spans="4:4" x14ac:dyDescent="0.3">
      <c r="D411" s="51"/>
    </row>
    <row r="412" spans="4:4" x14ac:dyDescent="0.3">
      <c r="D412" s="51"/>
    </row>
    <row r="413" spans="4:4" x14ac:dyDescent="0.3">
      <c r="D413" s="51"/>
    </row>
    <row r="414" spans="4:4" x14ac:dyDescent="0.3">
      <c r="D414" s="51"/>
    </row>
    <row r="415" spans="4:4" x14ac:dyDescent="0.3">
      <c r="D415" s="51"/>
    </row>
    <row r="416" spans="4:4" x14ac:dyDescent="0.3">
      <c r="D416" s="51"/>
    </row>
    <row r="417" spans="4:4" x14ac:dyDescent="0.3">
      <c r="D417" s="51"/>
    </row>
    <row r="418" spans="4:4" x14ac:dyDescent="0.3">
      <c r="D418" s="51"/>
    </row>
    <row r="419" spans="4:4" x14ac:dyDescent="0.3">
      <c r="D419" s="51"/>
    </row>
    <row r="420" spans="4:4" x14ac:dyDescent="0.3">
      <c r="D420" s="51"/>
    </row>
    <row r="421" spans="4:4" x14ac:dyDescent="0.3">
      <c r="D421" s="51"/>
    </row>
    <row r="422" spans="4:4" x14ac:dyDescent="0.3">
      <c r="D422" s="51"/>
    </row>
    <row r="423" spans="4:4" x14ac:dyDescent="0.3">
      <c r="D423" s="51"/>
    </row>
    <row r="424" spans="4:4" x14ac:dyDescent="0.3">
      <c r="D424" s="51"/>
    </row>
    <row r="425" spans="4:4" x14ac:dyDescent="0.3">
      <c r="D425" s="51"/>
    </row>
    <row r="426" spans="4:4" x14ac:dyDescent="0.3">
      <c r="D426" s="51"/>
    </row>
    <row r="427" spans="4:4" x14ac:dyDescent="0.3">
      <c r="D427" s="51"/>
    </row>
    <row r="428" spans="4:4" x14ac:dyDescent="0.3">
      <c r="D428" s="51"/>
    </row>
    <row r="429" spans="4:4" x14ac:dyDescent="0.3">
      <c r="D429" s="51"/>
    </row>
    <row r="430" spans="4:4" x14ac:dyDescent="0.3">
      <c r="D430" s="51"/>
    </row>
    <row r="431" spans="4:4" x14ac:dyDescent="0.3">
      <c r="D431" s="51"/>
    </row>
    <row r="432" spans="4:4" x14ac:dyDescent="0.3">
      <c r="D432" s="51"/>
    </row>
    <row r="433" spans="4:4" x14ac:dyDescent="0.3">
      <c r="D433" s="51"/>
    </row>
    <row r="434" spans="4:4" x14ac:dyDescent="0.3">
      <c r="D434" s="51"/>
    </row>
    <row r="435" spans="4:4" x14ac:dyDescent="0.3">
      <c r="D435" s="51"/>
    </row>
    <row r="436" spans="4:4" x14ac:dyDescent="0.3">
      <c r="D436" s="51"/>
    </row>
    <row r="437" spans="4:4" x14ac:dyDescent="0.3">
      <c r="D437" s="51"/>
    </row>
    <row r="438" spans="4:4" x14ac:dyDescent="0.3">
      <c r="D438" s="51"/>
    </row>
    <row r="439" spans="4:4" x14ac:dyDescent="0.3">
      <c r="D439" s="51"/>
    </row>
    <row r="440" spans="4:4" x14ac:dyDescent="0.3">
      <c r="D440" s="51"/>
    </row>
    <row r="441" spans="4:4" x14ac:dyDescent="0.3">
      <c r="D441" s="51"/>
    </row>
    <row r="442" spans="4:4" x14ac:dyDescent="0.3">
      <c r="D442" s="51"/>
    </row>
    <row r="443" spans="4:4" x14ac:dyDescent="0.3">
      <c r="D443" s="51"/>
    </row>
    <row r="444" spans="4:4" x14ac:dyDescent="0.3">
      <c r="D444" s="51"/>
    </row>
    <row r="445" spans="4:4" x14ac:dyDescent="0.3">
      <c r="D445" s="51"/>
    </row>
    <row r="446" spans="4:4" x14ac:dyDescent="0.3">
      <c r="D446" s="51"/>
    </row>
    <row r="447" spans="4:4" x14ac:dyDescent="0.3">
      <c r="D447" s="51"/>
    </row>
    <row r="448" spans="4:4" x14ac:dyDescent="0.3">
      <c r="D448" s="51"/>
    </row>
    <row r="449" spans="4:4" x14ac:dyDescent="0.3">
      <c r="D449" s="51"/>
    </row>
    <row r="450" spans="4:4" x14ac:dyDescent="0.3">
      <c r="D450" s="51"/>
    </row>
    <row r="451" spans="4:4" x14ac:dyDescent="0.3">
      <c r="D451" s="51"/>
    </row>
    <row r="452" spans="4:4" x14ac:dyDescent="0.3">
      <c r="D452" s="51"/>
    </row>
    <row r="453" spans="4:4" x14ac:dyDescent="0.3">
      <c r="D453" s="51"/>
    </row>
    <row r="454" spans="4:4" x14ac:dyDescent="0.3">
      <c r="D454" s="51"/>
    </row>
    <row r="455" spans="4:4" x14ac:dyDescent="0.3">
      <c r="D455" s="51"/>
    </row>
    <row r="456" spans="4:4" x14ac:dyDescent="0.3">
      <c r="D456" s="51"/>
    </row>
    <row r="457" spans="4:4" x14ac:dyDescent="0.3">
      <c r="D457" s="51"/>
    </row>
    <row r="458" spans="4:4" x14ac:dyDescent="0.3">
      <c r="D458" s="51"/>
    </row>
    <row r="459" spans="4:4" x14ac:dyDescent="0.3">
      <c r="D459" s="51"/>
    </row>
    <row r="460" spans="4:4" x14ac:dyDescent="0.3">
      <c r="D460" s="51"/>
    </row>
    <row r="461" spans="4:4" x14ac:dyDescent="0.3">
      <c r="D461" s="51"/>
    </row>
    <row r="462" spans="4:4" x14ac:dyDescent="0.3">
      <c r="D462" s="51"/>
    </row>
    <row r="463" spans="4:4" x14ac:dyDescent="0.3">
      <c r="D463" s="51"/>
    </row>
    <row r="464" spans="4:4" x14ac:dyDescent="0.3">
      <c r="D464" s="51"/>
    </row>
    <row r="465" spans="4:4" x14ac:dyDescent="0.3">
      <c r="D465" s="51"/>
    </row>
    <row r="466" spans="4:4" x14ac:dyDescent="0.3">
      <c r="D466" s="51"/>
    </row>
    <row r="467" spans="4:4" x14ac:dyDescent="0.3">
      <c r="D467" s="51"/>
    </row>
    <row r="468" spans="4:4" x14ac:dyDescent="0.3">
      <c r="D468" s="51"/>
    </row>
    <row r="469" spans="4:4" x14ac:dyDescent="0.3">
      <c r="D469" s="51"/>
    </row>
    <row r="470" spans="4:4" x14ac:dyDescent="0.3">
      <c r="D470" s="51"/>
    </row>
    <row r="471" spans="4:4" x14ac:dyDescent="0.3">
      <c r="D471" s="51"/>
    </row>
    <row r="472" spans="4:4" x14ac:dyDescent="0.3">
      <c r="D472" s="51"/>
    </row>
    <row r="473" spans="4:4" x14ac:dyDescent="0.3">
      <c r="D473" s="51"/>
    </row>
    <row r="474" spans="4:4" x14ac:dyDescent="0.3">
      <c r="D474" s="51"/>
    </row>
    <row r="475" spans="4:4" x14ac:dyDescent="0.3">
      <c r="D475" s="51"/>
    </row>
    <row r="476" spans="4:4" x14ac:dyDescent="0.3">
      <c r="D476" s="51"/>
    </row>
    <row r="477" spans="4:4" x14ac:dyDescent="0.3">
      <c r="D477" s="51"/>
    </row>
    <row r="478" spans="4:4" x14ac:dyDescent="0.3">
      <c r="D478" s="51"/>
    </row>
    <row r="479" spans="4:4" x14ac:dyDescent="0.3">
      <c r="D479" s="51"/>
    </row>
    <row r="480" spans="4:4" x14ac:dyDescent="0.3">
      <c r="D480" s="51"/>
    </row>
    <row r="481" spans="4:4" x14ac:dyDescent="0.3">
      <c r="D481" s="51"/>
    </row>
    <row r="482" spans="4:4" x14ac:dyDescent="0.3">
      <c r="D482" s="51"/>
    </row>
    <row r="483" spans="4:4" x14ac:dyDescent="0.3">
      <c r="D483" s="51"/>
    </row>
    <row r="484" spans="4:4" x14ac:dyDescent="0.3">
      <c r="D484" s="51"/>
    </row>
    <row r="485" spans="4:4" x14ac:dyDescent="0.3">
      <c r="D485" s="51"/>
    </row>
    <row r="486" spans="4:4" x14ac:dyDescent="0.3">
      <c r="D486" s="51"/>
    </row>
    <row r="487" spans="4:4" x14ac:dyDescent="0.3">
      <c r="D487" s="51"/>
    </row>
    <row r="488" spans="4:4" x14ac:dyDescent="0.3">
      <c r="D488" s="51"/>
    </row>
    <row r="489" spans="4:4" x14ac:dyDescent="0.3">
      <c r="D489" s="51"/>
    </row>
    <row r="490" spans="4:4" x14ac:dyDescent="0.3">
      <c r="D490" s="51"/>
    </row>
    <row r="491" spans="4:4" x14ac:dyDescent="0.3">
      <c r="D491" s="51"/>
    </row>
    <row r="492" spans="4:4" x14ac:dyDescent="0.3">
      <c r="D492" s="51"/>
    </row>
    <row r="493" spans="4:4" x14ac:dyDescent="0.3">
      <c r="D493" s="51"/>
    </row>
    <row r="494" spans="4:4" x14ac:dyDescent="0.3">
      <c r="D494" s="51"/>
    </row>
    <row r="495" spans="4:4" x14ac:dyDescent="0.3">
      <c r="D495" s="51"/>
    </row>
    <row r="496" spans="4:4" x14ac:dyDescent="0.3">
      <c r="D496" s="51"/>
    </row>
    <row r="497" spans="4:4" x14ac:dyDescent="0.3">
      <c r="D497" s="51"/>
    </row>
    <row r="498" spans="4:4" x14ac:dyDescent="0.3">
      <c r="D498" s="51"/>
    </row>
    <row r="499" spans="4:4" x14ac:dyDescent="0.3">
      <c r="D499" s="51"/>
    </row>
    <row r="500" spans="4:4" x14ac:dyDescent="0.3">
      <c r="D500" s="51"/>
    </row>
    <row r="501" spans="4:4" x14ac:dyDescent="0.3">
      <c r="D501" s="51"/>
    </row>
    <row r="502" spans="4:4" x14ac:dyDescent="0.3">
      <c r="D502" s="51"/>
    </row>
    <row r="503" spans="4:4" x14ac:dyDescent="0.3">
      <c r="D503" s="51"/>
    </row>
    <row r="504" spans="4:4" x14ac:dyDescent="0.3">
      <c r="D504" s="51"/>
    </row>
    <row r="505" spans="4:4" x14ac:dyDescent="0.3">
      <c r="D505" s="51"/>
    </row>
    <row r="506" spans="4:4" x14ac:dyDescent="0.3">
      <c r="D506" s="51"/>
    </row>
    <row r="507" spans="4:4" x14ac:dyDescent="0.3">
      <c r="D507" s="51"/>
    </row>
    <row r="508" spans="4:4" x14ac:dyDescent="0.3">
      <c r="D508" s="51"/>
    </row>
    <row r="509" spans="4:4" x14ac:dyDescent="0.3">
      <c r="D509" s="51"/>
    </row>
    <row r="510" spans="4:4" x14ac:dyDescent="0.3">
      <c r="D510" s="51"/>
    </row>
    <row r="511" spans="4:4" x14ac:dyDescent="0.3">
      <c r="D511" s="51"/>
    </row>
    <row r="512" spans="4:4" x14ac:dyDescent="0.3">
      <c r="D512" s="51"/>
    </row>
    <row r="513" spans="4:4" x14ac:dyDescent="0.3">
      <c r="D513" s="51"/>
    </row>
    <row r="514" spans="4:4" x14ac:dyDescent="0.3">
      <c r="D514" s="51"/>
    </row>
    <row r="515" spans="4:4" x14ac:dyDescent="0.3">
      <c r="D515" s="51"/>
    </row>
    <row r="516" spans="4:4" x14ac:dyDescent="0.3">
      <c r="D516" s="51"/>
    </row>
    <row r="517" spans="4:4" x14ac:dyDescent="0.3">
      <c r="D517" s="51"/>
    </row>
    <row r="518" spans="4:4" x14ac:dyDescent="0.3">
      <c r="D518" s="51"/>
    </row>
    <row r="519" spans="4:4" x14ac:dyDescent="0.3">
      <c r="D519" s="51"/>
    </row>
    <row r="520" spans="4:4" x14ac:dyDescent="0.3">
      <c r="D520" s="51"/>
    </row>
    <row r="521" spans="4:4" x14ac:dyDescent="0.3">
      <c r="D521" s="51"/>
    </row>
    <row r="522" spans="4:4" x14ac:dyDescent="0.3">
      <c r="D522" s="51"/>
    </row>
    <row r="523" spans="4:4" x14ac:dyDescent="0.3">
      <c r="D523" s="51"/>
    </row>
    <row r="524" spans="4:4" x14ac:dyDescent="0.3">
      <c r="D524" s="51"/>
    </row>
    <row r="525" spans="4:4" x14ac:dyDescent="0.3">
      <c r="D525" s="51"/>
    </row>
    <row r="526" spans="4:4" x14ac:dyDescent="0.3">
      <c r="D526" s="51"/>
    </row>
    <row r="527" spans="4:4" x14ac:dyDescent="0.3">
      <c r="D527" s="51"/>
    </row>
    <row r="528" spans="4:4" x14ac:dyDescent="0.3">
      <c r="D528" s="51"/>
    </row>
    <row r="529" spans="4:4" x14ac:dyDescent="0.3">
      <c r="D529" s="51"/>
    </row>
    <row r="530" spans="4:4" x14ac:dyDescent="0.3">
      <c r="D530" s="51"/>
    </row>
    <row r="531" spans="4:4" x14ac:dyDescent="0.3">
      <c r="D531" s="51"/>
    </row>
    <row r="532" spans="4:4" x14ac:dyDescent="0.3">
      <c r="D532" s="51"/>
    </row>
    <row r="533" spans="4:4" x14ac:dyDescent="0.3">
      <c r="D533" s="51"/>
    </row>
    <row r="534" spans="4:4" x14ac:dyDescent="0.3">
      <c r="D534" s="51"/>
    </row>
    <row r="535" spans="4:4" x14ac:dyDescent="0.3">
      <c r="D535" s="51"/>
    </row>
    <row r="536" spans="4:4" x14ac:dyDescent="0.3">
      <c r="D536" s="51"/>
    </row>
    <row r="537" spans="4:4" x14ac:dyDescent="0.3">
      <c r="D537" s="51"/>
    </row>
    <row r="538" spans="4:4" x14ac:dyDescent="0.3">
      <c r="D538" s="51"/>
    </row>
    <row r="539" spans="4:4" x14ac:dyDescent="0.3">
      <c r="D539" s="51"/>
    </row>
    <row r="540" spans="4:4" x14ac:dyDescent="0.3">
      <c r="D540" s="51"/>
    </row>
    <row r="541" spans="4:4" x14ac:dyDescent="0.3">
      <c r="D541" s="51"/>
    </row>
    <row r="542" spans="4:4" x14ac:dyDescent="0.3">
      <c r="D542" s="51"/>
    </row>
    <row r="543" spans="4:4" x14ac:dyDescent="0.3">
      <c r="D543" s="51"/>
    </row>
    <row r="544" spans="4:4" x14ac:dyDescent="0.3">
      <c r="D544" s="51"/>
    </row>
    <row r="545" spans="4:4" x14ac:dyDescent="0.3">
      <c r="D545" s="51"/>
    </row>
    <row r="546" spans="4:4" x14ac:dyDescent="0.3">
      <c r="D546" s="51"/>
    </row>
    <row r="547" spans="4:4" x14ac:dyDescent="0.3">
      <c r="D547" s="51"/>
    </row>
    <row r="548" spans="4:4" x14ac:dyDescent="0.3">
      <c r="D548" s="51"/>
    </row>
    <row r="549" spans="4:4" x14ac:dyDescent="0.3">
      <c r="D549" s="51"/>
    </row>
    <row r="550" spans="4:4" x14ac:dyDescent="0.3">
      <c r="D550" s="51"/>
    </row>
    <row r="551" spans="4:4" x14ac:dyDescent="0.3">
      <c r="D551" s="51"/>
    </row>
    <row r="552" spans="4:4" x14ac:dyDescent="0.3">
      <c r="D552" s="51"/>
    </row>
    <row r="553" spans="4:4" x14ac:dyDescent="0.3">
      <c r="D553" s="51"/>
    </row>
    <row r="554" spans="4:4" x14ac:dyDescent="0.3">
      <c r="D554" s="51"/>
    </row>
    <row r="555" spans="4:4" x14ac:dyDescent="0.3">
      <c r="D555" s="51"/>
    </row>
    <row r="556" spans="4:4" x14ac:dyDescent="0.3">
      <c r="D556" s="51"/>
    </row>
    <row r="557" spans="4:4" x14ac:dyDescent="0.3">
      <c r="D557" s="51"/>
    </row>
    <row r="558" spans="4:4" x14ac:dyDescent="0.3">
      <c r="D558" s="51"/>
    </row>
    <row r="559" spans="4:4" x14ac:dyDescent="0.3">
      <c r="D559" s="51"/>
    </row>
  </sheetData>
  <sheetProtection formatCells="0" formatColumns="0" formatRows="0"/>
  <conditionalFormatting sqref="G31">
    <cfRule type="cellIs" dxfId="15" priority="93" stopIfTrue="1" operator="notEqual">
      <formula>0</formula>
    </cfRule>
  </conditionalFormatting>
  <conditionalFormatting sqref="G32">
    <cfRule type="cellIs" dxfId="14" priority="92" stopIfTrue="1" operator="notEqual">
      <formula>0</formula>
    </cfRule>
  </conditionalFormatting>
  <conditionalFormatting sqref="G49">
    <cfRule type="cellIs" dxfId="13" priority="91" stopIfTrue="1" operator="notEqual">
      <formula>0</formula>
    </cfRule>
  </conditionalFormatting>
  <conditionalFormatting sqref="G20">
    <cfRule type="cellIs" dxfId="12" priority="73" stopIfTrue="1" operator="notEqual">
      <formula>0</formula>
    </cfRule>
  </conditionalFormatting>
  <conditionalFormatting sqref="G7">
    <cfRule type="containsText" dxfId="11" priority="71" stopIfTrue="1" operator="containsText" text="Included in error count">
      <formula>NOT(ISERROR(SEARCH("Included in error count",G7)))</formula>
    </cfRule>
    <cfRule type="cellIs" dxfId="10" priority="72" stopIfTrue="1" operator="equal">
      <formula>1</formula>
    </cfRule>
  </conditionalFormatting>
  <conditionalFormatting sqref="G41">
    <cfRule type="containsText" dxfId="9" priority="69" stopIfTrue="1" operator="containsText" text="Included in error count">
      <formula>NOT(ISERROR(SEARCH("Included in error count",G41)))</formula>
    </cfRule>
    <cfRule type="cellIs" dxfId="8"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9"/>
  <sheetViews>
    <sheetView zoomScaleNormal="100" workbookViewId="0">
      <selection activeCell="C9" sqref="C9"/>
    </sheetView>
  </sheetViews>
  <sheetFormatPr defaultRowHeight="14.4" x14ac:dyDescent="0.3"/>
  <cols>
    <col min="1" max="1" width="7.6640625" style="106" customWidth="1"/>
    <col min="2" max="2" width="103.109375" customWidth="1"/>
    <col min="3" max="3" width="19" customWidth="1"/>
    <col min="4" max="4" width="50.33203125" style="370" customWidth="1"/>
    <col min="5" max="5" width="34.21875" customWidth="1"/>
    <col min="8" max="9" width="8.88671875" style="479"/>
    <col min="10" max="10" width="1.6640625" style="479" customWidth="1"/>
    <col min="11" max="12" width="8.88671875" style="479" hidden="1" customWidth="1"/>
    <col min="13" max="13" width="13" style="479" customWidth="1"/>
  </cols>
  <sheetData>
    <row r="1" spans="1:13" s="129" customFormat="1" ht="15" thickBot="1" x14ac:dyDescent="0.35">
      <c r="A1" s="106"/>
      <c r="D1" s="370"/>
      <c r="E1"/>
      <c r="F1"/>
      <c r="G1"/>
      <c r="H1" s="479"/>
      <c r="I1" s="479"/>
      <c r="J1" s="479"/>
      <c r="K1" s="479"/>
      <c r="L1" s="479"/>
      <c r="M1" s="479"/>
    </row>
    <row r="2" spans="1:13" ht="37.799999999999997" customHeight="1" thickBot="1" x14ac:dyDescent="0.35">
      <c r="A2" s="718" t="s">
        <v>548</v>
      </c>
      <c r="B2" s="719"/>
      <c r="C2" s="719"/>
      <c r="D2" s="719"/>
    </row>
    <row r="3" spans="1:13" s="418" customFormat="1" ht="15" customHeight="1" thickBot="1" x14ac:dyDescent="0.35">
      <c r="A3" s="469"/>
      <c r="D3" s="470"/>
      <c r="E3"/>
      <c r="F3"/>
      <c r="G3"/>
      <c r="H3" s="478"/>
      <c r="I3" s="478"/>
      <c r="J3" s="478"/>
      <c r="K3" s="478"/>
      <c r="L3" s="478"/>
      <c r="M3" s="478"/>
    </row>
    <row r="4" spans="1:13" ht="19.8" customHeight="1" thickBot="1" x14ac:dyDescent="0.35">
      <c r="A4" s="720" t="s">
        <v>549</v>
      </c>
      <c r="B4" s="721"/>
      <c r="C4" s="721"/>
      <c r="D4" s="721"/>
    </row>
    <row r="5" spans="1:13" s="418" customFormat="1" ht="13.2" customHeight="1" thickBot="1" x14ac:dyDescent="0.35">
      <c r="A5" s="471"/>
      <c r="B5" s="472"/>
      <c r="C5" s="472"/>
      <c r="D5" s="477"/>
      <c r="E5"/>
      <c r="F5"/>
      <c r="G5"/>
      <c r="H5" s="478"/>
      <c r="I5" s="478"/>
      <c r="J5" s="478"/>
      <c r="K5" s="478"/>
      <c r="L5" s="478"/>
      <c r="M5" s="478"/>
    </row>
    <row r="6" spans="1:13" ht="28.95" customHeight="1" thickBot="1" x14ac:dyDescent="0.35">
      <c r="A6" s="722" t="s">
        <v>381</v>
      </c>
      <c r="B6" s="723"/>
      <c r="C6" s="723"/>
      <c r="D6" s="723"/>
    </row>
    <row r="7" spans="1:13" s="418" customFormat="1" ht="11.4" customHeight="1" thickBot="1" x14ac:dyDescent="0.35">
      <c r="A7" s="496"/>
      <c r="B7" s="497"/>
      <c r="C7" s="497"/>
      <c r="D7" s="497"/>
      <c r="E7"/>
      <c r="F7"/>
      <c r="G7"/>
      <c r="H7" s="478"/>
      <c r="I7" s="478"/>
      <c r="J7" s="478"/>
      <c r="K7" s="478"/>
      <c r="L7" s="478"/>
      <c r="M7" s="478"/>
    </row>
    <row r="8" spans="1:13" ht="44.4" customHeight="1" x14ac:dyDescent="0.3">
      <c r="A8" s="507" t="s">
        <v>373</v>
      </c>
      <c r="B8" s="506"/>
      <c r="C8" s="506"/>
      <c r="D8" s="505"/>
      <c r="E8" s="646" t="s">
        <v>734</v>
      </c>
    </row>
    <row r="9" spans="1:13" s="396" customFormat="1" ht="40.200000000000003" customHeight="1" x14ac:dyDescent="0.3">
      <c r="A9" s="502">
        <v>906</v>
      </c>
      <c r="B9" s="503" t="s">
        <v>297</v>
      </c>
      <c r="C9" s="600"/>
      <c r="D9" s="516" t="str">
        <f t="shared" ref="D9:D27" si="0">IF(C9="","This Question must be answered before uploading, the report will not be processed if left blank","")</f>
        <v>This Question must be answered before uploading, the report will not be processed if left blank</v>
      </c>
      <c r="E9" s="652"/>
      <c r="F9"/>
      <c r="G9"/>
      <c r="H9" s="480"/>
      <c r="I9" s="480"/>
      <c r="J9" s="480"/>
      <c r="K9" s="480"/>
      <c r="L9" s="480"/>
      <c r="M9" s="480"/>
    </row>
    <row r="10" spans="1:13" ht="40.200000000000003" customHeight="1" x14ac:dyDescent="0.3">
      <c r="A10" s="502">
        <v>907</v>
      </c>
      <c r="B10" s="503" t="s">
        <v>544</v>
      </c>
      <c r="C10" s="600"/>
      <c r="D10" s="516" t="str">
        <f t="shared" si="0"/>
        <v>This Question must be answered before uploading, the report will not be processed if left blank</v>
      </c>
      <c r="E10" s="652"/>
      <c r="H10" s="480"/>
      <c r="I10" s="480"/>
      <c r="J10" s="480"/>
      <c r="K10" s="480"/>
      <c r="L10" s="480"/>
    </row>
    <row r="11" spans="1:13" ht="44.4" customHeight="1" x14ac:dyDescent="0.3">
      <c r="A11" s="502">
        <v>1058</v>
      </c>
      <c r="B11" s="503" t="s">
        <v>735</v>
      </c>
      <c r="C11" s="600"/>
      <c r="D11" s="516"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652"/>
    </row>
    <row r="12" spans="1:13" ht="66.599999999999994" customHeight="1" x14ac:dyDescent="0.3">
      <c r="A12" s="502">
        <v>1059</v>
      </c>
      <c r="B12" s="643" t="s">
        <v>736</v>
      </c>
      <c r="C12" s="600"/>
      <c r="D12" s="516"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652"/>
      <c r="H12" s="480"/>
      <c r="I12" s="480"/>
      <c r="J12" s="480"/>
      <c r="K12" s="480"/>
      <c r="L12" s="480"/>
    </row>
    <row r="13" spans="1:13" s="129" customFormat="1" ht="72.599999999999994" customHeight="1" x14ac:dyDescent="0.3">
      <c r="A13" s="473">
        <v>1078</v>
      </c>
      <c r="B13" s="474" t="s">
        <v>737</v>
      </c>
      <c r="C13" s="600"/>
      <c r="D13" s="516"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652"/>
      <c r="H13" s="480"/>
      <c r="I13" s="480"/>
      <c r="J13" s="480"/>
      <c r="K13" s="480"/>
      <c r="L13" s="480"/>
      <c r="M13" s="479"/>
    </row>
    <row r="14" spans="1:13" s="129" customFormat="1" ht="73.2" customHeight="1" x14ac:dyDescent="0.3">
      <c r="A14" s="473">
        <v>1067</v>
      </c>
      <c r="B14" s="475" t="s">
        <v>738</v>
      </c>
      <c r="C14" s="600"/>
      <c r="D14" s="516"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652"/>
      <c r="H14" s="480"/>
      <c r="I14" s="480"/>
      <c r="J14" s="480"/>
      <c r="K14" s="480"/>
      <c r="L14" s="480"/>
      <c r="M14" s="479"/>
    </row>
    <row r="15" spans="1:13" ht="40.200000000000003" customHeight="1" x14ac:dyDescent="0.3">
      <c r="A15" s="502">
        <v>951</v>
      </c>
      <c r="B15" s="503" t="s">
        <v>545</v>
      </c>
      <c r="C15" s="600"/>
      <c r="D15" s="516" t="str">
        <f t="shared" si="0"/>
        <v>This Question must be answered before uploading, the report will not be processed if left blank</v>
      </c>
      <c r="E15" s="652"/>
      <c r="H15" s="480"/>
      <c r="I15" s="480"/>
      <c r="J15" s="480"/>
      <c r="K15" s="480"/>
      <c r="L15" s="480"/>
    </row>
    <row r="16" spans="1:13" ht="40.200000000000003" customHeight="1" x14ac:dyDescent="0.3">
      <c r="A16" s="502">
        <v>953</v>
      </c>
      <c r="B16" s="503" t="s">
        <v>741</v>
      </c>
      <c r="C16" s="600"/>
      <c r="D16" s="516" t="str">
        <f t="shared" si="0"/>
        <v>This Question must be answered before uploading, the report will not be processed if left blank</v>
      </c>
      <c r="E16" s="652"/>
      <c r="H16" s="480"/>
      <c r="I16" s="480"/>
      <c r="J16" s="480"/>
      <c r="K16" s="480"/>
      <c r="L16" s="480"/>
    </row>
    <row r="17" spans="1:13" ht="50.4" customHeight="1" x14ac:dyDescent="0.3">
      <c r="A17" s="502">
        <v>955</v>
      </c>
      <c r="B17" s="503" t="s">
        <v>739</v>
      </c>
      <c r="C17" s="601"/>
      <c r="D17" s="516"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652"/>
      <c r="H17" s="480"/>
      <c r="I17" s="480"/>
      <c r="J17" s="480"/>
      <c r="K17" s="480"/>
      <c r="L17" s="480"/>
    </row>
    <row r="18" spans="1:13" ht="45.6" customHeight="1" x14ac:dyDescent="0.3">
      <c r="A18" s="502">
        <v>957</v>
      </c>
      <c r="B18" s="503" t="s">
        <v>740</v>
      </c>
      <c r="C18" s="601"/>
      <c r="D18" s="516"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652"/>
      <c r="H18" s="480"/>
      <c r="I18" s="480"/>
      <c r="J18" s="480"/>
      <c r="K18" s="480"/>
      <c r="L18" s="480"/>
    </row>
    <row r="19" spans="1:13" s="129" customFormat="1" ht="124.8" customHeight="1" x14ac:dyDescent="0.3">
      <c r="A19" s="502">
        <v>973</v>
      </c>
      <c r="B19" s="503" t="s">
        <v>742</v>
      </c>
      <c r="C19" s="601"/>
      <c r="D19" s="516" t="str">
        <f>IF(C19="","This question must be answered before uploading. The report will not be processed if left blank.",IF(C19&gt;0,"Financial Performance Indicator of Concern that requires a response.  Please provide source document and page number in E19.",""))</f>
        <v>This question must be answered before uploading. The report will not be processed if left blank.</v>
      </c>
      <c r="E19" s="652"/>
      <c r="F19"/>
      <c r="G19"/>
      <c r="H19" s="480"/>
      <c r="I19" s="480"/>
      <c r="J19" s="480"/>
      <c r="K19" s="480"/>
      <c r="L19" s="480"/>
      <c r="M19" s="479"/>
    </row>
    <row r="20" spans="1:13" s="129" customFormat="1" ht="60" customHeight="1" x14ac:dyDescent="0.3">
      <c r="A20" s="502">
        <v>959</v>
      </c>
      <c r="B20" s="503" t="s">
        <v>325</v>
      </c>
      <c r="C20" s="600"/>
      <c r="D20" s="516" t="str">
        <f t="shared" si="0"/>
        <v>This Question must be answered before uploading, the report will not be processed if left blank</v>
      </c>
      <c r="E20" s="652"/>
      <c r="F20"/>
      <c r="G20"/>
      <c r="H20" s="480"/>
      <c r="I20" s="480"/>
      <c r="J20" s="480"/>
      <c r="K20" s="480"/>
      <c r="L20" s="480"/>
      <c r="M20" s="479"/>
    </row>
    <row r="21" spans="1:13" ht="40.200000000000003" customHeight="1" x14ac:dyDescent="0.3">
      <c r="A21" s="502" t="s">
        <v>314</v>
      </c>
      <c r="B21" s="503" t="s">
        <v>298</v>
      </c>
      <c r="C21" s="600"/>
      <c r="D21" s="516" t="str">
        <f>IF(C21="","This Question must be answered before uploading, the report will not be processed if left blank",IF(C21="Yes","Please submit copy via LGC File Portal.",""))</f>
        <v>This Question must be answered before uploading, the report will not be processed if left blank</v>
      </c>
      <c r="E21" s="652"/>
      <c r="H21" s="480"/>
      <c r="I21" s="480"/>
      <c r="J21" s="480"/>
      <c r="K21" s="480"/>
      <c r="L21" s="480"/>
    </row>
    <row r="22" spans="1:13" ht="40.200000000000003" customHeight="1" x14ac:dyDescent="0.3">
      <c r="A22" s="502" t="s">
        <v>315</v>
      </c>
      <c r="B22" s="503" t="s">
        <v>743</v>
      </c>
      <c r="C22" s="600"/>
      <c r="D22" s="516" t="str">
        <f t="shared" ref="D22:D23" si="1">IF(C22="","This Question must be answered before uploading, the report will not be processed if left blank",IF(C22="Yes","Please submit copy via LGC File Portal.",""))</f>
        <v>This Question must be answered before uploading, the report will not be processed if left blank</v>
      </c>
      <c r="E22" s="652"/>
      <c r="H22" s="480"/>
      <c r="I22" s="480"/>
      <c r="J22" s="480"/>
      <c r="K22" s="480"/>
      <c r="L22" s="480"/>
    </row>
    <row r="23" spans="1:13" ht="40.200000000000003" customHeight="1" x14ac:dyDescent="0.3">
      <c r="A23" s="502" t="s">
        <v>316</v>
      </c>
      <c r="B23" s="503" t="s">
        <v>744</v>
      </c>
      <c r="C23" s="600"/>
      <c r="D23" s="516" t="str">
        <f t="shared" si="1"/>
        <v>This Question must be answered before uploading, the report will not be processed if left blank</v>
      </c>
      <c r="E23" s="652"/>
      <c r="H23" s="480"/>
      <c r="I23" s="480"/>
      <c r="J23" s="480"/>
      <c r="K23" s="480"/>
      <c r="L23" s="480"/>
    </row>
    <row r="24" spans="1:13" s="129" customFormat="1" ht="40.200000000000003" customHeight="1" x14ac:dyDescent="0.3">
      <c r="A24" s="667" t="s">
        <v>831</v>
      </c>
      <c r="B24" s="668" t="s">
        <v>830</v>
      </c>
      <c r="C24" s="669">
        <v>45107</v>
      </c>
      <c r="D24" s="670" t="s">
        <v>832</v>
      </c>
      <c r="E24" s="652"/>
      <c r="H24" s="480"/>
      <c r="I24" s="480"/>
      <c r="J24" s="480"/>
      <c r="K24" s="480"/>
      <c r="L24" s="480"/>
      <c r="M24" s="479"/>
    </row>
    <row r="25" spans="1:13" ht="46.2" customHeight="1" x14ac:dyDescent="0.3">
      <c r="A25" s="473">
        <v>1079</v>
      </c>
      <c r="B25" s="474" t="s">
        <v>826</v>
      </c>
      <c r="C25" s="669"/>
      <c r="D25" s="671" t="str">
        <f>IF(C25="","This question must be answered before uploading. The report will not be processed if left blank.",IF(C25&gt;'Performance  Indicators Print'!N10,"Financial Performance Indicator of Concern that requires a response.",""))</f>
        <v>This question must be answered before uploading. The report will not be processed if left blank.</v>
      </c>
      <c r="E25" s="652"/>
      <c r="H25" s="480"/>
      <c r="I25" s="480"/>
      <c r="J25" s="480"/>
      <c r="K25" s="480"/>
      <c r="L25" s="480"/>
    </row>
    <row r="26" spans="1:13" ht="49.95" customHeight="1" x14ac:dyDescent="0.3">
      <c r="A26" s="502">
        <v>980</v>
      </c>
      <c r="B26" s="503" t="s">
        <v>745</v>
      </c>
      <c r="C26" s="602"/>
      <c r="D26" s="516" t="str">
        <f t="shared" si="0"/>
        <v>This Question must be answered before uploading, the report will not be processed if left blank</v>
      </c>
      <c r="E26" s="652"/>
      <c r="H26"/>
      <c r="I26"/>
      <c r="J26"/>
      <c r="K26"/>
      <c r="L26"/>
      <c r="M26"/>
    </row>
    <row r="27" spans="1:13" ht="40.200000000000003" customHeight="1" x14ac:dyDescent="0.3">
      <c r="A27" s="502">
        <v>975</v>
      </c>
      <c r="B27" s="503" t="s">
        <v>746</v>
      </c>
      <c r="C27" s="600"/>
      <c r="D27" s="516" t="str">
        <f t="shared" si="0"/>
        <v>This Question must be answered before uploading, the report will not be processed if left blank</v>
      </c>
      <c r="E27" s="652"/>
      <c r="H27" s="480"/>
      <c r="I27" s="480"/>
      <c r="J27" s="480"/>
      <c r="K27" s="480"/>
      <c r="L27" s="480"/>
    </row>
    <row r="28" spans="1:13" ht="28.8" customHeight="1" x14ac:dyDescent="0.3">
      <c r="A28" s="689" t="s">
        <v>747</v>
      </c>
      <c r="B28" s="647"/>
      <c r="C28" s="651"/>
      <c r="D28" s="650"/>
      <c r="E28" s="652"/>
      <c r="H28"/>
      <c r="I28"/>
      <c r="J28"/>
      <c r="K28"/>
      <c r="L28"/>
      <c r="M28"/>
    </row>
    <row r="29" spans="1:13" ht="37.200000000000003" customHeight="1" x14ac:dyDescent="0.3">
      <c r="A29" s="473">
        <v>1068</v>
      </c>
      <c r="B29" s="474" t="s">
        <v>748</v>
      </c>
      <c r="C29" s="648"/>
      <c r="D29" s="516" t="str">
        <f>IF(C29="","This Question must be answered before uploading, the report will not be processed if left blank","")</f>
        <v>This Question must be answered before uploading, the report will not be processed if left blank</v>
      </c>
      <c r="E29" s="652"/>
      <c r="H29"/>
      <c r="I29"/>
      <c r="J29"/>
      <c r="K29"/>
      <c r="L29"/>
      <c r="M29"/>
    </row>
    <row r="30" spans="1:13" ht="37.799999999999997" customHeight="1" x14ac:dyDescent="0.3">
      <c r="A30" s="473">
        <v>1069</v>
      </c>
      <c r="B30" s="474" t="s">
        <v>749</v>
      </c>
      <c r="C30" s="648"/>
      <c r="D30" s="516" t="str">
        <f t="shared" ref="D30:D32" si="2">IF(C30="","This Question must be answered before uploading, the report will not be processed if left blank","")</f>
        <v>This Question must be answered before uploading, the report will not be processed if left blank</v>
      </c>
      <c r="E30" s="652"/>
      <c r="H30"/>
      <c r="I30"/>
      <c r="J30"/>
      <c r="K30"/>
      <c r="L30"/>
      <c r="M30"/>
    </row>
    <row r="31" spans="1:13" ht="36.6" customHeight="1" x14ac:dyDescent="0.3">
      <c r="A31" s="473">
        <v>1070</v>
      </c>
      <c r="B31" s="474" t="s">
        <v>750</v>
      </c>
      <c r="C31" s="648"/>
      <c r="D31" s="516" t="str">
        <f t="shared" si="2"/>
        <v>This Question must be answered before uploading, the report will not be processed if left blank</v>
      </c>
      <c r="E31" s="652"/>
      <c r="H31"/>
      <c r="I31"/>
      <c r="J31"/>
      <c r="K31"/>
      <c r="L31"/>
      <c r="M31"/>
    </row>
    <row r="32" spans="1:13" ht="43.2" customHeight="1" x14ac:dyDescent="0.3">
      <c r="A32" s="473">
        <v>1071</v>
      </c>
      <c r="B32" s="474" t="s">
        <v>838</v>
      </c>
      <c r="C32" s="649"/>
      <c r="D32" s="516" t="str">
        <f t="shared" si="2"/>
        <v>This Question must be answered before uploading, the report will not be processed if left blank</v>
      </c>
      <c r="E32" s="652"/>
      <c r="H32"/>
      <c r="I32"/>
      <c r="J32"/>
      <c r="K32"/>
      <c r="L32"/>
      <c r="M32"/>
    </row>
    <row r="33" spans="1:13" x14ac:dyDescent="0.3">
      <c r="A33"/>
      <c r="D33"/>
      <c r="E33" s="652"/>
      <c r="H33"/>
      <c r="I33"/>
      <c r="J33"/>
      <c r="K33"/>
      <c r="L33"/>
      <c r="M33"/>
    </row>
    <row r="34" spans="1:13" s="129" customFormat="1" ht="40.200000000000003" customHeight="1" x14ac:dyDescent="0.3">
      <c r="A34" s="504" t="s">
        <v>317</v>
      </c>
      <c r="B34" s="517" t="str">
        <f>IF(D34="","This Question must be answered before uploading, the report will not be processed if left blank","")</f>
        <v>This Question must be answered before uploading, the report will not be processed if left blank</v>
      </c>
      <c r="C34" s="604" t="s">
        <v>299</v>
      </c>
      <c r="D34" s="603"/>
      <c r="E34" s="652"/>
      <c r="F34"/>
      <c r="G34"/>
      <c r="H34" s="479"/>
      <c r="I34" s="479"/>
      <c r="J34" s="479"/>
      <c r="K34" s="479"/>
      <c r="L34" s="479"/>
      <c r="M34" s="479"/>
    </row>
    <row r="35" spans="1:13" ht="14.4" customHeight="1" x14ac:dyDescent="0.3">
      <c r="A35" s="417"/>
      <c r="B35" s="470"/>
      <c r="C35" s="605"/>
      <c r="D35" s="505"/>
      <c r="E35" s="652"/>
    </row>
    <row r="36" spans="1:13" ht="40.200000000000003" customHeight="1" x14ac:dyDescent="0.3">
      <c r="A36" s="504" t="s">
        <v>318</v>
      </c>
      <c r="B36" s="517" t="str">
        <f>IF(D36="","This Question must be answered before uploading, the report will not be processed if left blank","")</f>
        <v>This Question must be answered before uploading, the report will not be processed if left blank</v>
      </c>
      <c r="C36" s="604" t="s">
        <v>300</v>
      </c>
      <c r="D36" s="603"/>
      <c r="E36" s="652"/>
    </row>
    <row r="37" spans="1:13" ht="14.4" customHeight="1" x14ac:dyDescent="0.3">
      <c r="A37" s="417"/>
      <c r="B37" s="470"/>
      <c r="C37" s="605"/>
      <c r="D37" s="505"/>
      <c r="E37" s="652"/>
    </row>
    <row r="38" spans="1:13" s="129" customFormat="1" ht="40.200000000000003" customHeight="1" x14ac:dyDescent="0.3">
      <c r="A38" s="504" t="s">
        <v>380</v>
      </c>
      <c r="B38" s="517" t="str">
        <f>IF(D38="","This Question must be answered before uploading, the report will not be processed if left blank","")</f>
        <v>This Question must be answered before uploading, the report will not be processed if left blank</v>
      </c>
      <c r="C38" s="604" t="s">
        <v>546</v>
      </c>
      <c r="D38" s="523"/>
      <c r="E38" s="652"/>
      <c r="F38"/>
      <c r="G38"/>
      <c r="H38" s="479"/>
      <c r="I38" s="479"/>
      <c r="J38" s="479"/>
      <c r="K38" s="479"/>
      <c r="L38" s="479"/>
      <c r="M38" s="479"/>
    </row>
    <row r="42" spans="1:13" x14ac:dyDescent="0.3">
      <c r="A42" s="606">
        <f>SUM(A9:A41)</f>
        <v>19135</v>
      </c>
      <c r="B42" s="607" t="s">
        <v>301</v>
      </c>
      <c r="C42" s="608">
        <v>1</v>
      </c>
      <c r="D42" s="609" t="s">
        <v>230</v>
      </c>
    </row>
    <row r="43" spans="1:13" x14ac:dyDescent="0.3">
      <c r="A43" s="610"/>
      <c r="B43" s="611" t="s">
        <v>302</v>
      </c>
      <c r="C43" s="612">
        <v>45212</v>
      </c>
      <c r="D43" s="613"/>
    </row>
    <row r="44" spans="1:13" x14ac:dyDescent="0.3">
      <c r="B44" s="418"/>
      <c r="C44" s="470"/>
    </row>
    <row r="49" spans="2:3" x14ac:dyDescent="0.3">
      <c r="B49" s="418"/>
      <c r="C49" s="470"/>
    </row>
  </sheetData>
  <sheetProtection algorithmName="SHA-512" hashValue="pvnO6f7G4SQX+37lxVETqZDxDiIYvM1YyYZuA72VZRGETQqdjZm516T9jBG4PuokodJ9TbgLTCRZ/4ao51Zhlg==" saltValue="Q+IMW//WGjc+YmLa1CSVhw==" spinCount="100000" sheet="1" objects="1" scenarios="1"/>
  <mergeCells count="3">
    <mergeCell ref="A2:D2"/>
    <mergeCell ref="A4:D4"/>
    <mergeCell ref="A6:D6"/>
  </mergeCells>
  <conditionalFormatting sqref="D38">
    <cfRule type="expression" dxfId="7" priority="10">
      <formula>$T38</formula>
    </cfRule>
  </conditionalFormatting>
  <dataValidations count="13">
    <dataValidation type="list" allowBlank="1" showInputMessage="1" showErrorMessage="1" prompt="Please select Yes or No from the drop down list" sqref="C16 C27:C29 C31 C14 C11:C12 C21:C23"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date" operator="greaterThan" showInputMessage="1" showErrorMessage="1" promptTitle="MM/DD/YYYY" prompt="This cannot be blank" sqref="C26" xr:uid="{F2F609DE-2DD8-4C56-AEA4-B39EA636E384}">
      <formula1>45107</formula1>
    </dataValidation>
    <dataValidation type="list" allowBlank="1" showInputMessage="1" showErrorMessage="1" prompt="Please select Yes or No from the drop down list" sqref="C26" xr:uid="{B4C96C02-4742-4E38-B12A-360ABBD230F0}">
      <formula1>"Yes,No"</formula1>
    </dataValidation>
    <dataValidation type="list" allowBlank="1" showInputMessage="1" showErrorMessage="1" sqref="C26" xr:uid="{C1CF9E65-608C-4B9B-B8C1-8E5A300F6B99}">
      <formula1>"Yes, No"</formula1>
    </dataValidation>
    <dataValidation type="list" allowBlank="1" showInputMessage="1" showErrorMessage="1" sqref="C26" xr:uid="{2F6B1B33-D794-41C2-9ACB-1601D80589F6}">
      <formula1>"Yes,No"</formula1>
    </dataValidation>
    <dataValidation type="date" operator="greaterThan" allowBlank="1" showInputMessage="1" showErrorMessage="1" sqref="D38" xr:uid="{C03418DF-3B42-4CD5-A316-291388505573}">
      <formula1>44742</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from the drop down list" sqref="C30" xr:uid="{BAD1C268-CADD-414C-B40C-8F54E4DFB082}">
      <formula1>"Yes, No, N/A"</formula1>
    </dataValidation>
    <dataValidation type="list" allowBlank="1" showInputMessage="1" showErrorMessage="1" prompt="Please select Yes, No or N/A from the dropdown list." sqref="C13" xr:uid="{B14083D8-D98E-4A93-8E51-8350C3678A3D}">
      <formula1>"Yes, No, N/A"</formula1>
    </dataValidation>
    <dataValidation type="list" allowBlank="1" showInputMessage="1" showErrorMessage="1" prompt="Please select Yes or No or N/A from the drop down list" sqref="C20" xr:uid="{C9D2971A-D107-4BF6-9E89-C41ED0685A6B}">
      <formula1>"Yes, No, N/A"</formula1>
    </dataValidation>
    <dataValidation type="whole" operator="greaterThan" showInputMessage="1" showErrorMessage="1" errorTitle="wrong" sqref="F26" xr:uid="{7FD50A63-C8DD-4C07-881C-8AF5B46C2B1C}">
      <formula1>F24</formula1>
    </dataValidation>
    <dataValidation type="custom" allowBlank="1" showInputMessage="1" showErrorMessage="1" error="Submit Date is equal or prior to fiscal year end date._x000a_" sqref="C25" xr:uid="{33A88041-4329-4B1D-BD17-5747D01D87A7}">
      <formula1>C24&lt;C25</formula1>
    </dataValidation>
  </dataValidations>
  <pageMargins left="0.7" right="0.7" top="0.75" bottom="0.75" header="0.3" footer="0.3"/>
  <pageSetup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5"/>
  <sheetViews>
    <sheetView showGridLines="0" zoomScale="80" zoomScaleNormal="80" workbookViewId="0">
      <selection activeCell="F4" sqref="F4:G5"/>
    </sheetView>
  </sheetViews>
  <sheetFormatPr defaultColWidth="9.109375" defaultRowHeight="14.4" x14ac:dyDescent="0.3"/>
  <cols>
    <col min="1" max="1" width="6.33203125" style="371" customWidth="1"/>
    <col min="2" max="2" width="57.6640625" style="371" customWidth="1"/>
    <col min="3" max="4" width="14.33203125" style="371" customWidth="1"/>
    <col min="5" max="7" width="17.33203125" style="371" customWidth="1"/>
    <col min="8" max="8" width="71.44140625" style="371" customWidth="1"/>
    <col min="9" max="9" width="56.77734375" style="372" customWidth="1"/>
    <col min="10" max="10" width="46.109375" style="372" customWidth="1"/>
    <col min="11" max="11" width="9.109375" style="468" hidden="1" customWidth="1"/>
    <col min="12" max="12" width="27.5546875" style="455" hidden="1" customWidth="1"/>
    <col min="13" max="14" width="15.6640625" style="455" hidden="1" customWidth="1"/>
    <col min="15" max="15" width="56.33203125" style="455" hidden="1" customWidth="1"/>
    <col min="16" max="16" width="11.109375" style="456" hidden="1" customWidth="1"/>
    <col min="17" max="17" width="9.109375" style="457" hidden="1" customWidth="1"/>
    <col min="18" max="18" width="9.109375" style="457" customWidth="1"/>
    <col min="19" max="59" width="9.109375" style="457"/>
    <col min="60" max="16384" width="9.109375" style="371"/>
  </cols>
  <sheetData>
    <row r="1" spans="1:81" ht="40.5" customHeight="1" thickBot="1" x14ac:dyDescent="0.35">
      <c r="A1" s="429"/>
      <c r="B1" s="745" t="s">
        <v>536</v>
      </c>
      <c r="C1" s="745"/>
      <c r="D1" s="745"/>
      <c r="E1" s="745"/>
      <c r="F1" s="745"/>
      <c r="G1" s="745"/>
      <c r="H1" s="746"/>
      <c r="I1" s="743"/>
      <c r="J1" s="744"/>
      <c r="K1" s="454"/>
    </row>
    <row r="2" spans="1:81" ht="72" customHeight="1" thickBot="1" x14ac:dyDescent="0.35">
      <c r="A2" s="430"/>
      <c r="B2" s="747" t="s">
        <v>537</v>
      </c>
      <c r="C2" s="748"/>
      <c r="D2" s="748"/>
      <c r="E2" s="748"/>
      <c r="F2" s="748"/>
      <c r="G2" s="748"/>
      <c r="H2" s="749"/>
      <c r="I2" s="762" t="s">
        <v>538</v>
      </c>
      <c r="J2" s="764" t="s">
        <v>617</v>
      </c>
      <c r="K2" s="458"/>
    </row>
    <row r="3" spans="1:81" ht="15" customHeight="1" thickBot="1" x14ac:dyDescent="0.35">
      <c r="A3" s="431"/>
      <c r="B3" s="432"/>
      <c r="C3" s="433"/>
      <c r="D3" s="433"/>
      <c r="E3" s="433"/>
      <c r="F3" s="433"/>
      <c r="G3" s="434"/>
      <c r="H3" s="453"/>
      <c r="I3" s="763"/>
      <c r="J3" s="765"/>
      <c r="K3" s="458"/>
    </row>
    <row r="4" spans="1:81" ht="21.75" customHeight="1" thickBot="1" x14ac:dyDescent="0.35">
      <c r="A4" s="435"/>
      <c r="B4" s="436" t="s">
        <v>313</v>
      </c>
      <c r="C4" s="750" t="str">
        <f>'Unit Data from Audit Worksheet'!D2</f>
        <v>Select Unit Name from Drop Down List</v>
      </c>
      <c r="D4" s="751"/>
      <c r="E4" s="752"/>
      <c r="F4" s="753" t="s">
        <v>828</v>
      </c>
      <c r="G4" s="754"/>
      <c r="H4" s="757" t="s">
        <v>307</v>
      </c>
      <c r="I4" s="763"/>
      <c r="J4" s="765"/>
      <c r="K4" s="459"/>
      <c r="L4" s="460"/>
    </row>
    <row r="5" spans="1:81" ht="21.6" thickBot="1" x14ac:dyDescent="0.35">
      <c r="A5" s="437"/>
      <c r="B5" s="438" t="s">
        <v>306</v>
      </c>
      <c r="C5" s="759" t="e">
        <f>'Unit Data from Audit Worksheet'!D3</f>
        <v>#N/A</v>
      </c>
      <c r="D5" s="760"/>
      <c r="E5" s="761"/>
      <c r="F5" s="755"/>
      <c r="G5" s="756"/>
      <c r="H5" s="758"/>
      <c r="I5" s="763"/>
      <c r="J5" s="765"/>
      <c r="K5" s="461"/>
      <c r="L5" s="462" t="s">
        <v>309</v>
      </c>
    </row>
    <row r="6" spans="1:81" ht="18.75" customHeight="1" thickBot="1" x14ac:dyDescent="0.35">
      <c r="A6" s="431"/>
      <c r="B6" s="730" t="s">
        <v>542</v>
      </c>
      <c r="C6" s="731"/>
      <c r="D6" s="731"/>
      <c r="E6" s="731"/>
      <c r="F6" s="731"/>
      <c r="G6" s="731"/>
      <c r="H6" s="732"/>
      <c r="I6" s="763"/>
      <c r="J6" s="765"/>
      <c r="K6" s="461"/>
      <c r="L6" s="462"/>
    </row>
    <row r="7" spans="1:81" ht="27.75" customHeight="1" thickBot="1" x14ac:dyDescent="0.35">
      <c r="A7" s="374"/>
      <c r="B7" s="735" t="s">
        <v>374</v>
      </c>
      <c r="C7" s="736"/>
      <c r="D7" s="736"/>
      <c r="E7" s="736"/>
      <c r="F7" s="518" t="s">
        <v>327</v>
      </c>
      <c r="G7" s="518" t="s">
        <v>375</v>
      </c>
      <c r="H7" s="440"/>
      <c r="I7" s="515"/>
      <c r="J7" s="441"/>
      <c r="K7" s="463"/>
      <c r="L7" s="455">
        <v>2021</v>
      </c>
      <c r="M7" s="460">
        <v>2022</v>
      </c>
      <c r="N7" s="455">
        <v>2023</v>
      </c>
      <c r="O7" s="464"/>
      <c r="P7" s="465"/>
    </row>
    <row r="8" spans="1:81" ht="202.5" customHeight="1" thickBot="1" x14ac:dyDescent="0.35">
      <c r="A8" s="439" t="s">
        <v>622</v>
      </c>
      <c r="B8" s="737"/>
      <c r="C8" s="737"/>
      <c r="D8" s="737"/>
      <c r="E8" s="738"/>
      <c r="F8" s="388">
        <v>0.08</v>
      </c>
      <c r="G8" s="373" t="e">
        <f>N8</f>
        <v>#DIV/0!</v>
      </c>
      <c r="H8" s="381" t="s">
        <v>619</v>
      </c>
      <c r="I8" s="384" t="s">
        <v>618</v>
      </c>
      <c r="J8" s="690"/>
      <c r="K8" s="461"/>
      <c r="L8" s="467" t="e">
        <f>HLOOKUP($C$4,'PY2 Data(H)'!C1:$AJ$400,296,FALSE)</f>
        <v>#N/A</v>
      </c>
      <c r="M8" s="467" t="e">
        <f>HLOOKUP($C$4,'PY1 Data(H)'!C1:$AJ$215,109,FALSE)</f>
        <v>#N/A</v>
      </c>
      <c r="N8" s="466" t="e">
        <f>(Import!L38+Import!L39-Import!L42-Import!L43-Import!L67)/(Import!L52+Import!L54-Import!L55)</f>
        <v>#DIV/0!</v>
      </c>
      <c r="O8" s="464"/>
      <c r="P8" s="465"/>
    </row>
    <row r="9" spans="1:81" s="129" customFormat="1" ht="18.600000000000001" thickBot="1" x14ac:dyDescent="0.35">
      <c r="A9" s="389"/>
      <c r="B9" s="739" t="s">
        <v>376</v>
      </c>
      <c r="C9" s="724"/>
      <c r="D9" s="740"/>
      <c r="E9" s="376">
        <v>2023</v>
      </c>
      <c r="F9" s="444" t="s">
        <v>377</v>
      </c>
      <c r="G9" s="445"/>
      <c r="H9" s="375"/>
      <c r="I9" s="386"/>
      <c r="J9" s="691"/>
      <c r="K9" s="461"/>
      <c r="L9" s="455"/>
      <c r="M9" s="455"/>
      <c r="N9" s="455"/>
      <c r="O9" s="455"/>
      <c r="P9" s="456"/>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c r="AY9" s="457"/>
      <c r="AZ9" s="457"/>
      <c r="BA9" s="457"/>
      <c r="BB9" s="457"/>
      <c r="BC9" s="457"/>
      <c r="BD9" s="457"/>
      <c r="BE9" s="457"/>
      <c r="BF9" s="457"/>
      <c r="BG9" s="457"/>
      <c r="BH9" s="371"/>
      <c r="BI9" s="371"/>
      <c r="BJ9" s="371"/>
      <c r="BK9" s="371"/>
      <c r="BL9" s="371"/>
      <c r="BM9" s="371"/>
      <c r="BN9" s="371"/>
      <c r="BO9" s="371"/>
      <c r="BP9" s="371"/>
      <c r="BQ9" s="371"/>
      <c r="BR9" s="371"/>
      <c r="BS9" s="371"/>
      <c r="BT9" s="371"/>
      <c r="BU9" s="371"/>
      <c r="BV9" s="371"/>
      <c r="BW9" s="371"/>
      <c r="BX9" s="371"/>
      <c r="BY9" s="371"/>
      <c r="BZ9" s="371"/>
      <c r="CA9" s="371"/>
      <c r="CB9" s="371"/>
      <c r="CC9" s="371"/>
    </row>
    <row r="10" spans="1:81" s="129" customFormat="1" ht="92.25" customHeight="1" thickBot="1" x14ac:dyDescent="0.35">
      <c r="A10" s="446" t="s">
        <v>623</v>
      </c>
      <c r="B10" s="733" t="s">
        <v>826</v>
      </c>
      <c r="C10" s="734"/>
      <c r="D10" s="734"/>
      <c r="E10" s="665">
        <f>'TD Info Completed by Auditor'!C25</f>
        <v>0</v>
      </c>
      <c r="F10" s="448"/>
      <c r="G10" s="442" t="str">
        <f>IF('TD Info Completed by Auditor'!C25&gt;N10,"Late","Response Not Required")</f>
        <v>Response Not Required</v>
      </c>
      <c r="H10" s="383" t="s">
        <v>378</v>
      </c>
      <c r="I10" s="666" t="s">
        <v>829</v>
      </c>
      <c r="J10" s="692"/>
      <c r="K10" s="461"/>
      <c r="L10" s="672">
        <f>'TD Info Completed by Auditor'!C25</f>
        <v>0</v>
      </c>
      <c r="M10" s="673">
        <f>'TD Info Completed by Auditor'!C24</f>
        <v>45107</v>
      </c>
      <c r="N10" s="674">
        <f>IF(M10=DATEVALUE("6/30/2023"),N12,IF(M10=DATEVALUE("9/30/2023"),N13,IF(M10=DATEVALUE("12/31/2023"),N14,IF(M10=DATEVALUE("3/31/2024"),N15))))</f>
        <v>45291</v>
      </c>
      <c r="O10" s="455"/>
      <c r="P10" s="456"/>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457"/>
      <c r="AQ10" s="457"/>
      <c r="AR10" s="457"/>
      <c r="AS10" s="457"/>
      <c r="AT10" s="457"/>
      <c r="AU10" s="457"/>
      <c r="AV10" s="457"/>
      <c r="AW10" s="457"/>
      <c r="AX10" s="457"/>
      <c r="AY10" s="457"/>
      <c r="AZ10" s="457"/>
      <c r="BA10" s="457"/>
      <c r="BB10" s="457"/>
      <c r="BC10" s="457"/>
      <c r="BD10" s="457"/>
      <c r="BE10" s="457"/>
      <c r="BF10" s="457"/>
      <c r="BG10" s="457"/>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row>
    <row r="11" spans="1:81" s="129" customFormat="1" ht="18" customHeight="1" thickBot="1" x14ac:dyDescent="0.35">
      <c r="A11" s="447"/>
      <c r="B11" s="726"/>
      <c r="C11" s="726"/>
      <c r="D11" s="727"/>
      <c r="E11" s="376">
        <v>2023</v>
      </c>
      <c r="F11" s="133" t="s">
        <v>377</v>
      </c>
      <c r="G11" s="377"/>
      <c r="H11" s="382"/>
      <c r="I11" s="387"/>
      <c r="J11" s="693"/>
      <c r="K11" s="461"/>
      <c r="L11" s="675" t="s">
        <v>833</v>
      </c>
      <c r="M11" s="455" t="s">
        <v>834</v>
      </c>
      <c r="N11" s="676"/>
      <c r="O11" s="455"/>
      <c r="P11" s="456"/>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7"/>
      <c r="AU11" s="457"/>
      <c r="AV11" s="457"/>
      <c r="AW11" s="457"/>
      <c r="AX11" s="457"/>
      <c r="AY11" s="457"/>
      <c r="AZ11" s="457"/>
      <c r="BA11" s="457"/>
      <c r="BB11" s="457"/>
      <c r="BC11" s="457"/>
      <c r="BD11" s="457"/>
      <c r="BE11" s="457"/>
      <c r="BF11" s="457"/>
      <c r="BG11" s="457"/>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row>
    <row r="12" spans="1:81" s="129" customFormat="1" ht="61.5" customHeight="1" thickBot="1" x14ac:dyDescent="0.35">
      <c r="A12" s="439" t="s">
        <v>624</v>
      </c>
      <c r="B12" s="741" t="s">
        <v>539</v>
      </c>
      <c r="C12" s="741"/>
      <c r="D12" s="742"/>
      <c r="E12" s="442" t="str">
        <f>IF(AND(Import!L70=2,AND(Import!L76&lt;=0,Import!L77&lt;=0)),"No","Yes")</f>
        <v>Yes</v>
      </c>
      <c r="F12" s="448"/>
      <c r="G12" s="442" t="str">
        <f>E12</f>
        <v>Yes</v>
      </c>
      <c r="H12" s="381" t="s">
        <v>540</v>
      </c>
      <c r="I12" s="449" t="s">
        <v>620</v>
      </c>
      <c r="J12" s="692"/>
      <c r="K12" s="461"/>
      <c r="L12" s="675"/>
      <c r="M12" s="664">
        <v>45107</v>
      </c>
      <c r="N12" s="677">
        <v>45291</v>
      </c>
      <c r="O12" s="455"/>
      <c r="P12" s="456"/>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c r="AU12" s="457"/>
      <c r="AV12" s="457"/>
      <c r="AW12" s="457"/>
      <c r="AX12" s="457"/>
      <c r="AY12" s="457"/>
      <c r="AZ12" s="457"/>
      <c r="BA12" s="457"/>
      <c r="BB12" s="457"/>
      <c r="BC12" s="457"/>
      <c r="BD12" s="457"/>
      <c r="BE12" s="457"/>
      <c r="BF12" s="457"/>
      <c r="BG12" s="457"/>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row>
    <row r="13" spans="1:81" s="129" customFormat="1" ht="18" customHeight="1" thickBot="1" x14ac:dyDescent="0.35">
      <c r="A13" s="447"/>
      <c r="B13" s="724" t="s">
        <v>376</v>
      </c>
      <c r="C13" s="724"/>
      <c r="D13" s="725"/>
      <c r="E13" s="376">
        <v>2023</v>
      </c>
      <c r="F13" s="133" t="s">
        <v>377</v>
      </c>
      <c r="G13" s="378"/>
      <c r="H13" s="377"/>
      <c r="I13" s="385"/>
      <c r="J13" s="693"/>
      <c r="K13" s="461"/>
      <c r="L13" s="675"/>
      <c r="M13" s="664">
        <v>45199</v>
      </c>
      <c r="N13" s="677">
        <v>45382</v>
      </c>
      <c r="O13" s="455"/>
      <c r="P13" s="456"/>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7"/>
      <c r="AY13" s="457"/>
      <c r="AZ13" s="457"/>
      <c r="BA13" s="457"/>
      <c r="BB13" s="457"/>
      <c r="BC13" s="457"/>
      <c r="BD13" s="457"/>
      <c r="BE13" s="457"/>
      <c r="BF13" s="457"/>
      <c r="BG13" s="457"/>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row>
    <row r="14" spans="1:81" s="129" customFormat="1" ht="99.75" customHeight="1" thickBot="1" x14ac:dyDescent="0.35">
      <c r="A14" s="439" t="s">
        <v>625</v>
      </c>
      <c r="B14" s="728" t="s">
        <v>621</v>
      </c>
      <c r="C14" s="729"/>
      <c r="D14" s="729"/>
      <c r="E14" s="450" t="str">
        <f>IF(Import!L78&gt;0,"Yes","No")</f>
        <v>No</v>
      </c>
      <c r="F14" s="448"/>
      <c r="G14" s="442" t="str">
        <f>E14</f>
        <v>No</v>
      </c>
      <c r="H14" s="381" t="s">
        <v>379</v>
      </c>
      <c r="I14" s="443" t="s">
        <v>629</v>
      </c>
      <c r="J14" s="692"/>
      <c r="K14" s="461"/>
      <c r="L14" s="675"/>
      <c r="M14" s="664">
        <v>45291</v>
      </c>
      <c r="N14" s="677">
        <v>45473</v>
      </c>
      <c r="O14" s="455"/>
      <c r="P14" s="456"/>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7"/>
      <c r="AT14" s="457"/>
      <c r="AU14" s="457"/>
      <c r="AV14" s="457"/>
      <c r="AW14" s="457"/>
      <c r="AX14" s="457"/>
      <c r="AY14" s="457"/>
      <c r="AZ14" s="457"/>
      <c r="BA14" s="457"/>
      <c r="BB14" s="457"/>
      <c r="BC14" s="457"/>
      <c r="BD14" s="457"/>
      <c r="BE14" s="457"/>
      <c r="BF14" s="457"/>
      <c r="BG14" s="457"/>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row>
    <row r="15" spans="1:81" s="372" customFormat="1" x14ac:dyDescent="0.3">
      <c r="A15" s="451"/>
      <c r="B15" s="379"/>
      <c r="C15" s="379"/>
      <c r="D15" s="379"/>
      <c r="E15" s="379"/>
      <c r="F15" s="379"/>
      <c r="G15" s="379"/>
      <c r="H15" s="379"/>
      <c r="I15" s="380"/>
      <c r="J15" s="380"/>
      <c r="K15" s="468"/>
      <c r="L15" s="678"/>
      <c r="M15" s="679">
        <v>45382</v>
      </c>
      <c r="N15" s="680">
        <v>45565</v>
      </c>
      <c r="O15" s="455"/>
      <c r="P15" s="456"/>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7"/>
      <c r="AT15" s="457"/>
      <c r="AU15" s="457"/>
      <c r="AV15" s="457"/>
      <c r="AW15" s="457"/>
      <c r="AX15" s="457"/>
      <c r="AY15" s="457"/>
      <c r="AZ15" s="457"/>
      <c r="BA15" s="457"/>
      <c r="BB15" s="457"/>
      <c r="BC15" s="457"/>
      <c r="BD15" s="457"/>
      <c r="BE15" s="457"/>
      <c r="BF15" s="457"/>
      <c r="BG15" s="457"/>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row>
  </sheetData>
  <sheetProtection algorithmName="SHA-512" hashValue="9/SikdDvDQg92CgizQwYl1uwQd70h73707McAxoUYzIxBkHANMI9fFCt1n8VWmQvEYBMCQxSUavXR/8gNDkDkw==" saltValue="fHqR7LYCLmR7ZRqXga9l3w==" spinCount="100000" sheet="1" objects="1" scenarios="1"/>
  <mergeCells count="18">
    <mergeCell ref="I1:J1"/>
    <mergeCell ref="B1:H1"/>
    <mergeCell ref="B2:H2"/>
    <mergeCell ref="C4:E4"/>
    <mergeCell ref="F4:G5"/>
    <mergeCell ref="H4:H5"/>
    <mergeCell ref="C5:E5"/>
    <mergeCell ref="I2:I6"/>
    <mergeCell ref="J2:J6"/>
    <mergeCell ref="B13:D13"/>
    <mergeCell ref="B11:D11"/>
    <mergeCell ref="B14:D14"/>
    <mergeCell ref="B6:H6"/>
    <mergeCell ref="B10:D10"/>
    <mergeCell ref="B7:E7"/>
    <mergeCell ref="B8:E8"/>
    <mergeCell ref="B9:D9"/>
    <mergeCell ref="B12:D12"/>
  </mergeCells>
  <conditionalFormatting sqref="G10">
    <cfRule type="cellIs" dxfId="6" priority="26" operator="equal">
      <formula>"Late"</formula>
    </cfRule>
  </conditionalFormatting>
  <conditionalFormatting sqref="G12">
    <cfRule type="cellIs" dxfId="5" priority="23" operator="equal">
      <formula>"Yes"</formula>
    </cfRule>
  </conditionalFormatting>
  <conditionalFormatting sqref="G8">
    <cfRule type="cellIs" dxfId="4" priority="1" operator="lessThan">
      <formula>0.08</formula>
    </cfRule>
    <cfRule type="expression" dxfId="3" priority="13">
      <formula>$G$8&lt;8%</formula>
    </cfRule>
  </conditionalFormatting>
  <conditionalFormatting sqref="E10 G10">
    <cfRule type="containsText" dxfId="2" priority="7" operator="containsText" text="This question must be answered">
      <formula>NOT(ISERROR(SEARCH("This question must be answered",E10)))</formula>
    </cfRule>
  </conditionalFormatting>
  <conditionalFormatting sqref="G14">
    <cfRule type="cellIs" dxfId="1" priority="3" operator="equal">
      <formula>"Yes"</formula>
    </cfRule>
  </conditionalFormatting>
  <conditionalFormatting sqref="G14">
    <cfRule type="containsText" dxfId="0" priority="2" operator="containsText" text="This question must be answered">
      <formula>NOT(ISERROR(SEARCH("This question must be answered",G14)))</formula>
    </cfRule>
  </conditionalFormatting>
  <pageMargins left="0.25" right="0.25" top="0.05" bottom="0.25" header="0.3" footer="0.25"/>
  <pageSetup scale="61" fitToHeight="0" orientation="landscape" r:id="rId1"/>
  <headerFooter>
    <oddFooter>&amp;C&amp;12&amp;P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5163-8549-4205-BAA0-1BC3AC0393DE}">
  <dimension ref="B1:R30"/>
  <sheetViews>
    <sheetView workbookViewId="0">
      <selection activeCell="B2" sqref="B2:D2"/>
    </sheetView>
  </sheetViews>
  <sheetFormatPr defaultColWidth="9.109375" defaultRowHeight="14.4" x14ac:dyDescent="0.3"/>
  <cols>
    <col min="1" max="1" width="2" style="129" customWidth="1"/>
    <col min="2" max="2" width="96.21875" style="129" customWidth="1"/>
    <col min="3" max="3" width="2" style="129" customWidth="1"/>
    <col min="4" max="4" width="17.6640625" style="129" customWidth="1"/>
    <col min="5" max="5" width="9.33203125" style="129" customWidth="1"/>
    <col min="6" max="6" width="14.109375" style="106" customWidth="1"/>
    <col min="7" max="7" width="50.44140625" style="370" customWidth="1"/>
    <col min="8" max="8" width="44.21875" style="129" customWidth="1"/>
    <col min="9" max="9" width="9.109375" style="129"/>
    <col min="10" max="10" width="36.77734375" style="129" customWidth="1"/>
    <col min="11" max="12" width="28.88671875" style="129" customWidth="1"/>
    <col min="13" max="13" width="9.109375" style="129"/>
    <col min="14" max="14" width="16.6640625" style="129" customWidth="1"/>
    <col min="15" max="15" width="22.5546875" style="129" customWidth="1"/>
    <col min="16" max="16" width="23.44140625" style="129" customWidth="1"/>
    <col min="17" max="17" width="9.109375" style="129"/>
    <col min="18" max="18" width="26.33203125" style="129" customWidth="1"/>
    <col min="19" max="16384" width="9.109375" style="129"/>
  </cols>
  <sheetData>
    <row r="1" spans="2:8" ht="18" x14ac:dyDescent="0.35">
      <c r="B1" s="532" t="s">
        <v>641</v>
      </c>
      <c r="C1" s="532"/>
      <c r="D1" s="532"/>
    </row>
    <row r="2" spans="2:8" x14ac:dyDescent="0.3">
      <c r="B2" s="766"/>
      <c r="C2" s="766"/>
      <c r="D2" s="766"/>
    </row>
    <row r="3" spans="2:8" ht="29.4" x14ac:dyDescent="0.35">
      <c r="B3" s="533" t="str">
        <f>'Unit Data from Audit Worksheet'!D2</f>
        <v>Select Unit Name from Drop Down List</v>
      </c>
      <c r="C3" s="423"/>
      <c r="D3" s="534">
        <v>2023</v>
      </c>
      <c r="F3" s="535" t="s">
        <v>642</v>
      </c>
      <c r="G3" s="536" t="s">
        <v>10</v>
      </c>
    </row>
    <row r="4" spans="2:8" ht="21" x14ac:dyDescent="0.3">
      <c r="B4" s="537" t="s">
        <v>30</v>
      </c>
      <c r="C4" s="187"/>
    </row>
    <row r="5" spans="2:8" ht="15.6" x14ac:dyDescent="0.3">
      <c r="B5" s="538" t="s">
        <v>643</v>
      </c>
      <c r="C5" s="538"/>
      <c r="D5" s="188"/>
    </row>
    <row r="6" spans="2:8" x14ac:dyDescent="0.3">
      <c r="B6" s="539" t="s">
        <v>644</v>
      </c>
      <c r="C6" s="539"/>
      <c r="D6" s="540">
        <f>Import!L38</f>
        <v>0</v>
      </c>
      <c r="F6" s="541">
        <v>506</v>
      </c>
      <c r="G6" s="370" t="s">
        <v>98</v>
      </c>
    </row>
    <row r="7" spans="2:8" x14ac:dyDescent="0.3">
      <c r="B7" s="539" t="s">
        <v>645</v>
      </c>
      <c r="C7" s="539"/>
      <c r="D7" s="542">
        <f>Import!L39</f>
        <v>0</v>
      </c>
      <c r="F7" s="541">
        <v>536</v>
      </c>
      <c r="G7" s="370" t="s">
        <v>99</v>
      </c>
    </row>
    <row r="8" spans="2:8" x14ac:dyDescent="0.3">
      <c r="B8"/>
      <c r="C8"/>
      <c r="D8"/>
    </row>
    <row r="9" spans="2:8" x14ac:dyDescent="0.3">
      <c r="B9" s="543" t="s">
        <v>646</v>
      </c>
      <c r="C9" s="543"/>
      <c r="D9" s="544"/>
    </row>
    <row r="10" spans="2:8" x14ac:dyDescent="0.3">
      <c r="B10" s="539" t="s">
        <v>647</v>
      </c>
      <c r="C10" s="539"/>
      <c r="D10" s="545">
        <f>Import!L42</f>
        <v>0</v>
      </c>
      <c r="F10" s="106">
        <v>4</v>
      </c>
      <c r="G10" s="370" t="s">
        <v>648</v>
      </c>
    </row>
    <row r="11" spans="2:8" x14ac:dyDescent="0.3">
      <c r="B11" s="539" t="s">
        <v>649</v>
      </c>
      <c r="C11" s="539"/>
      <c r="D11" s="545">
        <f>Import!L67</f>
        <v>0</v>
      </c>
      <c r="F11" s="106">
        <v>6</v>
      </c>
      <c r="G11" s="370" t="s">
        <v>156</v>
      </c>
    </row>
    <row r="12" spans="2:8" x14ac:dyDescent="0.3">
      <c r="B12" s="539" t="s">
        <v>650</v>
      </c>
      <c r="C12" s="539"/>
      <c r="D12" s="546">
        <f>Import!L43</f>
        <v>0</v>
      </c>
      <c r="F12" s="106">
        <v>5</v>
      </c>
      <c r="G12" s="370" t="s">
        <v>651</v>
      </c>
    </row>
    <row r="13" spans="2:8" ht="15" thickBot="1" x14ac:dyDescent="0.35">
      <c r="B13" s="547" t="s">
        <v>652</v>
      </c>
      <c r="C13" s="539"/>
      <c r="D13" s="548">
        <f>SUM(D6:D7)-SUM(D10:D12)</f>
        <v>0</v>
      </c>
      <c r="E13" s="549"/>
      <c r="F13" s="106" t="s">
        <v>653</v>
      </c>
      <c r="G13" s="550" t="s">
        <v>704</v>
      </c>
      <c r="H13" s="551"/>
    </row>
    <row r="14" spans="2:8" ht="15" thickTop="1" x14ac:dyDescent="0.3">
      <c r="B14" s="17"/>
      <c r="C14" s="17"/>
      <c r="D14" s="552"/>
    </row>
    <row r="15" spans="2:8" ht="15.6" x14ac:dyDescent="0.3">
      <c r="B15" s="538"/>
      <c r="C15" s="538"/>
      <c r="D15" s="553"/>
    </row>
    <row r="16" spans="2:8" x14ac:dyDescent="0.3">
      <c r="B16" s="17" t="s">
        <v>654</v>
      </c>
      <c r="C16" s="17"/>
      <c r="D16" s="188"/>
    </row>
    <row r="17" spans="2:18" x14ac:dyDescent="0.3">
      <c r="B17" s="539" t="s">
        <v>655</v>
      </c>
      <c r="C17" s="539"/>
      <c r="D17" s="554">
        <f>Import!L52</f>
        <v>0</v>
      </c>
      <c r="F17" s="106">
        <v>532</v>
      </c>
      <c r="G17" s="370" t="s">
        <v>427</v>
      </c>
    </row>
    <row r="18" spans="2:18" x14ac:dyDescent="0.3">
      <c r="C18" s="17"/>
      <c r="D18" s="545"/>
    </row>
    <row r="19" spans="2:18" x14ac:dyDescent="0.3">
      <c r="B19" s="17" t="s">
        <v>656</v>
      </c>
      <c r="C19" s="17"/>
      <c r="D19" s="545"/>
    </row>
    <row r="20" spans="2:18" x14ac:dyDescent="0.3">
      <c r="B20" s="539" t="s">
        <v>657</v>
      </c>
      <c r="C20" s="539"/>
      <c r="D20" s="555">
        <f>Import!L54</f>
        <v>0</v>
      </c>
      <c r="F20" s="106">
        <v>20</v>
      </c>
      <c r="G20" s="370" t="s">
        <v>658</v>
      </c>
    </row>
    <row r="21" spans="2:18" ht="28.8" x14ac:dyDescent="0.3">
      <c r="B21" s="539" t="s">
        <v>659</v>
      </c>
      <c r="C21" s="539"/>
      <c r="D21" s="545"/>
      <c r="F21" s="106">
        <v>509</v>
      </c>
      <c r="G21" s="370" t="s">
        <v>660</v>
      </c>
    </row>
    <row r="22" spans="2:18" x14ac:dyDescent="0.3">
      <c r="B22" s="539" t="s">
        <v>661</v>
      </c>
      <c r="C22" s="539"/>
      <c r="D22" s="555">
        <f>Import!L55</f>
        <v>0</v>
      </c>
      <c r="F22" s="106">
        <v>533</v>
      </c>
      <c r="G22" s="370" t="s">
        <v>428</v>
      </c>
    </row>
    <row r="23" spans="2:18" ht="28.8" x14ac:dyDescent="0.3">
      <c r="B23" s="539" t="s">
        <v>662</v>
      </c>
      <c r="C23" s="539"/>
      <c r="D23" s="555"/>
      <c r="F23" s="106">
        <v>508</v>
      </c>
      <c r="G23" s="370" t="s">
        <v>663</v>
      </c>
    </row>
    <row r="24" spans="2:18" ht="15" thickBot="1" x14ac:dyDescent="0.35">
      <c r="B24" s="547" t="s">
        <v>664</v>
      </c>
      <c r="C24" s="556"/>
      <c r="D24" s="557">
        <f>D17+D20+D21+-D22-D23</f>
        <v>0</v>
      </c>
      <c r="F24" s="106" t="s">
        <v>653</v>
      </c>
      <c r="G24" s="550" t="s">
        <v>667</v>
      </c>
    </row>
    <row r="25" spans="2:18" ht="15" thickTop="1" x14ac:dyDescent="0.3">
      <c r="B25" s="188"/>
      <c r="C25" s="188"/>
      <c r="D25" s="188"/>
    </row>
    <row r="26" spans="2:18" s="559" customFormat="1" ht="29.4" thickBot="1" x14ac:dyDescent="0.35">
      <c r="B26" s="547" t="s">
        <v>665</v>
      </c>
      <c r="C26" s="556"/>
      <c r="D26" s="558" t="e">
        <f>D13/D24</f>
        <v>#DIV/0!</v>
      </c>
      <c r="F26" s="106" t="s">
        <v>653</v>
      </c>
      <c r="G26" s="560" t="s">
        <v>666</v>
      </c>
      <c r="I26" s="129"/>
      <c r="J26" s="129"/>
      <c r="K26" s="129"/>
      <c r="L26" s="129"/>
      <c r="M26" s="129"/>
      <c r="N26" s="129"/>
      <c r="O26" s="129"/>
      <c r="P26" s="129"/>
      <c r="Q26" s="129"/>
      <c r="R26" s="129"/>
    </row>
    <row r="27" spans="2:18" s="559" customFormat="1" ht="15" thickTop="1" x14ac:dyDescent="0.3">
      <c r="B27" s="543"/>
      <c r="C27" s="543"/>
      <c r="D27" s="561"/>
      <c r="F27" s="106"/>
      <c r="G27" s="560"/>
      <c r="I27" s="129"/>
      <c r="J27" s="129"/>
      <c r="K27" s="129"/>
      <c r="L27" s="129"/>
      <c r="M27" s="129"/>
      <c r="N27" s="129"/>
      <c r="O27" s="129"/>
      <c r="P27" s="129"/>
      <c r="Q27" s="129"/>
      <c r="R27" s="129"/>
    </row>
    <row r="28" spans="2:18" s="559" customFormat="1" x14ac:dyDescent="0.3">
      <c r="B28" s="543"/>
      <c r="C28" s="543"/>
      <c r="D28" s="561"/>
      <c r="F28" s="106"/>
      <c r="G28" s="560"/>
      <c r="I28" s="129"/>
      <c r="J28" s="129"/>
      <c r="K28" s="129"/>
      <c r="L28" s="129"/>
      <c r="M28" s="129"/>
      <c r="N28" s="129"/>
      <c r="O28" s="129"/>
      <c r="P28" s="129"/>
      <c r="Q28" s="129"/>
      <c r="R28" s="129"/>
    </row>
    <row r="29" spans="2:18" s="559" customFormat="1" x14ac:dyDescent="0.3">
      <c r="B29" s="562"/>
      <c r="C29" s="562"/>
      <c r="D29" s="561"/>
      <c r="F29" s="106"/>
      <c r="G29" s="560"/>
      <c r="I29" s="129"/>
      <c r="J29" s="129"/>
      <c r="K29" s="129"/>
      <c r="L29" s="129"/>
      <c r="M29" s="129"/>
      <c r="N29" s="129"/>
      <c r="O29" s="129"/>
      <c r="P29" s="129"/>
      <c r="Q29" s="129"/>
      <c r="R29" s="129"/>
    </row>
    <row r="30" spans="2:18" x14ac:dyDescent="0.3">
      <c r="B30" s="563"/>
      <c r="C30" s="563"/>
      <c r="D30" s="564"/>
    </row>
  </sheetData>
  <sheetProtection algorithmName="SHA-512" hashValue="9kV+Jr9iceeZ4Dw7Bj9NOqhcvTxSSmeDFdXohlfcWFJxey/7juzUkfsAbpibvGY+ulx4iDyNa2lVj7tXp81yZA==" saltValue="8Atgl0RiPTAtYfQzpPomzA==" spinCount="100000" sheet="1" objects="1" scenarios="1"/>
  <mergeCells count="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DEE1-D30E-48D8-ADDC-2414840DD4EB}">
  <dimension ref="A2:K43"/>
  <sheetViews>
    <sheetView workbookViewId="0">
      <selection activeCell="C31" sqref="C31"/>
    </sheetView>
  </sheetViews>
  <sheetFormatPr defaultColWidth="9.109375" defaultRowHeight="14.4" x14ac:dyDescent="0.3"/>
  <cols>
    <col min="1" max="1" width="4.77734375" style="129" customWidth="1"/>
    <col min="2" max="2" width="77.21875" style="129" customWidth="1"/>
    <col min="3" max="3" width="20.21875" style="129" customWidth="1"/>
    <col min="4" max="4" width="3.6640625" style="129" customWidth="1"/>
    <col min="5" max="5" width="20.21875" style="129" customWidth="1"/>
    <col min="6" max="6" width="6.21875" style="129" customWidth="1"/>
    <col min="7" max="7" width="17.33203125" style="129" customWidth="1"/>
    <col min="8" max="8" width="34.77734375" style="129" customWidth="1"/>
    <col min="9" max="9" width="15" style="106" customWidth="1"/>
    <col min="10" max="10" width="56.5546875" style="129" customWidth="1"/>
    <col min="11" max="11" width="18.33203125" style="129" customWidth="1"/>
    <col min="12" max="12" width="19.88671875" style="129" customWidth="1"/>
    <col min="13" max="13" width="17.77734375" style="129" customWidth="1"/>
    <col min="14" max="16384" width="9.109375" style="129"/>
  </cols>
  <sheetData>
    <row r="2" spans="1:11" ht="14.4" customHeight="1" x14ac:dyDescent="0.3">
      <c r="B2" s="767" t="s">
        <v>668</v>
      </c>
      <c r="C2" s="767"/>
      <c r="D2" s="767"/>
      <c r="E2" s="767"/>
      <c r="F2" s="565"/>
      <c r="G2" s="566"/>
    </row>
    <row r="4" spans="1:11" ht="15.6" x14ac:dyDescent="0.3">
      <c r="A4" s="566"/>
      <c r="B4" s="567" t="str">
        <f>'Unit Data from Audit Worksheet'!D2</f>
        <v>Select Unit Name from Drop Down List</v>
      </c>
      <c r="C4" s="568">
        <f>'Unit Data from Audit Worksheet'!F5</f>
        <v>2023</v>
      </c>
      <c r="E4" s="569">
        <f>'Unit Data from Audit Worksheet'!F5</f>
        <v>2023</v>
      </c>
    </row>
    <row r="5" spans="1:11" ht="55.2" customHeight="1" x14ac:dyDescent="0.4">
      <c r="A5" s="570"/>
      <c r="B5" s="187" t="s">
        <v>30</v>
      </c>
      <c r="C5" s="571" t="s">
        <v>669</v>
      </c>
      <c r="D5" s="570"/>
      <c r="E5" s="572" t="s">
        <v>670</v>
      </c>
      <c r="G5" s="106"/>
      <c r="I5" s="129"/>
    </row>
    <row r="6" spans="1:11" x14ac:dyDescent="0.3">
      <c r="A6" s="566"/>
      <c r="B6" s="573" t="s">
        <v>671</v>
      </c>
      <c r="C6" s="188"/>
      <c r="D6" s="188"/>
      <c r="E6" s="188"/>
      <c r="G6" s="106"/>
      <c r="I6" s="129"/>
    </row>
    <row r="7" spans="1:11" x14ac:dyDescent="0.3">
      <c r="A7" s="566"/>
      <c r="B7" s="574" t="s">
        <v>672</v>
      </c>
      <c r="C7" s="540">
        <f>Import!L38</f>
        <v>0</v>
      </c>
      <c r="D7" s="575"/>
      <c r="E7" s="540">
        <f>C7</f>
        <v>0</v>
      </c>
      <c r="G7" s="576">
        <v>506</v>
      </c>
      <c r="H7" s="577" t="s">
        <v>98</v>
      </c>
      <c r="I7" s="129"/>
    </row>
    <row r="8" spans="1:11" x14ac:dyDescent="0.3">
      <c r="A8" s="566"/>
      <c r="B8" s="574" t="s">
        <v>673</v>
      </c>
      <c r="C8" s="544">
        <f>Import!L39</f>
        <v>0</v>
      </c>
      <c r="D8" s="578"/>
      <c r="E8" s="578"/>
      <c r="G8" s="576">
        <v>536</v>
      </c>
      <c r="H8" s="577" t="s">
        <v>99</v>
      </c>
      <c r="I8" s="129"/>
    </row>
    <row r="9" spans="1:11" x14ac:dyDescent="0.3">
      <c r="A9" s="566"/>
      <c r="B9" s="574" t="s">
        <v>674</v>
      </c>
      <c r="C9" s="614">
        <f>Import!L42</f>
        <v>0</v>
      </c>
      <c r="D9" s="578"/>
      <c r="E9" s="614">
        <f>C9</f>
        <v>0</v>
      </c>
      <c r="G9" s="576">
        <v>4</v>
      </c>
      <c r="H9" s="577" t="s">
        <v>49</v>
      </c>
      <c r="I9" s="129"/>
    </row>
    <row r="10" spans="1:11" x14ac:dyDescent="0.3">
      <c r="A10" s="566"/>
      <c r="B10" s="574" t="s">
        <v>675</v>
      </c>
      <c r="C10" s="545">
        <f>Import!L67</f>
        <v>0</v>
      </c>
      <c r="D10" s="578"/>
      <c r="E10" s="614">
        <f>C10</f>
        <v>0</v>
      </c>
      <c r="G10" s="576">
        <v>6</v>
      </c>
      <c r="H10" s="577" t="s">
        <v>156</v>
      </c>
      <c r="I10" s="129"/>
    </row>
    <row r="11" spans="1:11" x14ac:dyDescent="0.3">
      <c r="A11" s="566"/>
      <c r="B11" s="574" t="s">
        <v>676</v>
      </c>
      <c r="C11" s="546">
        <f>Import!L43</f>
        <v>0</v>
      </c>
      <c r="D11" s="579"/>
      <c r="E11" s="614">
        <f>C11</f>
        <v>0</v>
      </c>
      <c r="G11" s="576">
        <v>5</v>
      </c>
      <c r="H11" s="577" t="s">
        <v>50</v>
      </c>
      <c r="I11" s="129"/>
    </row>
    <row r="12" spans="1:11" x14ac:dyDescent="0.3">
      <c r="A12" s="17"/>
      <c r="B12" s="574" t="s">
        <v>677</v>
      </c>
      <c r="C12" s="615">
        <f>C7+C8-SUM(C9:C11)</f>
        <v>0</v>
      </c>
      <c r="E12" s="615">
        <f>E7-SUM(E9:E11)</f>
        <v>0</v>
      </c>
      <c r="G12" s="576" t="s">
        <v>678</v>
      </c>
      <c r="H12" s="580" t="s">
        <v>704</v>
      </c>
      <c r="I12" s="577" t="s">
        <v>707</v>
      </c>
      <c r="J12" s="580" t="s">
        <v>708</v>
      </c>
      <c r="K12" s="589"/>
    </row>
    <row r="13" spans="1:11" x14ac:dyDescent="0.3">
      <c r="A13" s="566"/>
      <c r="B13" s="566"/>
      <c r="C13" s="188"/>
      <c r="D13" s="188"/>
      <c r="E13" s="188"/>
      <c r="G13" s="576"/>
      <c r="H13" s="577"/>
      <c r="I13" s="129"/>
    </row>
    <row r="14" spans="1:11" x14ac:dyDescent="0.3">
      <c r="A14" s="566"/>
      <c r="B14" s="574" t="s">
        <v>679</v>
      </c>
      <c r="C14" s="616">
        <f>Import!L49</f>
        <v>0</v>
      </c>
      <c r="D14" s="188"/>
      <c r="E14" s="188"/>
      <c r="G14" s="576">
        <v>9</v>
      </c>
      <c r="H14" s="577" t="s">
        <v>104</v>
      </c>
      <c r="I14" s="129"/>
    </row>
    <row r="15" spans="1:11" x14ac:dyDescent="0.3">
      <c r="A15" s="566"/>
      <c r="B15" s="574" t="s">
        <v>680</v>
      </c>
      <c r="C15" s="617">
        <f>C14-C12</f>
        <v>0</v>
      </c>
      <c r="D15" s="188"/>
      <c r="E15" s="188"/>
      <c r="G15" s="576" t="s">
        <v>678</v>
      </c>
      <c r="H15" s="580" t="s">
        <v>705</v>
      </c>
      <c r="I15" s="591"/>
    </row>
    <row r="16" spans="1:11" x14ac:dyDescent="0.3">
      <c r="A16" s="566"/>
      <c r="B16" s="581" t="s">
        <v>681</v>
      </c>
      <c r="C16" s="188"/>
      <c r="D16" s="188"/>
      <c r="E16" s="188"/>
      <c r="G16" s="576"/>
      <c r="H16" s="577"/>
      <c r="I16" s="129"/>
    </row>
    <row r="17" spans="1:9" x14ac:dyDescent="0.3">
      <c r="A17" s="582" t="s">
        <v>682</v>
      </c>
      <c r="B17" s="574" t="s">
        <v>683</v>
      </c>
      <c r="C17" s="617">
        <f>Import!L46</f>
        <v>0</v>
      </c>
      <c r="D17" s="188"/>
      <c r="E17" s="188"/>
      <c r="G17" s="576">
        <v>7</v>
      </c>
      <c r="H17" s="577" t="s">
        <v>102</v>
      </c>
      <c r="I17" s="129"/>
    </row>
    <row r="18" spans="1:9" ht="15" thickBot="1" x14ac:dyDescent="0.35">
      <c r="B18" s="574" t="s">
        <v>684</v>
      </c>
      <c r="C18" s="618">
        <f>(C15-SUM(C17:C17))</f>
        <v>0</v>
      </c>
      <c r="D18" s="188"/>
      <c r="E18" s="188"/>
      <c r="G18" s="576" t="s">
        <v>678</v>
      </c>
      <c r="H18" s="580" t="s">
        <v>706</v>
      </c>
      <c r="I18" s="129"/>
    </row>
    <row r="19" spans="1:9" ht="15" thickTop="1" x14ac:dyDescent="0.3">
      <c r="B19" s="566"/>
      <c r="C19" s="188"/>
      <c r="D19" s="188"/>
      <c r="E19" s="188"/>
      <c r="G19" s="576"/>
      <c r="H19" s="577"/>
      <c r="I19" s="129"/>
    </row>
    <row r="20" spans="1:9" ht="15" thickBot="1" x14ac:dyDescent="0.35">
      <c r="B20" s="574" t="s">
        <v>685</v>
      </c>
      <c r="C20" s="619">
        <f>Import!L45</f>
        <v>0</v>
      </c>
      <c r="D20" s="188"/>
      <c r="E20" s="188"/>
      <c r="G20" s="576">
        <v>391</v>
      </c>
      <c r="H20" s="577" t="s">
        <v>101</v>
      </c>
      <c r="I20" s="129"/>
    </row>
    <row r="21" spans="1:9" ht="15.6" thickTop="1" thickBot="1" x14ac:dyDescent="0.35">
      <c r="B21" s="583"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20">
        <f>ABS(C18-C20)</f>
        <v>0</v>
      </c>
      <c r="D21" s="188"/>
      <c r="E21" s="188"/>
      <c r="G21" s="106"/>
      <c r="I21" s="129"/>
    </row>
    <row r="22" spans="1:9" ht="28.2" customHeight="1" thickTop="1" x14ac:dyDescent="0.3">
      <c r="B22" s="584" t="str">
        <f>IF(C18&gt;C20,"Since Restricted-Stabilization by State Statute was understated, verfiy that the unit did not appropriate fund balance in excess of legal amount available in row 12 above.","")</f>
        <v/>
      </c>
      <c r="C22" s="584"/>
      <c r="D22" s="584"/>
      <c r="E22" s="584"/>
      <c r="F22" s="188"/>
      <c r="G22" s="188"/>
    </row>
    <row r="23" spans="1:9" x14ac:dyDescent="0.3">
      <c r="B23" s="581" t="s">
        <v>686</v>
      </c>
      <c r="C23" s="188"/>
      <c r="D23" s="188"/>
      <c r="E23" s="585" t="s">
        <v>687</v>
      </c>
      <c r="G23" s="106"/>
      <c r="I23" s="129"/>
    </row>
    <row r="24" spans="1:9" x14ac:dyDescent="0.3">
      <c r="B24" s="581"/>
      <c r="C24" s="571" t="s">
        <v>688</v>
      </c>
      <c r="D24" s="188"/>
      <c r="E24" s="571" t="s">
        <v>689</v>
      </c>
      <c r="G24" s="106"/>
      <c r="I24" s="129"/>
    </row>
    <row r="25" spans="1:9" x14ac:dyDescent="0.3">
      <c r="B25" s="573" t="s">
        <v>690</v>
      </c>
      <c r="C25" s="188"/>
      <c r="D25" s="188"/>
      <c r="E25" s="188"/>
      <c r="G25" s="106"/>
      <c r="I25" s="129"/>
    </row>
    <row r="26" spans="1:9" x14ac:dyDescent="0.3">
      <c r="B26" s="574" t="s">
        <v>691</v>
      </c>
      <c r="C26" s="540">
        <f>Import!L52</f>
        <v>0</v>
      </c>
      <c r="D26" s="575"/>
      <c r="E26" s="540">
        <f>C26</f>
        <v>0</v>
      </c>
      <c r="G26" s="541">
        <v>532</v>
      </c>
      <c r="H26" s="586" t="s">
        <v>636</v>
      </c>
      <c r="I26" s="129"/>
    </row>
    <row r="27" spans="1:9" x14ac:dyDescent="0.3">
      <c r="B27" s="573" t="s">
        <v>692</v>
      </c>
      <c r="C27" s="188"/>
      <c r="D27" s="188"/>
      <c r="E27" s="188"/>
      <c r="G27" s="106"/>
      <c r="H27" s="577"/>
      <c r="I27" s="129"/>
    </row>
    <row r="28" spans="1:9" x14ac:dyDescent="0.3">
      <c r="B28" s="574" t="s">
        <v>693</v>
      </c>
      <c r="C28" s="544">
        <f>Import!L54</f>
        <v>0</v>
      </c>
      <c r="D28" s="578"/>
      <c r="E28" s="544">
        <f>C28</f>
        <v>0</v>
      </c>
      <c r="G28" s="541">
        <v>20</v>
      </c>
      <c r="H28" s="577" t="s">
        <v>109</v>
      </c>
      <c r="I28" s="129"/>
    </row>
    <row r="29" spans="1:9" ht="41.4" x14ac:dyDescent="0.3">
      <c r="B29" s="574" t="s">
        <v>694</v>
      </c>
      <c r="C29" s="544"/>
      <c r="D29" s="578"/>
      <c r="E29" s="544">
        <f>C29</f>
        <v>0</v>
      </c>
      <c r="G29" s="541">
        <v>509</v>
      </c>
      <c r="H29" s="587" t="s">
        <v>660</v>
      </c>
      <c r="I29" s="129"/>
    </row>
    <row r="30" spans="1:9" x14ac:dyDescent="0.3">
      <c r="B30" s="574" t="s">
        <v>695</v>
      </c>
      <c r="C30" s="544">
        <f>Import!L55</f>
        <v>0</v>
      </c>
      <c r="D30" s="578"/>
      <c r="E30" s="544">
        <f>C30</f>
        <v>0</v>
      </c>
      <c r="G30" s="541">
        <v>533</v>
      </c>
      <c r="H30" s="577" t="s">
        <v>108</v>
      </c>
      <c r="I30" s="129"/>
    </row>
    <row r="31" spans="1:9" ht="41.4" x14ac:dyDescent="0.3">
      <c r="B31" s="574" t="s">
        <v>696</v>
      </c>
      <c r="C31" s="544"/>
      <c r="D31" s="578"/>
      <c r="E31" s="544">
        <f>C31</f>
        <v>0</v>
      </c>
      <c r="G31" s="541">
        <v>508</v>
      </c>
      <c r="H31" s="587" t="s">
        <v>663</v>
      </c>
      <c r="I31" s="129"/>
    </row>
    <row r="32" spans="1:9" ht="15" thickBot="1" x14ac:dyDescent="0.35">
      <c r="B32" s="588" t="s">
        <v>697</v>
      </c>
      <c r="C32" s="621">
        <f>SUM(C26:C28)-C30</f>
        <v>0</v>
      </c>
      <c r="D32" s="575"/>
      <c r="E32" s="621">
        <f>SUM(E26:E28)-E30</f>
        <v>0</v>
      </c>
      <c r="G32" s="576" t="s">
        <v>678</v>
      </c>
      <c r="H32" s="589" t="s">
        <v>699</v>
      </c>
      <c r="I32" s="129"/>
    </row>
    <row r="33" spans="1:9" ht="15" thickTop="1" x14ac:dyDescent="0.3">
      <c r="B33" s="188"/>
      <c r="C33" s="188"/>
      <c r="D33" s="188"/>
      <c r="E33" s="188"/>
      <c r="G33" s="106"/>
      <c r="I33" s="129"/>
    </row>
    <row r="34" spans="1:9" ht="15" thickBot="1" x14ac:dyDescent="0.35">
      <c r="B34" s="588" t="s">
        <v>698</v>
      </c>
      <c r="C34" s="590" t="e">
        <f>C12/C32</f>
        <v>#DIV/0!</v>
      </c>
      <c r="D34" s="188"/>
      <c r="E34" s="590" t="e">
        <f>E12/E32</f>
        <v>#DIV/0!</v>
      </c>
      <c r="G34" s="106"/>
      <c r="I34" s="129"/>
    </row>
    <row r="35" spans="1:9" ht="15" thickTop="1" x14ac:dyDescent="0.3">
      <c r="C35" s="188"/>
      <c r="D35" s="188"/>
      <c r="E35" s="188"/>
      <c r="G35" s="106"/>
      <c r="I35" s="129"/>
    </row>
    <row r="36" spans="1:9" ht="15.6" x14ac:dyDescent="0.3">
      <c r="A36" s="592"/>
    </row>
    <row r="38" spans="1:9" x14ac:dyDescent="0.3">
      <c r="E38" s="593"/>
    </row>
    <row r="39" spans="1:9" x14ac:dyDescent="0.3">
      <c r="E39" s="594"/>
    </row>
    <row r="40" spans="1:9" x14ac:dyDescent="0.3">
      <c r="E40" s="594"/>
    </row>
    <row r="41" spans="1:9" x14ac:dyDescent="0.3">
      <c r="E41" s="594"/>
    </row>
    <row r="42" spans="1:9" x14ac:dyDescent="0.3">
      <c r="E42" s="594"/>
    </row>
    <row r="43" spans="1:9" x14ac:dyDescent="0.3">
      <c r="E43" s="594"/>
    </row>
  </sheetData>
  <sheetProtection algorithmName="SHA-512" hashValue="kFeYQ9PWA2kKx4uBFgklCK4NPQLA3YjH8sw1nFULHtMhTcTqMu/iPCLLOUHxQogeZHpN9wxT0FWQNR1OUsCv3w==" saltValue="b3ER24xudRa1NuyqbZ39WQ==" spinCount="100000" sheet="1" objects="1" scenarios="1"/>
  <mergeCells count="1">
    <mergeCell ref="B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185"/>
  <sheetViews>
    <sheetView workbookViewId="0">
      <pane xSplit="3" topLeftCell="D1" activePane="topRight" state="frozen"/>
      <selection pane="topRight" activeCell="C1" sqref="C1"/>
    </sheetView>
  </sheetViews>
  <sheetFormatPr defaultRowHeight="14.4" x14ac:dyDescent="0.3"/>
  <cols>
    <col min="1" max="1" width="13.33203125" style="106" customWidth="1"/>
    <col min="2" max="2" width="58.109375" style="370" customWidth="1"/>
    <col min="3" max="3" width="15.33203125" customWidth="1"/>
    <col min="4" max="97" width="20.6640625" customWidth="1"/>
  </cols>
  <sheetData>
    <row r="1" spans="1:10" x14ac:dyDescent="0.3">
      <c r="A1" t="s">
        <v>230</v>
      </c>
      <c r="B1" t="s">
        <v>230</v>
      </c>
      <c r="C1" t="s">
        <v>230</v>
      </c>
      <c r="D1" t="s">
        <v>552</v>
      </c>
      <c r="E1" t="s">
        <v>553</v>
      </c>
      <c r="F1" t="s">
        <v>554</v>
      </c>
      <c r="G1" t="s">
        <v>555</v>
      </c>
      <c r="H1" t="s">
        <v>556</v>
      </c>
      <c r="I1" t="s">
        <v>557</v>
      </c>
      <c r="J1" t="s">
        <v>558</v>
      </c>
    </row>
    <row r="2" spans="1:10" x14ac:dyDescent="0.3">
      <c r="A2" t="s">
        <v>396</v>
      </c>
      <c r="B2" t="s">
        <v>10</v>
      </c>
      <c r="C2" t="s">
        <v>2</v>
      </c>
      <c r="D2">
        <v>561205</v>
      </c>
      <c r="E2">
        <v>561200</v>
      </c>
      <c r="F2">
        <v>561208</v>
      </c>
      <c r="G2">
        <v>561206</v>
      </c>
      <c r="H2">
        <v>561202</v>
      </c>
      <c r="I2">
        <v>561204</v>
      </c>
      <c r="J2">
        <v>561207</v>
      </c>
    </row>
    <row r="3" spans="1:10" x14ac:dyDescent="0.3">
      <c r="A3">
        <v>4</v>
      </c>
      <c r="B3" t="s">
        <v>49</v>
      </c>
      <c r="D3">
        <v>1056223</v>
      </c>
      <c r="E3">
        <v>221238</v>
      </c>
      <c r="F3">
        <v>1595731</v>
      </c>
      <c r="G3">
        <v>218847</v>
      </c>
      <c r="H3">
        <v>384370</v>
      </c>
      <c r="I3">
        <v>649599</v>
      </c>
      <c r="J3">
        <v>936882</v>
      </c>
    </row>
    <row r="4" spans="1:10" x14ac:dyDescent="0.3">
      <c r="A4">
        <v>5</v>
      </c>
      <c r="B4" t="s">
        <v>50</v>
      </c>
      <c r="D4">
        <v>0</v>
      </c>
      <c r="E4">
        <v>0</v>
      </c>
      <c r="F4">
        <v>0</v>
      </c>
      <c r="G4">
        <v>42020</v>
      </c>
      <c r="H4">
        <v>0</v>
      </c>
      <c r="I4">
        <v>0</v>
      </c>
      <c r="J4">
        <v>393876</v>
      </c>
    </row>
    <row r="5" spans="1:10" x14ac:dyDescent="0.3">
      <c r="A5">
        <v>6</v>
      </c>
      <c r="B5" t="s">
        <v>156</v>
      </c>
      <c r="D5">
        <v>0</v>
      </c>
      <c r="E5">
        <v>0</v>
      </c>
      <c r="F5">
        <v>0</v>
      </c>
      <c r="G5">
        <v>0</v>
      </c>
      <c r="H5">
        <v>0</v>
      </c>
      <c r="I5">
        <v>0</v>
      </c>
      <c r="J5">
        <v>0</v>
      </c>
    </row>
    <row r="6" spans="1:10" x14ac:dyDescent="0.3">
      <c r="A6">
        <v>7</v>
      </c>
      <c r="B6" t="s">
        <v>102</v>
      </c>
      <c r="D6">
        <v>0</v>
      </c>
      <c r="E6">
        <v>36143</v>
      </c>
      <c r="F6">
        <v>0</v>
      </c>
      <c r="G6">
        <v>0</v>
      </c>
      <c r="H6">
        <v>15082</v>
      </c>
      <c r="I6">
        <v>0</v>
      </c>
      <c r="J6">
        <v>0</v>
      </c>
    </row>
    <row r="7" spans="1:10" x14ac:dyDescent="0.3">
      <c r="A7">
        <v>9</v>
      </c>
      <c r="B7" t="s">
        <v>104</v>
      </c>
      <c r="D7">
        <v>9325048</v>
      </c>
      <c r="E7">
        <v>9657671</v>
      </c>
      <c r="F7">
        <v>11530756</v>
      </c>
      <c r="G7">
        <v>2291123</v>
      </c>
      <c r="H7">
        <v>4217660</v>
      </c>
      <c r="I7">
        <v>2766101</v>
      </c>
      <c r="J7">
        <v>5095979</v>
      </c>
    </row>
    <row r="8" spans="1:10" x14ac:dyDescent="0.3">
      <c r="A8">
        <v>16</v>
      </c>
      <c r="B8" t="s">
        <v>106</v>
      </c>
      <c r="D8">
        <v>19655536</v>
      </c>
      <c r="E8">
        <v>13579790</v>
      </c>
      <c r="F8">
        <v>29886517</v>
      </c>
      <c r="G8">
        <v>7814493</v>
      </c>
      <c r="H8">
        <v>9705880</v>
      </c>
      <c r="I8">
        <v>7828202</v>
      </c>
      <c r="J8">
        <v>5213602</v>
      </c>
    </row>
    <row r="9" spans="1:10" x14ac:dyDescent="0.3">
      <c r="A9">
        <v>17</v>
      </c>
      <c r="B9" t="s">
        <v>108</v>
      </c>
      <c r="D9">
        <v>0</v>
      </c>
      <c r="E9">
        <v>0</v>
      </c>
      <c r="F9">
        <v>0</v>
      </c>
      <c r="G9">
        <v>0</v>
      </c>
      <c r="H9">
        <v>0</v>
      </c>
      <c r="I9">
        <v>0</v>
      </c>
      <c r="J9">
        <v>0</v>
      </c>
    </row>
    <row r="10" spans="1:10" x14ac:dyDescent="0.3">
      <c r="A10">
        <v>20</v>
      </c>
      <c r="B10" t="s">
        <v>109</v>
      </c>
      <c r="D10">
        <v>0</v>
      </c>
      <c r="E10">
        <v>0</v>
      </c>
      <c r="F10">
        <v>0</v>
      </c>
      <c r="G10">
        <v>0</v>
      </c>
      <c r="H10">
        <v>0</v>
      </c>
      <c r="I10">
        <v>0</v>
      </c>
      <c r="J10">
        <v>0</v>
      </c>
    </row>
    <row r="11" spans="1:10" x14ac:dyDescent="0.3">
      <c r="A11">
        <v>22</v>
      </c>
      <c r="B11" t="s">
        <v>110</v>
      </c>
      <c r="D11">
        <v>-858568</v>
      </c>
      <c r="E11">
        <v>-1090459</v>
      </c>
      <c r="F11">
        <v>200000</v>
      </c>
      <c r="G11">
        <v>0</v>
      </c>
      <c r="H11">
        <v>0</v>
      </c>
      <c r="I11">
        <v>0</v>
      </c>
      <c r="J11">
        <v>0</v>
      </c>
    </row>
    <row r="12" spans="1:10" x14ac:dyDescent="0.3">
      <c r="A12">
        <v>23</v>
      </c>
      <c r="B12" t="s">
        <v>113</v>
      </c>
      <c r="D12">
        <v>1827065</v>
      </c>
      <c r="E12">
        <v>13184</v>
      </c>
      <c r="F12">
        <v>828094</v>
      </c>
      <c r="G12">
        <v>209726</v>
      </c>
      <c r="H12">
        <v>226419</v>
      </c>
      <c r="I12">
        <v>480823</v>
      </c>
      <c r="J12">
        <v>292038</v>
      </c>
    </row>
    <row r="13" spans="1:10" x14ac:dyDescent="0.3">
      <c r="A13">
        <v>252</v>
      </c>
      <c r="B13" t="s">
        <v>34</v>
      </c>
      <c r="D13">
        <v>3737494</v>
      </c>
      <c r="E13">
        <v>650531</v>
      </c>
      <c r="F13">
        <v>748536</v>
      </c>
      <c r="G13">
        <v>1087893</v>
      </c>
      <c r="H13">
        <v>756253</v>
      </c>
      <c r="I13">
        <v>554832</v>
      </c>
      <c r="J13">
        <v>172226</v>
      </c>
    </row>
    <row r="14" spans="1:10" x14ac:dyDescent="0.3">
      <c r="A14">
        <v>253</v>
      </c>
      <c r="B14" t="s">
        <v>35</v>
      </c>
      <c r="D14">
        <v>3348004</v>
      </c>
      <c r="E14">
        <v>1307692</v>
      </c>
      <c r="F14">
        <v>3136129</v>
      </c>
      <c r="G14">
        <v>619069</v>
      </c>
      <c r="H14">
        <v>1930362</v>
      </c>
      <c r="I14">
        <v>1075424</v>
      </c>
      <c r="J14">
        <v>57828</v>
      </c>
    </row>
    <row r="15" spans="1:10" x14ac:dyDescent="0.3">
      <c r="A15">
        <v>254</v>
      </c>
      <c r="B15" t="s">
        <v>36</v>
      </c>
      <c r="D15">
        <v>-5744183</v>
      </c>
      <c r="E15">
        <v>7197574</v>
      </c>
      <c r="F15">
        <v>4366757</v>
      </c>
      <c r="G15">
        <v>-5916671</v>
      </c>
      <c r="H15">
        <v>-4205432</v>
      </c>
      <c r="I15">
        <v>-1262093</v>
      </c>
      <c r="J15">
        <v>4563566</v>
      </c>
    </row>
    <row r="16" spans="1:10" x14ac:dyDescent="0.3">
      <c r="A16">
        <v>255</v>
      </c>
      <c r="B16" t="s">
        <v>97</v>
      </c>
      <c r="D16">
        <v>4410369</v>
      </c>
      <c r="E16">
        <v>810943</v>
      </c>
      <c r="F16">
        <v>1030629</v>
      </c>
      <c r="G16">
        <v>715897</v>
      </c>
      <c r="H16">
        <v>1718609</v>
      </c>
      <c r="I16">
        <v>263361</v>
      </c>
      <c r="J16">
        <v>532330</v>
      </c>
    </row>
    <row r="17" spans="1:10" x14ac:dyDescent="0.3">
      <c r="A17">
        <v>333</v>
      </c>
      <c r="B17" t="s">
        <v>85</v>
      </c>
      <c r="D17">
        <v>11861164</v>
      </c>
      <c r="E17">
        <v>8535072</v>
      </c>
      <c r="F17">
        <v>7961363</v>
      </c>
      <c r="G17">
        <v>1876195</v>
      </c>
      <c r="H17">
        <v>2656586</v>
      </c>
      <c r="I17">
        <v>2340276</v>
      </c>
      <c r="J17">
        <v>6343228</v>
      </c>
    </row>
    <row r="18" spans="1:10" x14ac:dyDescent="0.3">
      <c r="A18">
        <v>335</v>
      </c>
      <c r="B18" t="s">
        <v>47</v>
      </c>
      <c r="D18">
        <v>0</v>
      </c>
      <c r="E18">
        <v>0</v>
      </c>
      <c r="F18">
        <v>0</v>
      </c>
      <c r="G18">
        <v>0</v>
      </c>
      <c r="H18">
        <v>0</v>
      </c>
      <c r="I18">
        <v>268440</v>
      </c>
      <c r="J18">
        <v>939876</v>
      </c>
    </row>
    <row r="19" spans="1:10" x14ac:dyDescent="0.3">
      <c r="A19">
        <v>336</v>
      </c>
      <c r="B19" t="s">
        <v>422</v>
      </c>
      <c r="D19">
        <v>1509213</v>
      </c>
      <c r="E19">
        <v>235807</v>
      </c>
      <c r="F19">
        <v>1726769</v>
      </c>
      <c r="G19">
        <v>218846</v>
      </c>
      <c r="H19">
        <v>80704</v>
      </c>
      <c r="I19">
        <v>717724</v>
      </c>
      <c r="J19">
        <v>936882</v>
      </c>
    </row>
    <row r="20" spans="1:10" x14ac:dyDescent="0.3">
      <c r="A20">
        <v>338</v>
      </c>
      <c r="B20" t="s">
        <v>46</v>
      </c>
      <c r="D20">
        <v>22386970</v>
      </c>
      <c r="E20">
        <v>3847708</v>
      </c>
      <c r="F20">
        <v>12359994</v>
      </c>
      <c r="G20">
        <v>10463963</v>
      </c>
      <c r="H20">
        <v>8842516</v>
      </c>
      <c r="I20">
        <v>5028323</v>
      </c>
      <c r="J20">
        <v>2468215</v>
      </c>
    </row>
    <row r="21" spans="1:10" x14ac:dyDescent="0.3">
      <c r="A21">
        <v>339</v>
      </c>
      <c r="B21" t="s">
        <v>90</v>
      </c>
      <c r="D21">
        <v>10680500</v>
      </c>
      <c r="E21">
        <v>6606493</v>
      </c>
      <c r="F21">
        <v>9513438</v>
      </c>
      <c r="G21">
        <v>2488016</v>
      </c>
      <c r="H21">
        <v>3261965</v>
      </c>
      <c r="I21">
        <v>3923550</v>
      </c>
      <c r="J21">
        <v>1027701</v>
      </c>
    </row>
    <row r="22" spans="1:10" x14ac:dyDescent="0.3">
      <c r="A22">
        <v>341</v>
      </c>
      <c r="B22" t="s">
        <v>423</v>
      </c>
      <c r="D22">
        <v>107801</v>
      </c>
      <c r="E22">
        <v>13309</v>
      </c>
      <c r="F22">
        <v>57765</v>
      </c>
      <c r="G22">
        <v>76546</v>
      </c>
      <c r="H22">
        <v>1625618</v>
      </c>
      <c r="I22">
        <v>1035442</v>
      </c>
      <c r="J22">
        <v>2705</v>
      </c>
    </row>
    <row r="23" spans="1:10" x14ac:dyDescent="0.3">
      <c r="A23">
        <v>376</v>
      </c>
      <c r="B23" t="s">
        <v>39</v>
      </c>
      <c r="D23">
        <v>0</v>
      </c>
      <c r="E23">
        <v>0</v>
      </c>
      <c r="F23">
        <v>0</v>
      </c>
      <c r="G23">
        <v>0</v>
      </c>
      <c r="H23">
        <v>0</v>
      </c>
      <c r="I23">
        <v>0</v>
      </c>
      <c r="J23">
        <v>0</v>
      </c>
    </row>
    <row r="24" spans="1:10" x14ac:dyDescent="0.3">
      <c r="A24">
        <v>379</v>
      </c>
      <c r="B24" t="s">
        <v>48</v>
      </c>
      <c r="D24">
        <v>11429148</v>
      </c>
      <c r="E24">
        <v>10232087</v>
      </c>
      <c r="F24">
        <v>13852913</v>
      </c>
      <c r="G24">
        <v>2551990</v>
      </c>
      <c r="H24">
        <v>4812879</v>
      </c>
      <c r="I24">
        <v>3415700</v>
      </c>
      <c r="J24">
        <v>6426737</v>
      </c>
    </row>
    <row r="25" spans="1:10" x14ac:dyDescent="0.3">
      <c r="A25">
        <v>380</v>
      </c>
      <c r="B25" t="s">
        <v>51</v>
      </c>
      <c r="D25">
        <v>1047877</v>
      </c>
      <c r="E25">
        <v>353178</v>
      </c>
      <c r="F25">
        <v>726426</v>
      </c>
      <c r="G25">
        <v>0</v>
      </c>
      <c r="H25">
        <v>210849</v>
      </c>
      <c r="I25">
        <v>0</v>
      </c>
      <c r="J25">
        <v>0</v>
      </c>
    </row>
    <row r="26" spans="1:10" x14ac:dyDescent="0.3">
      <c r="A26">
        <v>385</v>
      </c>
      <c r="B26" t="s">
        <v>45</v>
      </c>
      <c r="D26">
        <v>23728285</v>
      </c>
      <c r="E26">
        <v>13003505</v>
      </c>
      <c r="F26">
        <v>20611416</v>
      </c>
      <c r="G26">
        <v>6254254</v>
      </c>
      <c r="H26">
        <v>7323699</v>
      </c>
      <c r="I26">
        <v>5396486</v>
      </c>
      <c r="J26">
        <v>7261835</v>
      </c>
    </row>
    <row r="27" spans="1:10" x14ac:dyDescent="0.3">
      <c r="A27">
        <v>386</v>
      </c>
      <c r="B27" t="s">
        <v>94</v>
      </c>
      <c r="D27">
        <v>0</v>
      </c>
      <c r="E27">
        <v>0</v>
      </c>
      <c r="F27">
        <v>0</v>
      </c>
      <c r="G27">
        <v>0</v>
      </c>
      <c r="H27">
        <v>0</v>
      </c>
      <c r="I27">
        <v>0</v>
      </c>
      <c r="J27">
        <v>0</v>
      </c>
    </row>
    <row r="28" spans="1:10" x14ac:dyDescent="0.3">
      <c r="A28">
        <v>387</v>
      </c>
      <c r="B28" t="s">
        <v>95</v>
      </c>
      <c r="D28">
        <v>0</v>
      </c>
      <c r="E28">
        <v>0</v>
      </c>
      <c r="F28">
        <v>0</v>
      </c>
      <c r="G28">
        <v>0</v>
      </c>
      <c r="H28">
        <v>0</v>
      </c>
      <c r="I28">
        <v>0</v>
      </c>
      <c r="J28">
        <v>0</v>
      </c>
    </row>
    <row r="29" spans="1:10" x14ac:dyDescent="0.3">
      <c r="A29">
        <v>388</v>
      </c>
      <c r="B29" t="s">
        <v>89</v>
      </c>
      <c r="D29">
        <v>22082013</v>
      </c>
      <c r="E29">
        <v>12392510</v>
      </c>
      <c r="F29">
        <v>28601445</v>
      </c>
      <c r="G29">
        <v>7179410</v>
      </c>
      <c r="H29">
        <v>8070235</v>
      </c>
      <c r="I29">
        <v>7564841</v>
      </c>
      <c r="J29">
        <v>4645110</v>
      </c>
    </row>
    <row r="30" spans="1:10" ht="13.95" customHeight="1" x14ac:dyDescent="0.3">
      <c r="A30">
        <v>389</v>
      </c>
      <c r="B30" t="s">
        <v>96</v>
      </c>
      <c r="D30">
        <v>141432</v>
      </c>
      <c r="E30">
        <v>0</v>
      </c>
      <c r="F30">
        <v>0</v>
      </c>
      <c r="G30">
        <v>0</v>
      </c>
      <c r="H30">
        <v>0</v>
      </c>
      <c r="I30">
        <v>0</v>
      </c>
      <c r="J30">
        <v>-36162</v>
      </c>
    </row>
    <row r="31" spans="1:10" x14ac:dyDescent="0.3">
      <c r="A31">
        <v>391</v>
      </c>
      <c r="B31" t="s">
        <v>101</v>
      </c>
      <c r="D31">
        <v>970871</v>
      </c>
      <c r="E31">
        <v>1307692</v>
      </c>
      <c r="F31">
        <v>3136129</v>
      </c>
      <c r="G31">
        <v>619069</v>
      </c>
      <c r="H31">
        <v>1262283</v>
      </c>
      <c r="I31">
        <v>1075424</v>
      </c>
      <c r="J31">
        <v>83510</v>
      </c>
    </row>
    <row r="32" spans="1:10" x14ac:dyDescent="0.3">
      <c r="A32">
        <v>500</v>
      </c>
      <c r="B32" t="s">
        <v>84</v>
      </c>
      <c r="D32">
        <v>0</v>
      </c>
      <c r="E32">
        <v>0</v>
      </c>
      <c r="F32">
        <v>433264</v>
      </c>
      <c r="G32">
        <v>0</v>
      </c>
      <c r="H32">
        <v>668079</v>
      </c>
      <c r="I32">
        <v>0</v>
      </c>
      <c r="J32">
        <v>0</v>
      </c>
    </row>
    <row r="33" spans="1:10" x14ac:dyDescent="0.3">
      <c r="A33">
        <v>502</v>
      </c>
      <c r="B33" t="s">
        <v>86</v>
      </c>
      <c r="D33">
        <v>0</v>
      </c>
      <c r="E33">
        <v>0</v>
      </c>
      <c r="F33">
        <v>0</v>
      </c>
      <c r="G33">
        <v>0</v>
      </c>
      <c r="H33">
        <v>0</v>
      </c>
      <c r="I33">
        <v>0</v>
      </c>
      <c r="J33">
        <v>0</v>
      </c>
    </row>
    <row r="34" spans="1:10" x14ac:dyDescent="0.3">
      <c r="A34">
        <v>503</v>
      </c>
      <c r="B34" t="s">
        <v>87</v>
      </c>
      <c r="D34">
        <v>0</v>
      </c>
      <c r="E34">
        <v>0</v>
      </c>
      <c r="F34">
        <v>0</v>
      </c>
      <c r="G34">
        <v>0</v>
      </c>
      <c r="H34">
        <v>0</v>
      </c>
      <c r="I34">
        <v>0</v>
      </c>
      <c r="J34">
        <v>0</v>
      </c>
    </row>
    <row r="35" spans="1:10" x14ac:dyDescent="0.3">
      <c r="A35">
        <v>504</v>
      </c>
      <c r="B35" t="s">
        <v>91</v>
      </c>
      <c r="D35">
        <v>15562649</v>
      </c>
      <c r="E35">
        <v>6583651</v>
      </c>
      <c r="F35">
        <v>20060871</v>
      </c>
      <c r="G35">
        <v>5330745</v>
      </c>
      <c r="H35">
        <v>4901261</v>
      </c>
      <c r="I35">
        <v>2869210</v>
      </c>
      <c r="J35">
        <v>4183196</v>
      </c>
    </row>
    <row r="36" spans="1:10" x14ac:dyDescent="0.3">
      <c r="A36">
        <v>505</v>
      </c>
      <c r="B36" t="s">
        <v>92</v>
      </c>
      <c r="D36">
        <v>0</v>
      </c>
      <c r="E36">
        <v>0</v>
      </c>
      <c r="F36">
        <v>0</v>
      </c>
      <c r="G36">
        <v>0</v>
      </c>
      <c r="H36">
        <v>0</v>
      </c>
      <c r="I36">
        <v>0</v>
      </c>
      <c r="J36">
        <v>0</v>
      </c>
    </row>
    <row r="37" spans="1:10" x14ac:dyDescent="0.3">
      <c r="A37">
        <v>506</v>
      </c>
      <c r="B37" t="s">
        <v>98</v>
      </c>
      <c r="D37">
        <v>9232096</v>
      </c>
      <c r="E37">
        <v>8535074</v>
      </c>
      <c r="F37">
        <v>7961363</v>
      </c>
      <c r="G37">
        <v>1876198</v>
      </c>
      <c r="H37">
        <v>2656586</v>
      </c>
      <c r="I37">
        <v>2340276</v>
      </c>
      <c r="J37">
        <v>6343228</v>
      </c>
    </row>
    <row r="38" spans="1:10" x14ac:dyDescent="0.3">
      <c r="A38">
        <v>507</v>
      </c>
      <c r="B38" t="s">
        <v>426</v>
      </c>
      <c r="D38">
        <v>0</v>
      </c>
      <c r="E38">
        <v>0</v>
      </c>
      <c r="F38">
        <v>0</v>
      </c>
      <c r="G38">
        <v>1</v>
      </c>
      <c r="H38">
        <v>0</v>
      </c>
      <c r="I38">
        <v>0</v>
      </c>
      <c r="J38">
        <v>0</v>
      </c>
    </row>
    <row r="39" spans="1:10" x14ac:dyDescent="0.3">
      <c r="A39">
        <v>512</v>
      </c>
      <c r="B39" t="s">
        <v>148</v>
      </c>
      <c r="D39">
        <v>5295710</v>
      </c>
      <c r="E39">
        <v>1090593</v>
      </c>
      <c r="F39">
        <v>0</v>
      </c>
      <c r="G39">
        <v>0</v>
      </c>
      <c r="H39">
        <v>0</v>
      </c>
      <c r="I39">
        <v>0</v>
      </c>
      <c r="J39">
        <v>761231</v>
      </c>
    </row>
    <row r="40" spans="1:10" x14ac:dyDescent="0.3">
      <c r="A40">
        <v>532</v>
      </c>
      <c r="B40" t="s">
        <v>427</v>
      </c>
      <c r="D40">
        <v>17037865</v>
      </c>
      <c r="E40">
        <v>12513946</v>
      </c>
      <c r="F40">
        <v>29258423</v>
      </c>
      <c r="G40">
        <v>7604767</v>
      </c>
      <c r="H40">
        <v>9617719</v>
      </c>
      <c r="I40">
        <v>7492780</v>
      </c>
      <c r="J40">
        <v>4921564</v>
      </c>
    </row>
    <row r="41" spans="1:10" x14ac:dyDescent="0.3">
      <c r="A41">
        <v>533</v>
      </c>
      <c r="B41" t="s">
        <v>428</v>
      </c>
      <c r="D41">
        <v>67962</v>
      </c>
      <c r="E41">
        <v>37799</v>
      </c>
      <c r="F41">
        <v>0</v>
      </c>
      <c r="G41">
        <v>0</v>
      </c>
      <c r="H41">
        <v>138258</v>
      </c>
      <c r="I41">
        <v>145401</v>
      </c>
      <c r="J41">
        <v>0</v>
      </c>
    </row>
    <row r="42" spans="1:10" x14ac:dyDescent="0.3">
      <c r="A42">
        <v>536</v>
      </c>
      <c r="B42" t="s">
        <v>99</v>
      </c>
      <c r="D42">
        <v>377592</v>
      </c>
      <c r="E42">
        <v>0</v>
      </c>
      <c r="F42">
        <v>433264</v>
      </c>
      <c r="G42">
        <v>0</v>
      </c>
      <c r="H42">
        <v>668079</v>
      </c>
      <c r="I42">
        <v>0</v>
      </c>
      <c r="J42">
        <v>0</v>
      </c>
    </row>
    <row r="43" spans="1:10" x14ac:dyDescent="0.3">
      <c r="A43">
        <v>547</v>
      </c>
      <c r="B43" t="s">
        <v>432</v>
      </c>
      <c r="D43">
        <v>3</v>
      </c>
      <c r="E43">
        <v>3</v>
      </c>
      <c r="F43">
        <v>3</v>
      </c>
      <c r="G43">
        <v>4</v>
      </c>
      <c r="H43">
        <v>3</v>
      </c>
      <c r="I43">
        <v>3</v>
      </c>
      <c r="J43">
        <v>2</v>
      </c>
    </row>
    <row r="44" spans="1:10" x14ac:dyDescent="0.3">
      <c r="A44">
        <v>554</v>
      </c>
      <c r="B44" t="s">
        <v>206</v>
      </c>
      <c r="D44">
        <v>7709188</v>
      </c>
      <c r="E44">
        <v>4047153</v>
      </c>
      <c r="F44">
        <v>6101011</v>
      </c>
      <c r="G44">
        <v>2822461</v>
      </c>
      <c r="H44">
        <v>2885239</v>
      </c>
      <c r="I44">
        <v>1425835</v>
      </c>
      <c r="J44">
        <v>1743243</v>
      </c>
    </row>
    <row r="45" spans="1:10" x14ac:dyDescent="0.3">
      <c r="A45">
        <v>555</v>
      </c>
      <c r="B45" t="s">
        <v>207</v>
      </c>
      <c r="D45">
        <v>1501141</v>
      </c>
      <c r="E45">
        <v>2669962</v>
      </c>
      <c r="F45">
        <v>4152576</v>
      </c>
      <c r="G45">
        <v>1320254</v>
      </c>
      <c r="H45">
        <v>828238</v>
      </c>
      <c r="I45">
        <v>325213</v>
      </c>
      <c r="J45">
        <v>529062</v>
      </c>
    </row>
    <row r="46" spans="1:10" x14ac:dyDescent="0.3">
      <c r="A46">
        <v>556</v>
      </c>
      <c r="B46" t="s">
        <v>208</v>
      </c>
      <c r="D46">
        <v>5115702</v>
      </c>
      <c r="E46">
        <v>1722762</v>
      </c>
      <c r="F46">
        <v>873686</v>
      </c>
      <c r="G46">
        <v>1353890</v>
      </c>
      <c r="H46">
        <v>1405449</v>
      </c>
      <c r="I46">
        <v>1569402</v>
      </c>
      <c r="J46">
        <v>810516</v>
      </c>
    </row>
    <row r="47" spans="1:10" x14ac:dyDescent="0.3">
      <c r="A47">
        <v>557</v>
      </c>
      <c r="B47" t="s">
        <v>209</v>
      </c>
      <c r="D47">
        <v>2659507</v>
      </c>
      <c r="E47">
        <v>742348</v>
      </c>
      <c r="F47">
        <v>405105</v>
      </c>
      <c r="G47">
        <v>552596</v>
      </c>
      <c r="H47">
        <v>612492</v>
      </c>
      <c r="I47">
        <v>671769</v>
      </c>
      <c r="J47">
        <v>551387</v>
      </c>
    </row>
    <row r="48" spans="1:10" x14ac:dyDescent="0.3">
      <c r="A48">
        <v>575</v>
      </c>
      <c r="B48" t="s">
        <v>195</v>
      </c>
      <c r="D48">
        <v>0</v>
      </c>
      <c r="E48">
        <v>0</v>
      </c>
      <c r="F48">
        <v>0</v>
      </c>
      <c r="G48">
        <v>0</v>
      </c>
      <c r="H48">
        <v>0</v>
      </c>
      <c r="I48">
        <v>0</v>
      </c>
      <c r="J48">
        <v>0</v>
      </c>
    </row>
    <row r="49" spans="1:10" x14ac:dyDescent="0.3">
      <c r="A49">
        <v>576</v>
      </c>
      <c r="B49" t="s">
        <v>196</v>
      </c>
      <c r="D49">
        <v>0</v>
      </c>
      <c r="E49">
        <v>0</v>
      </c>
      <c r="F49">
        <v>0</v>
      </c>
      <c r="G49">
        <v>0</v>
      </c>
      <c r="H49">
        <v>0</v>
      </c>
      <c r="I49">
        <v>0</v>
      </c>
      <c r="J49">
        <v>0</v>
      </c>
    </row>
    <row r="50" spans="1:10" x14ac:dyDescent="0.3">
      <c r="A50">
        <v>577</v>
      </c>
      <c r="B50" t="s">
        <v>445</v>
      </c>
      <c r="D50">
        <v>2</v>
      </c>
      <c r="E50">
        <v>2</v>
      </c>
      <c r="F50">
        <v>0</v>
      </c>
      <c r="G50">
        <v>2</v>
      </c>
      <c r="H50">
        <v>2</v>
      </c>
      <c r="I50">
        <v>2</v>
      </c>
      <c r="J50">
        <v>2</v>
      </c>
    </row>
    <row r="51" spans="1:10" x14ac:dyDescent="0.3">
      <c r="A51">
        <v>586</v>
      </c>
      <c r="B51" t="s">
        <v>451</v>
      </c>
      <c r="D51">
        <v>0</v>
      </c>
      <c r="E51">
        <v>0</v>
      </c>
      <c r="F51">
        <v>0</v>
      </c>
      <c r="G51">
        <v>0</v>
      </c>
      <c r="H51">
        <v>0</v>
      </c>
      <c r="I51">
        <v>0</v>
      </c>
      <c r="J51">
        <v>0</v>
      </c>
    </row>
    <row r="52" spans="1:10" x14ac:dyDescent="0.3">
      <c r="A52">
        <v>591</v>
      </c>
      <c r="B52" t="s">
        <v>215</v>
      </c>
      <c r="D52">
        <v>0</v>
      </c>
      <c r="E52">
        <v>0</v>
      </c>
      <c r="F52">
        <v>0</v>
      </c>
      <c r="G52">
        <v>0</v>
      </c>
      <c r="H52">
        <v>0</v>
      </c>
      <c r="I52">
        <v>0</v>
      </c>
      <c r="J52">
        <v>0</v>
      </c>
    </row>
    <row r="53" spans="1:10" x14ac:dyDescent="0.3">
      <c r="A53">
        <v>592</v>
      </c>
      <c r="B53" t="s">
        <v>216</v>
      </c>
      <c r="D53">
        <v>0</v>
      </c>
      <c r="E53">
        <v>0</v>
      </c>
      <c r="F53">
        <v>0</v>
      </c>
      <c r="G53">
        <v>0</v>
      </c>
      <c r="H53">
        <v>0</v>
      </c>
      <c r="I53">
        <v>0</v>
      </c>
      <c r="J53">
        <v>0</v>
      </c>
    </row>
    <row r="54" spans="1:10" x14ac:dyDescent="0.3">
      <c r="A54">
        <v>606</v>
      </c>
      <c r="B54" t="s">
        <v>457</v>
      </c>
      <c r="D54">
        <v>1</v>
      </c>
      <c r="E54">
        <v>1</v>
      </c>
      <c r="F54">
        <v>1</v>
      </c>
      <c r="G54">
        <v>1</v>
      </c>
      <c r="H54">
        <v>1</v>
      </c>
      <c r="I54">
        <v>1</v>
      </c>
      <c r="J54">
        <v>1</v>
      </c>
    </row>
    <row r="55" spans="1:10" x14ac:dyDescent="0.3">
      <c r="A55">
        <v>621</v>
      </c>
      <c r="B55" t="s">
        <v>460</v>
      </c>
      <c r="D55">
        <v>10366115</v>
      </c>
      <c r="E55">
        <v>0</v>
      </c>
      <c r="F55">
        <v>0</v>
      </c>
      <c r="G55">
        <v>6150500</v>
      </c>
      <c r="H55">
        <v>0</v>
      </c>
      <c r="I55">
        <v>0</v>
      </c>
      <c r="J55">
        <v>0</v>
      </c>
    </row>
    <row r="56" spans="1:10" x14ac:dyDescent="0.3">
      <c r="A56">
        <v>622</v>
      </c>
      <c r="B56" t="s">
        <v>461</v>
      </c>
      <c r="D56">
        <v>2941769</v>
      </c>
      <c r="E56">
        <v>1170287</v>
      </c>
      <c r="F56">
        <v>2920274</v>
      </c>
      <c r="G56">
        <v>763424</v>
      </c>
      <c r="H56">
        <v>938867</v>
      </c>
      <c r="I56">
        <v>595342</v>
      </c>
      <c r="J56">
        <v>369750</v>
      </c>
    </row>
    <row r="57" spans="1:10" x14ac:dyDescent="0.3">
      <c r="A57">
        <v>626</v>
      </c>
      <c r="B57" t="s">
        <v>462</v>
      </c>
      <c r="D57">
        <v>1509213</v>
      </c>
      <c r="E57">
        <v>284118</v>
      </c>
      <c r="F57">
        <v>8159884</v>
      </c>
      <c r="G57">
        <v>218846</v>
      </c>
      <c r="H57">
        <v>858416</v>
      </c>
      <c r="I57">
        <v>845323</v>
      </c>
      <c r="J57">
        <v>936882</v>
      </c>
    </row>
    <row r="58" spans="1:10" x14ac:dyDescent="0.3">
      <c r="A58">
        <v>627</v>
      </c>
      <c r="B58" t="s">
        <v>463</v>
      </c>
      <c r="D58">
        <v>0</v>
      </c>
      <c r="E58">
        <v>0</v>
      </c>
      <c r="F58">
        <v>0</v>
      </c>
      <c r="G58">
        <v>0</v>
      </c>
      <c r="H58">
        <v>0</v>
      </c>
      <c r="I58">
        <v>0</v>
      </c>
      <c r="J58">
        <v>0</v>
      </c>
    </row>
    <row r="59" spans="1:10" x14ac:dyDescent="0.3">
      <c r="A59">
        <v>628</v>
      </c>
      <c r="B59" t="s">
        <v>464</v>
      </c>
      <c r="D59">
        <v>0</v>
      </c>
      <c r="E59">
        <v>48311</v>
      </c>
      <c r="F59">
        <v>999045</v>
      </c>
      <c r="G59">
        <v>0</v>
      </c>
      <c r="H59">
        <v>433278</v>
      </c>
      <c r="I59">
        <v>127599</v>
      </c>
      <c r="J59">
        <v>0</v>
      </c>
    </row>
    <row r="60" spans="1:10" x14ac:dyDescent="0.3">
      <c r="A60">
        <v>629</v>
      </c>
      <c r="B60" t="s">
        <v>465</v>
      </c>
      <c r="D60">
        <v>0</v>
      </c>
      <c r="E60">
        <v>0</v>
      </c>
      <c r="F60">
        <v>2920274</v>
      </c>
      <c r="G60">
        <v>0</v>
      </c>
      <c r="H60">
        <v>0</v>
      </c>
      <c r="I60">
        <v>0</v>
      </c>
      <c r="J60">
        <v>0</v>
      </c>
    </row>
    <row r="61" spans="1:10" x14ac:dyDescent="0.3">
      <c r="A61">
        <v>630</v>
      </c>
      <c r="B61" t="s">
        <v>466</v>
      </c>
      <c r="D61">
        <v>0</v>
      </c>
      <c r="E61">
        <v>0</v>
      </c>
      <c r="F61">
        <v>433264</v>
      </c>
      <c r="G61">
        <v>0</v>
      </c>
      <c r="H61">
        <v>344434</v>
      </c>
      <c r="I61">
        <v>0</v>
      </c>
      <c r="J61">
        <v>0</v>
      </c>
    </row>
    <row r="62" spans="1:10" x14ac:dyDescent="0.3">
      <c r="A62">
        <v>631</v>
      </c>
      <c r="B62" t="s">
        <v>467</v>
      </c>
      <c r="D62">
        <v>0</v>
      </c>
      <c r="E62">
        <v>0</v>
      </c>
      <c r="F62">
        <v>2080532</v>
      </c>
      <c r="G62">
        <v>0</v>
      </c>
      <c r="H62">
        <v>0</v>
      </c>
      <c r="I62">
        <v>0</v>
      </c>
      <c r="J62">
        <v>0</v>
      </c>
    </row>
    <row r="63" spans="1:10" x14ac:dyDescent="0.3">
      <c r="A63">
        <v>645</v>
      </c>
      <c r="B63" t="s">
        <v>250</v>
      </c>
      <c r="D63">
        <v>1842587</v>
      </c>
      <c r="E63">
        <v>1292035</v>
      </c>
      <c r="F63">
        <v>851192</v>
      </c>
      <c r="G63">
        <v>0</v>
      </c>
      <c r="H63">
        <v>651940</v>
      </c>
      <c r="I63">
        <v>723035</v>
      </c>
      <c r="J63">
        <v>532709</v>
      </c>
    </row>
    <row r="64" spans="1:10" x14ac:dyDescent="0.3">
      <c r="A64">
        <v>646</v>
      </c>
      <c r="B64" t="s">
        <v>237</v>
      </c>
      <c r="D64">
        <v>6511590</v>
      </c>
      <c r="E64">
        <v>7021801</v>
      </c>
      <c r="F64">
        <v>7543435</v>
      </c>
      <c r="G64">
        <v>1672054</v>
      </c>
      <c r="H64">
        <v>1620276</v>
      </c>
      <c r="I64">
        <v>967642</v>
      </c>
      <c r="J64">
        <v>4479760</v>
      </c>
    </row>
    <row r="65" spans="1:10" x14ac:dyDescent="0.3">
      <c r="A65">
        <v>659</v>
      </c>
      <c r="B65" t="s">
        <v>473</v>
      </c>
      <c r="D65">
        <v>15661825</v>
      </c>
      <c r="E65">
        <v>1118792</v>
      </c>
      <c r="F65">
        <v>2080532</v>
      </c>
      <c r="G65">
        <v>0</v>
      </c>
      <c r="H65">
        <v>5639768</v>
      </c>
      <c r="I65">
        <v>2285732</v>
      </c>
      <c r="J65">
        <v>0</v>
      </c>
    </row>
    <row r="66" spans="1:10" x14ac:dyDescent="0.3">
      <c r="A66">
        <v>660</v>
      </c>
      <c r="B66" t="s">
        <v>474</v>
      </c>
      <c r="D66">
        <v>5295710</v>
      </c>
      <c r="E66">
        <v>1090593</v>
      </c>
      <c r="F66">
        <v>0</v>
      </c>
      <c r="G66">
        <v>0</v>
      </c>
      <c r="H66">
        <v>0</v>
      </c>
      <c r="I66">
        <v>0</v>
      </c>
      <c r="J66">
        <v>0</v>
      </c>
    </row>
    <row r="67" spans="1:10" x14ac:dyDescent="0.3">
      <c r="A67">
        <v>661</v>
      </c>
      <c r="B67" t="s">
        <v>269</v>
      </c>
      <c r="D67">
        <v>33.799999999999997</v>
      </c>
      <c r="E67">
        <v>97.5</v>
      </c>
      <c r="F67">
        <v>0</v>
      </c>
      <c r="G67">
        <v>0</v>
      </c>
      <c r="H67">
        <v>0</v>
      </c>
      <c r="I67">
        <v>0</v>
      </c>
      <c r="J67">
        <v>0</v>
      </c>
    </row>
    <row r="68" spans="1:10" x14ac:dyDescent="0.3">
      <c r="A68">
        <v>662</v>
      </c>
      <c r="B68" t="s">
        <v>285</v>
      </c>
      <c r="D68">
        <v>0</v>
      </c>
      <c r="E68">
        <v>0</v>
      </c>
      <c r="F68">
        <v>0</v>
      </c>
      <c r="G68">
        <v>0</v>
      </c>
      <c r="H68">
        <v>0</v>
      </c>
      <c r="I68">
        <v>0</v>
      </c>
      <c r="J68">
        <v>0</v>
      </c>
    </row>
    <row r="69" spans="1:10" x14ac:dyDescent="0.3">
      <c r="A69">
        <v>663</v>
      </c>
      <c r="B69" t="s">
        <v>475</v>
      </c>
      <c r="D69">
        <v>1520440</v>
      </c>
      <c r="E69">
        <v>1097789</v>
      </c>
      <c r="F69">
        <v>4648534</v>
      </c>
      <c r="G69">
        <v>0</v>
      </c>
      <c r="H69">
        <v>1291990</v>
      </c>
      <c r="I69">
        <v>308134</v>
      </c>
      <c r="J69">
        <v>598133</v>
      </c>
    </row>
    <row r="70" spans="1:10" x14ac:dyDescent="0.3">
      <c r="A70">
        <v>906</v>
      </c>
      <c r="B70" t="s">
        <v>476</v>
      </c>
      <c r="D70">
        <v>1</v>
      </c>
      <c r="E70">
        <v>1</v>
      </c>
      <c r="F70">
        <v>1</v>
      </c>
      <c r="G70">
        <v>1</v>
      </c>
      <c r="H70">
        <v>1</v>
      </c>
      <c r="I70">
        <v>1</v>
      </c>
      <c r="J70">
        <v>1</v>
      </c>
    </row>
    <row r="71" spans="1:10" x14ac:dyDescent="0.3">
      <c r="A71">
        <v>907</v>
      </c>
      <c r="B71" t="s">
        <v>477</v>
      </c>
      <c r="D71">
        <v>2</v>
      </c>
      <c r="E71">
        <v>2</v>
      </c>
      <c r="F71">
        <v>2</v>
      </c>
      <c r="G71">
        <v>2</v>
      </c>
      <c r="H71">
        <v>2</v>
      </c>
      <c r="I71">
        <v>2</v>
      </c>
      <c r="J71">
        <v>2</v>
      </c>
    </row>
    <row r="72" spans="1:10" x14ac:dyDescent="0.3">
      <c r="A72">
        <v>947</v>
      </c>
      <c r="B72" t="s">
        <v>478</v>
      </c>
      <c r="D72">
        <v>0</v>
      </c>
      <c r="E72" t="s">
        <v>567</v>
      </c>
      <c r="F72" t="s">
        <v>568</v>
      </c>
      <c r="G72">
        <v>0</v>
      </c>
      <c r="H72">
        <v>0</v>
      </c>
      <c r="I72" t="s">
        <v>571</v>
      </c>
      <c r="J72" t="s">
        <v>572</v>
      </c>
    </row>
    <row r="73" spans="1:10" x14ac:dyDescent="0.3">
      <c r="A73">
        <v>948</v>
      </c>
      <c r="B73" t="s">
        <v>479</v>
      </c>
      <c r="D73" t="s">
        <v>751</v>
      </c>
      <c r="E73" t="s">
        <v>574</v>
      </c>
      <c r="F73" t="s">
        <v>575</v>
      </c>
      <c r="G73" t="s">
        <v>541</v>
      </c>
      <c r="H73" t="s">
        <v>576</v>
      </c>
      <c r="I73" t="s">
        <v>577</v>
      </c>
      <c r="J73" t="s">
        <v>578</v>
      </c>
    </row>
    <row r="74" spans="1:10" x14ac:dyDescent="0.3">
      <c r="A74">
        <v>949</v>
      </c>
      <c r="B74" t="s">
        <v>480</v>
      </c>
      <c r="D74" t="s">
        <v>278</v>
      </c>
      <c r="E74" t="s">
        <v>263</v>
      </c>
      <c r="F74" t="s">
        <v>263</v>
      </c>
      <c r="G74" t="s">
        <v>263</v>
      </c>
      <c r="H74" t="s">
        <v>263</v>
      </c>
      <c r="I74" t="s">
        <v>263</v>
      </c>
      <c r="J74" t="s">
        <v>752</v>
      </c>
    </row>
    <row r="75" spans="1:10" x14ac:dyDescent="0.3">
      <c r="A75">
        <v>950</v>
      </c>
      <c r="B75" t="s">
        <v>481</v>
      </c>
      <c r="D75" t="s">
        <v>17</v>
      </c>
      <c r="E75" t="s">
        <v>17</v>
      </c>
      <c r="F75" t="s">
        <v>17</v>
      </c>
      <c r="G75" t="s">
        <v>17</v>
      </c>
      <c r="H75" t="s">
        <v>17</v>
      </c>
      <c r="I75" t="s">
        <v>17</v>
      </c>
      <c r="J75" t="s">
        <v>17</v>
      </c>
    </row>
    <row r="76" spans="1:10" x14ac:dyDescent="0.3">
      <c r="A76">
        <v>951</v>
      </c>
      <c r="B76" t="s">
        <v>482</v>
      </c>
      <c r="D76">
        <v>2</v>
      </c>
      <c r="E76">
        <v>2</v>
      </c>
      <c r="F76">
        <v>2</v>
      </c>
      <c r="G76">
        <v>2</v>
      </c>
      <c r="H76">
        <v>2</v>
      </c>
      <c r="I76">
        <v>2</v>
      </c>
      <c r="J76">
        <v>1</v>
      </c>
    </row>
    <row r="77" spans="1:10" x14ac:dyDescent="0.3">
      <c r="A77">
        <v>952</v>
      </c>
      <c r="B77" t="s">
        <v>483</v>
      </c>
      <c r="E77" t="s">
        <v>580</v>
      </c>
      <c r="F77" t="s">
        <v>581</v>
      </c>
      <c r="H77" t="s">
        <v>753</v>
      </c>
      <c r="I77" t="s">
        <v>583</v>
      </c>
    </row>
    <row r="78" spans="1:10" x14ac:dyDescent="0.3">
      <c r="A78">
        <v>953</v>
      </c>
      <c r="B78" t="s">
        <v>484</v>
      </c>
      <c r="D78">
        <v>2</v>
      </c>
      <c r="E78">
        <v>2</v>
      </c>
      <c r="F78">
        <v>2</v>
      </c>
      <c r="G78">
        <v>2</v>
      </c>
      <c r="H78">
        <v>2</v>
      </c>
      <c r="I78">
        <v>2</v>
      </c>
      <c r="J78">
        <v>2</v>
      </c>
    </row>
    <row r="79" spans="1:10" x14ac:dyDescent="0.3">
      <c r="A79">
        <v>954</v>
      </c>
      <c r="B79" t="s">
        <v>261</v>
      </c>
      <c r="D79" t="s">
        <v>17</v>
      </c>
      <c r="E79" t="s">
        <v>17</v>
      </c>
      <c r="F79" t="s">
        <v>17</v>
      </c>
      <c r="G79" t="s">
        <v>17</v>
      </c>
      <c r="H79" t="s">
        <v>17</v>
      </c>
      <c r="I79" t="s">
        <v>17</v>
      </c>
      <c r="J79" t="s">
        <v>754</v>
      </c>
    </row>
    <row r="80" spans="1:10" x14ac:dyDescent="0.3">
      <c r="A80">
        <v>955</v>
      </c>
      <c r="B80" t="s">
        <v>485</v>
      </c>
      <c r="D80">
        <v>0</v>
      </c>
      <c r="E80">
        <v>0</v>
      </c>
      <c r="F80">
        <v>0</v>
      </c>
      <c r="G80">
        <v>1</v>
      </c>
      <c r="H80">
        <v>1</v>
      </c>
      <c r="I80">
        <v>0</v>
      </c>
      <c r="J80">
        <v>0</v>
      </c>
    </row>
    <row r="81" spans="1:10" x14ac:dyDescent="0.3">
      <c r="A81">
        <v>956</v>
      </c>
      <c r="B81" t="s">
        <v>262</v>
      </c>
      <c r="D81" t="s">
        <v>17</v>
      </c>
      <c r="E81" t="s">
        <v>17</v>
      </c>
      <c r="F81" t="s">
        <v>17</v>
      </c>
      <c r="G81" t="s">
        <v>17</v>
      </c>
      <c r="H81" t="s">
        <v>17</v>
      </c>
      <c r="I81" t="s">
        <v>17</v>
      </c>
      <c r="J81" t="s">
        <v>754</v>
      </c>
    </row>
    <row r="82" spans="1:10" x14ac:dyDescent="0.3">
      <c r="A82">
        <v>957</v>
      </c>
      <c r="B82" t="s">
        <v>486</v>
      </c>
      <c r="D82">
        <v>0</v>
      </c>
      <c r="E82">
        <v>0</v>
      </c>
      <c r="F82">
        <v>0</v>
      </c>
      <c r="G82">
        <v>0</v>
      </c>
      <c r="H82">
        <v>0</v>
      </c>
      <c r="I82">
        <v>0</v>
      </c>
      <c r="J82">
        <v>0</v>
      </c>
    </row>
    <row r="83" spans="1:10" x14ac:dyDescent="0.3">
      <c r="A83">
        <v>958</v>
      </c>
      <c r="B83" t="s">
        <v>487</v>
      </c>
      <c r="D83" t="s">
        <v>17</v>
      </c>
      <c r="E83" t="s">
        <v>17</v>
      </c>
      <c r="F83" t="s">
        <v>17</v>
      </c>
      <c r="G83" t="s">
        <v>17</v>
      </c>
      <c r="H83" t="s">
        <v>17</v>
      </c>
      <c r="I83" t="s">
        <v>17</v>
      </c>
      <c r="J83" t="s">
        <v>754</v>
      </c>
    </row>
    <row r="84" spans="1:10" x14ac:dyDescent="0.3">
      <c r="A84">
        <v>959</v>
      </c>
      <c r="B84" t="s">
        <v>488</v>
      </c>
      <c r="D84">
        <v>3</v>
      </c>
      <c r="E84">
        <v>3</v>
      </c>
      <c r="F84">
        <v>2</v>
      </c>
      <c r="G84">
        <v>2</v>
      </c>
      <c r="H84">
        <v>3</v>
      </c>
      <c r="I84">
        <v>2</v>
      </c>
      <c r="J84">
        <v>3</v>
      </c>
    </row>
    <row r="85" spans="1:10" x14ac:dyDescent="0.3">
      <c r="A85">
        <v>960</v>
      </c>
      <c r="B85" t="s">
        <v>489</v>
      </c>
      <c r="D85" t="s">
        <v>755</v>
      </c>
      <c r="E85" t="s">
        <v>586</v>
      </c>
      <c r="F85" t="s">
        <v>587</v>
      </c>
      <c r="G85" t="s">
        <v>588</v>
      </c>
      <c r="H85" t="s">
        <v>589</v>
      </c>
      <c r="I85" t="s">
        <v>756</v>
      </c>
      <c r="J85" t="s">
        <v>612</v>
      </c>
    </row>
    <row r="86" spans="1:10" x14ac:dyDescent="0.3">
      <c r="A86">
        <v>962</v>
      </c>
      <c r="B86" t="s">
        <v>490</v>
      </c>
      <c r="D86" t="s">
        <v>757</v>
      </c>
      <c r="E86" t="s">
        <v>613</v>
      </c>
      <c r="F86" t="s">
        <v>532</v>
      </c>
      <c r="G86" t="s">
        <v>492</v>
      </c>
      <c r="H86" t="s">
        <v>758</v>
      </c>
      <c r="I86" t="s">
        <v>492</v>
      </c>
      <c r="J86" t="s">
        <v>493</v>
      </c>
    </row>
    <row r="87" spans="1:10" x14ac:dyDescent="0.3">
      <c r="A87">
        <v>964</v>
      </c>
      <c r="B87" t="s">
        <v>494</v>
      </c>
      <c r="D87" t="s">
        <v>759</v>
      </c>
      <c r="E87" t="s">
        <v>760</v>
      </c>
      <c r="F87" t="s">
        <v>761</v>
      </c>
      <c r="G87" t="s">
        <v>762</v>
      </c>
      <c r="H87" t="s">
        <v>763</v>
      </c>
      <c r="I87" t="s">
        <v>764</v>
      </c>
      <c r="J87" t="s">
        <v>765</v>
      </c>
    </row>
    <row r="88" spans="1:10" x14ac:dyDescent="0.3">
      <c r="A88">
        <v>966</v>
      </c>
      <c r="B88" t="s">
        <v>497</v>
      </c>
      <c r="D88" t="s">
        <v>766</v>
      </c>
      <c r="E88" t="s">
        <v>598</v>
      </c>
      <c r="F88" t="s">
        <v>599</v>
      </c>
      <c r="H88" t="s">
        <v>601</v>
      </c>
      <c r="I88" t="s">
        <v>767</v>
      </c>
      <c r="J88" t="s">
        <v>603</v>
      </c>
    </row>
    <row r="89" spans="1:10" x14ac:dyDescent="0.3">
      <c r="A89">
        <v>968</v>
      </c>
      <c r="B89" t="s">
        <v>498</v>
      </c>
      <c r="D89" t="s">
        <v>768</v>
      </c>
      <c r="E89" t="s">
        <v>605</v>
      </c>
      <c r="F89" t="s">
        <v>606</v>
      </c>
      <c r="G89" t="s">
        <v>769</v>
      </c>
      <c r="H89" t="s">
        <v>608</v>
      </c>
      <c r="I89" t="s">
        <v>609</v>
      </c>
      <c r="J89" t="s">
        <v>611</v>
      </c>
    </row>
    <row r="90" spans="1:10" x14ac:dyDescent="0.3">
      <c r="A90">
        <v>973</v>
      </c>
      <c r="B90" t="s">
        <v>770</v>
      </c>
      <c r="D90">
        <v>0</v>
      </c>
      <c r="E90">
        <v>0</v>
      </c>
      <c r="F90">
        <v>0</v>
      </c>
      <c r="G90">
        <v>0</v>
      </c>
      <c r="H90">
        <v>0</v>
      </c>
      <c r="I90">
        <v>0</v>
      </c>
      <c r="J90">
        <v>0</v>
      </c>
    </row>
    <row r="91" spans="1:10" x14ac:dyDescent="0.3">
      <c r="A91">
        <v>975</v>
      </c>
      <c r="B91" t="s">
        <v>311</v>
      </c>
      <c r="D91">
        <v>2</v>
      </c>
      <c r="E91">
        <v>1</v>
      </c>
      <c r="F91">
        <v>2</v>
      </c>
      <c r="G91">
        <v>1</v>
      </c>
      <c r="H91">
        <v>1</v>
      </c>
      <c r="I91">
        <v>1</v>
      </c>
      <c r="J91">
        <v>2</v>
      </c>
    </row>
    <row r="92" spans="1:10" x14ac:dyDescent="0.3">
      <c r="A92">
        <v>979</v>
      </c>
      <c r="B92" t="s">
        <v>771</v>
      </c>
      <c r="D92">
        <v>1</v>
      </c>
      <c r="E92">
        <v>1</v>
      </c>
      <c r="F92">
        <v>1</v>
      </c>
      <c r="G92">
        <v>1</v>
      </c>
      <c r="H92">
        <v>1</v>
      </c>
      <c r="I92">
        <v>2</v>
      </c>
      <c r="J92">
        <v>1</v>
      </c>
    </row>
    <row r="93" spans="1:10" x14ac:dyDescent="0.3">
      <c r="A93">
        <v>980</v>
      </c>
      <c r="B93" t="s">
        <v>308</v>
      </c>
      <c r="D93" t="s">
        <v>772</v>
      </c>
      <c r="E93" t="s">
        <v>773</v>
      </c>
      <c r="F93" t="s">
        <v>774</v>
      </c>
      <c r="G93" t="s">
        <v>775</v>
      </c>
      <c r="H93" t="s">
        <v>773</v>
      </c>
      <c r="I93" t="s">
        <v>764</v>
      </c>
      <c r="J93" t="s">
        <v>774</v>
      </c>
    </row>
    <row r="94" spans="1:10" x14ac:dyDescent="0.3">
      <c r="A94">
        <v>995</v>
      </c>
      <c r="B94" t="s">
        <v>179</v>
      </c>
      <c r="D94">
        <v>0</v>
      </c>
      <c r="E94">
        <v>0</v>
      </c>
      <c r="F94">
        <v>0</v>
      </c>
      <c r="G94">
        <v>0</v>
      </c>
      <c r="H94">
        <v>0</v>
      </c>
      <c r="I94">
        <v>0</v>
      </c>
      <c r="J94">
        <v>0</v>
      </c>
    </row>
    <row r="95" spans="1:10" x14ac:dyDescent="0.3">
      <c r="A95">
        <v>996</v>
      </c>
      <c r="B95" t="s">
        <v>180</v>
      </c>
      <c r="D95">
        <v>0</v>
      </c>
      <c r="E95">
        <v>0</v>
      </c>
      <c r="F95">
        <v>0</v>
      </c>
      <c r="G95">
        <v>0</v>
      </c>
      <c r="H95">
        <v>0</v>
      </c>
      <c r="I95">
        <v>0</v>
      </c>
      <c r="J95">
        <v>0</v>
      </c>
    </row>
    <row r="96" spans="1:10" x14ac:dyDescent="0.3">
      <c r="A96">
        <v>998</v>
      </c>
      <c r="B96" t="s">
        <v>181</v>
      </c>
      <c r="D96">
        <v>56</v>
      </c>
      <c r="E96">
        <v>56</v>
      </c>
      <c r="F96">
        <v>56</v>
      </c>
      <c r="G96">
        <v>56</v>
      </c>
      <c r="H96">
        <v>56</v>
      </c>
      <c r="I96">
        <v>56</v>
      </c>
      <c r="J96">
        <v>56</v>
      </c>
    </row>
    <row r="97" spans="1:10" x14ac:dyDescent="0.3">
      <c r="A97">
        <v>999</v>
      </c>
      <c r="B97" t="s">
        <v>182</v>
      </c>
      <c r="D97">
        <v>561205</v>
      </c>
      <c r="E97">
        <v>561200</v>
      </c>
      <c r="F97">
        <v>561208</v>
      </c>
      <c r="G97">
        <v>561206</v>
      </c>
      <c r="H97">
        <v>561202</v>
      </c>
      <c r="I97">
        <v>561204</v>
      </c>
      <c r="J97">
        <v>561207</v>
      </c>
    </row>
    <row r="98" spans="1:10" x14ac:dyDescent="0.3">
      <c r="A98">
        <v>1052</v>
      </c>
      <c r="B98" t="s">
        <v>776</v>
      </c>
      <c r="D98">
        <v>0</v>
      </c>
      <c r="E98">
        <v>0</v>
      </c>
      <c r="F98">
        <v>0</v>
      </c>
      <c r="G98">
        <v>0</v>
      </c>
      <c r="H98">
        <v>0</v>
      </c>
      <c r="I98">
        <v>0</v>
      </c>
      <c r="J98">
        <v>0</v>
      </c>
    </row>
    <row r="99" spans="1:10" x14ac:dyDescent="0.3">
      <c r="A99">
        <v>1058</v>
      </c>
      <c r="B99" t="s">
        <v>543</v>
      </c>
      <c r="D99">
        <v>2</v>
      </c>
      <c r="E99">
        <v>2</v>
      </c>
      <c r="F99">
        <v>2</v>
      </c>
      <c r="G99">
        <v>2</v>
      </c>
      <c r="H99">
        <v>2</v>
      </c>
      <c r="I99">
        <v>2</v>
      </c>
      <c r="J99">
        <v>2</v>
      </c>
    </row>
    <row r="100" spans="1:10" x14ac:dyDescent="0.3">
      <c r="A100">
        <v>1059</v>
      </c>
      <c r="B100" t="s">
        <v>777</v>
      </c>
      <c r="D100">
        <v>1</v>
      </c>
      <c r="E100">
        <v>1</v>
      </c>
      <c r="F100">
        <v>1</v>
      </c>
      <c r="G100">
        <v>1</v>
      </c>
      <c r="H100">
        <v>1</v>
      </c>
      <c r="I100">
        <v>1</v>
      </c>
      <c r="J100">
        <v>1</v>
      </c>
    </row>
    <row r="101" spans="1:10" x14ac:dyDescent="0.3">
      <c r="A101">
        <v>1066</v>
      </c>
      <c r="B101" t="s">
        <v>778</v>
      </c>
      <c r="D101" t="s">
        <v>779</v>
      </c>
      <c r="E101" t="s">
        <v>780</v>
      </c>
      <c r="F101" t="s">
        <v>781</v>
      </c>
      <c r="G101" t="s">
        <v>782</v>
      </c>
      <c r="H101" t="s">
        <v>783</v>
      </c>
      <c r="I101" t="s">
        <v>784</v>
      </c>
      <c r="J101" t="s">
        <v>785</v>
      </c>
    </row>
    <row r="102" spans="1:10" x14ac:dyDescent="0.3">
      <c r="A102">
        <v>9000</v>
      </c>
      <c r="B102" t="s">
        <v>499</v>
      </c>
      <c r="C102" t="s">
        <v>230</v>
      </c>
      <c r="D102">
        <v>253472239.80000001</v>
      </c>
      <c r="E102">
        <v>140540056.5</v>
      </c>
      <c r="F102">
        <v>254748619</v>
      </c>
      <c r="G102">
        <v>69037706</v>
      </c>
      <c r="H102">
        <v>89618186</v>
      </c>
      <c r="I102">
        <v>66376429</v>
      </c>
      <c r="J102">
        <v>74679908</v>
      </c>
    </row>
    <row r="103" spans="1:10" x14ac:dyDescent="0.3">
      <c r="A103">
        <v>9001</v>
      </c>
      <c r="B103" t="s">
        <v>500</v>
      </c>
      <c r="C103" t="s">
        <v>501</v>
      </c>
      <c r="D103">
        <v>23728285</v>
      </c>
      <c r="E103">
        <v>13003505</v>
      </c>
      <c r="F103">
        <v>20611416</v>
      </c>
      <c r="G103">
        <v>6254254</v>
      </c>
      <c r="H103">
        <v>7323699</v>
      </c>
      <c r="I103">
        <v>5396486</v>
      </c>
      <c r="J103">
        <v>7261835</v>
      </c>
    </row>
    <row r="104" spans="1:10" x14ac:dyDescent="0.3">
      <c r="A104">
        <v>9002</v>
      </c>
      <c r="B104" t="s">
        <v>502</v>
      </c>
      <c r="C104" t="s">
        <v>503</v>
      </c>
      <c r="D104">
        <v>1509213</v>
      </c>
      <c r="E104">
        <v>284118</v>
      </c>
      <c r="F104">
        <v>8159884</v>
      </c>
      <c r="G104">
        <v>218846</v>
      </c>
      <c r="H104">
        <v>858416</v>
      </c>
      <c r="I104">
        <v>845323</v>
      </c>
      <c r="J104">
        <v>936882</v>
      </c>
    </row>
    <row r="105" spans="1:10" x14ac:dyDescent="0.3">
      <c r="A105">
        <v>9003</v>
      </c>
      <c r="B105" t="s">
        <v>504</v>
      </c>
      <c r="C105" t="s">
        <v>505</v>
      </c>
      <c r="D105">
        <v>22386970</v>
      </c>
      <c r="E105">
        <v>3847708</v>
      </c>
      <c r="F105">
        <v>12359994</v>
      </c>
      <c r="G105">
        <v>10463963</v>
      </c>
      <c r="H105">
        <v>8842516</v>
      </c>
      <c r="I105">
        <v>5028323</v>
      </c>
      <c r="J105">
        <v>2468215</v>
      </c>
    </row>
    <row r="106" spans="1:10" x14ac:dyDescent="0.3">
      <c r="A106">
        <v>9004</v>
      </c>
      <c r="B106" t="s">
        <v>506</v>
      </c>
      <c r="C106" t="s">
        <v>507</v>
      </c>
      <c r="D106" t="s">
        <v>230</v>
      </c>
      <c r="E106" t="s">
        <v>230</v>
      </c>
      <c r="F106" t="s">
        <v>230</v>
      </c>
      <c r="G106" t="s">
        <v>230</v>
      </c>
      <c r="H106" t="s">
        <v>230</v>
      </c>
      <c r="I106" t="s">
        <v>230</v>
      </c>
      <c r="J106" t="s">
        <v>230</v>
      </c>
    </row>
    <row r="107" spans="1:10" x14ac:dyDescent="0.3">
      <c r="A107">
        <v>9005</v>
      </c>
      <c r="B107" t="s">
        <v>508</v>
      </c>
      <c r="C107" t="s">
        <v>509</v>
      </c>
      <c r="D107">
        <v>8553465</v>
      </c>
      <c r="E107">
        <v>8313836</v>
      </c>
      <c r="F107">
        <v>6798896</v>
      </c>
      <c r="G107">
        <v>1615331</v>
      </c>
      <c r="H107">
        <v>2940295</v>
      </c>
      <c r="I107">
        <v>1690677</v>
      </c>
      <c r="J107">
        <v>5012470</v>
      </c>
    </row>
    <row r="108" spans="1:10" x14ac:dyDescent="0.3">
      <c r="A108">
        <v>9006</v>
      </c>
      <c r="B108" t="s">
        <v>510</v>
      </c>
      <c r="C108" t="s">
        <v>511</v>
      </c>
      <c r="D108">
        <v>16969903</v>
      </c>
      <c r="E108">
        <v>12476147</v>
      </c>
      <c r="F108">
        <v>29258423</v>
      </c>
      <c r="G108">
        <v>7604767</v>
      </c>
      <c r="H108">
        <v>9479461</v>
      </c>
      <c r="I108">
        <v>7347379</v>
      </c>
      <c r="J108">
        <v>4921564</v>
      </c>
    </row>
    <row r="109" spans="1:10" x14ac:dyDescent="0.3">
      <c r="A109">
        <v>9007</v>
      </c>
      <c r="B109" t="s">
        <v>550</v>
      </c>
      <c r="C109" t="s">
        <v>512</v>
      </c>
      <c r="D109">
        <v>0.504</v>
      </c>
      <c r="E109">
        <v>0.66639999999999999</v>
      </c>
      <c r="F109">
        <v>0.2324</v>
      </c>
      <c r="G109">
        <v>0.21240000000000001</v>
      </c>
      <c r="H109">
        <v>0.31019999999999998</v>
      </c>
      <c r="I109">
        <v>0.2301</v>
      </c>
      <c r="J109">
        <v>1.0185</v>
      </c>
    </row>
    <row r="110" spans="1:10" x14ac:dyDescent="0.3">
      <c r="A110">
        <v>9008</v>
      </c>
      <c r="B110" t="s">
        <v>513</v>
      </c>
      <c r="C110" t="s">
        <v>230</v>
      </c>
      <c r="D110">
        <v>0</v>
      </c>
      <c r="E110">
        <v>0</v>
      </c>
      <c r="F110">
        <v>0</v>
      </c>
      <c r="G110">
        <v>0</v>
      </c>
      <c r="H110">
        <v>0</v>
      </c>
      <c r="I110">
        <v>0</v>
      </c>
      <c r="J110">
        <v>0</v>
      </c>
    </row>
    <row r="111" spans="1:10" x14ac:dyDescent="0.3">
      <c r="A111">
        <v>9010</v>
      </c>
      <c r="B111" t="s">
        <v>514</v>
      </c>
      <c r="C111" t="s">
        <v>515</v>
      </c>
      <c r="D111">
        <v>0</v>
      </c>
      <c r="E111">
        <v>0</v>
      </c>
      <c r="F111">
        <v>0</v>
      </c>
      <c r="G111">
        <v>0</v>
      </c>
      <c r="H111">
        <v>0</v>
      </c>
      <c r="I111">
        <v>0</v>
      </c>
      <c r="J111">
        <v>0</v>
      </c>
    </row>
    <row r="112" spans="1:10" x14ac:dyDescent="0.3">
      <c r="A112">
        <v>9011</v>
      </c>
      <c r="B112" t="s">
        <v>786</v>
      </c>
      <c r="C112" t="s">
        <v>516</v>
      </c>
      <c r="D112">
        <v>0</v>
      </c>
      <c r="E112">
        <v>0</v>
      </c>
      <c r="F112">
        <v>0</v>
      </c>
      <c r="G112">
        <v>0</v>
      </c>
      <c r="H112">
        <v>0</v>
      </c>
      <c r="I112">
        <v>0</v>
      </c>
      <c r="J112">
        <v>0</v>
      </c>
    </row>
    <row r="113" spans="1:104" x14ac:dyDescent="0.3">
      <c r="A113">
        <v>9012</v>
      </c>
      <c r="B113" t="s">
        <v>787</v>
      </c>
      <c r="C113" t="s">
        <v>516</v>
      </c>
      <c r="D113">
        <v>0</v>
      </c>
      <c r="E113">
        <v>0</v>
      </c>
      <c r="F113">
        <v>0</v>
      </c>
      <c r="G113">
        <v>0</v>
      </c>
      <c r="H113">
        <v>0</v>
      </c>
      <c r="I113">
        <v>0</v>
      </c>
      <c r="J113">
        <v>0</v>
      </c>
    </row>
    <row r="114" spans="1:104" x14ac:dyDescent="0.3">
      <c r="A114">
        <v>9013</v>
      </c>
      <c r="B114" t="s">
        <v>517</v>
      </c>
      <c r="C114" t="s">
        <v>518</v>
      </c>
      <c r="D114">
        <v>0</v>
      </c>
      <c r="E114">
        <v>0</v>
      </c>
      <c r="F114">
        <v>0</v>
      </c>
      <c r="G114">
        <v>0</v>
      </c>
      <c r="H114">
        <v>0</v>
      </c>
      <c r="I114">
        <v>0</v>
      </c>
      <c r="J114">
        <v>0</v>
      </c>
    </row>
    <row r="115" spans="1:104" x14ac:dyDescent="0.3">
      <c r="A115">
        <v>9014</v>
      </c>
      <c r="B115" t="s">
        <v>519</v>
      </c>
      <c r="C115" t="s">
        <v>520</v>
      </c>
      <c r="D115">
        <v>0</v>
      </c>
      <c r="E115">
        <v>0</v>
      </c>
      <c r="F115">
        <v>0</v>
      </c>
      <c r="G115">
        <v>0</v>
      </c>
      <c r="H115">
        <v>0</v>
      </c>
      <c r="I115">
        <v>0</v>
      </c>
      <c r="J115">
        <v>0</v>
      </c>
    </row>
    <row r="116" spans="1:104" x14ac:dyDescent="0.3">
      <c r="A116">
        <v>9015</v>
      </c>
      <c r="B116" t="s">
        <v>788</v>
      </c>
      <c r="C116" t="s">
        <v>230</v>
      </c>
      <c r="D116">
        <v>0</v>
      </c>
      <c r="E116">
        <v>0</v>
      </c>
      <c r="F116">
        <v>0</v>
      </c>
      <c r="G116">
        <v>0</v>
      </c>
      <c r="H116">
        <v>0</v>
      </c>
      <c r="I116">
        <v>0</v>
      </c>
      <c r="J116">
        <v>0</v>
      </c>
    </row>
    <row r="117" spans="1:104" x14ac:dyDescent="0.3">
      <c r="A117">
        <v>9016</v>
      </c>
      <c r="B117" t="s">
        <v>789</v>
      </c>
      <c r="C117" t="s">
        <v>230</v>
      </c>
      <c r="D117">
        <v>0</v>
      </c>
      <c r="E117">
        <v>0</v>
      </c>
      <c r="F117">
        <v>0</v>
      </c>
      <c r="G117">
        <v>0</v>
      </c>
      <c r="H117">
        <v>0</v>
      </c>
      <c r="I117">
        <v>0</v>
      </c>
      <c r="J117">
        <v>0</v>
      </c>
    </row>
    <row r="118" spans="1:104" x14ac:dyDescent="0.3">
      <c r="A118">
        <v>9017</v>
      </c>
      <c r="B118" t="s">
        <v>521</v>
      </c>
      <c r="C118" t="s">
        <v>522</v>
      </c>
      <c r="D118">
        <v>0</v>
      </c>
      <c r="E118">
        <v>0</v>
      </c>
      <c r="F118">
        <v>0</v>
      </c>
      <c r="G118">
        <v>0</v>
      </c>
      <c r="H118">
        <v>0</v>
      </c>
      <c r="I118">
        <v>0</v>
      </c>
      <c r="J118">
        <v>0</v>
      </c>
    </row>
    <row r="119" spans="1:104" x14ac:dyDescent="0.3">
      <c r="A119">
        <v>9018</v>
      </c>
      <c r="B119" t="s">
        <v>523</v>
      </c>
      <c r="C119" t="s">
        <v>524</v>
      </c>
      <c r="D119">
        <v>1509213</v>
      </c>
      <c r="E119">
        <v>235807</v>
      </c>
      <c r="F119">
        <v>1726769</v>
      </c>
      <c r="G119">
        <v>218846</v>
      </c>
      <c r="H119">
        <v>80704</v>
      </c>
      <c r="I119">
        <v>717724</v>
      </c>
      <c r="J119">
        <v>936882</v>
      </c>
    </row>
    <row r="120" spans="1:104" x14ac:dyDescent="0.3">
      <c r="A120">
        <v>9019</v>
      </c>
      <c r="B120" t="s">
        <v>525</v>
      </c>
      <c r="C120" t="s">
        <v>526</v>
      </c>
      <c r="D120">
        <v>1509213</v>
      </c>
      <c r="E120">
        <v>235807</v>
      </c>
      <c r="F120">
        <v>1726769</v>
      </c>
      <c r="G120">
        <v>218846</v>
      </c>
      <c r="H120">
        <v>80704</v>
      </c>
      <c r="I120">
        <v>717724</v>
      </c>
      <c r="J120">
        <v>936882</v>
      </c>
    </row>
    <row r="121" spans="1:104" x14ac:dyDescent="0.3">
      <c r="A121"/>
      <c r="B121"/>
    </row>
    <row r="122" spans="1:104" x14ac:dyDescent="0.3">
      <c r="A122"/>
      <c r="B122"/>
    </row>
    <row r="123" spans="1:104" x14ac:dyDescent="0.3">
      <c r="A123" s="106">
        <v>0</v>
      </c>
      <c r="B123" s="370" t="s">
        <v>530</v>
      </c>
      <c r="C123" s="129"/>
      <c r="D123" s="129">
        <f>D102</f>
        <v>253472239.80000001</v>
      </c>
      <c r="E123" s="129">
        <f t="shared" ref="E123:J123" si="0">E102</f>
        <v>140540056.5</v>
      </c>
      <c r="F123" s="129">
        <f t="shared" si="0"/>
        <v>254748619</v>
      </c>
      <c r="G123" s="129">
        <f t="shared" si="0"/>
        <v>69037706</v>
      </c>
      <c r="H123" s="129">
        <f t="shared" si="0"/>
        <v>89618186</v>
      </c>
      <c r="I123" s="129">
        <f t="shared" si="0"/>
        <v>66376429</v>
      </c>
      <c r="J123" s="129">
        <f t="shared" si="0"/>
        <v>74679908</v>
      </c>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c r="CG123" s="129"/>
      <c r="CH123" s="129"/>
      <c r="CI123" s="129"/>
      <c r="CJ123" s="129"/>
      <c r="CK123" s="129"/>
      <c r="CL123" s="129"/>
      <c r="CM123" s="129"/>
      <c r="CN123" s="129"/>
      <c r="CO123" s="129"/>
      <c r="CP123" s="129"/>
      <c r="CQ123" s="129"/>
      <c r="CR123" s="129"/>
      <c r="CS123" s="129"/>
      <c r="CT123" s="129"/>
      <c r="CU123" s="129"/>
      <c r="CV123" s="129"/>
      <c r="CW123" s="129"/>
      <c r="CX123" s="129"/>
      <c r="CY123" s="129"/>
      <c r="CZ123" s="129"/>
    </row>
    <row r="124" spans="1:104" s="129" customFormat="1" x14ac:dyDescent="0.3">
      <c r="A124" s="106"/>
      <c r="B124" s="370" t="s">
        <v>529</v>
      </c>
    </row>
    <row r="125" spans="1:104" x14ac:dyDescent="0.3">
      <c r="A125" s="413">
        <v>906</v>
      </c>
      <c r="C125" s="129"/>
      <c r="D125" s="129">
        <f>D70</f>
        <v>1</v>
      </c>
      <c r="E125" s="129">
        <f t="shared" ref="E125:J125" si="1">E70</f>
        <v>1</v>
      </c>
      <c r="F125" s="129">
        <f t="shared" si="1"/>
        <v>1</v>
      </c>
      <c r="G125" s="129">
        <f t="shared" si="1"/>
        <v>1</v>
      </c>
      <c r="H125" s="129">
        <f t="shared" si="1"/>
        <v>1</v>
      </c>
      <c r="I125" s="129">
        <f t="shared" si="1"/>
        <v>1</v>
      </c>
      <c r="J125" s="129">
        <f t="shared" si="1"/>
        <v>1</v>
      </c>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c r="CG125" s="129"/>
      <c r="CH125" s="129"/>
      <c r="CI125" s="129"/>
      <c r="CJ125" s="129"/>
      <c r="CK125" s="129"/>
      <c r="CL125" s="129"/>
      <c r="CM125" s="129"/>
      <c r="CN125" s="129"/>
      <c r="CO125" s="129"/>
      <c r="CP125" s="129"/>
      <c r="CQ125" s="129"/>
      <c r="CR125" s="129"/>
      <c r="CS125" s="129"/>
      <c r="CT125" s="129"/>
      <c r="CU125" s="129"/>
      <c r="CV125" s="129"/>
      <c r="CW125" s="129"/>
      <c r="CX125" s="129"/>
      <c r="CY125" s="129"/>
      <c r="CZ125" s="129"/>
    </row>
    <row r="126" spans="1:104" x14ac:dyDescent="0.3">
      <c r="A126" s="413">
        <v>907</v>
      </c>
      <c r="C126" s="129"/>
      <c r="D126" s="129">
        <f>D71</f>
        <v>2</v>
      </c>
      <c r="E126" s="129">
        <f t="shared" ref="E126:J126" si="2">E71</f>
        <v>2</v>
      </c>
      <c r="F126" s="129">
        <f t="shared" si="2"/>
        <v>2</v>
      </c>
      <c r="G126" s="129">
        <f t="shared" si="2"/>
        <v>2</v>
      </c>
      <c r="H126" s="129">
        <f t="shared" si="2"/>
        <v>2</v>
      </c>
      <c r="I126" s="129">
        <f t="shared" si="2"/>
        <v>2</v>
      </c>
      <c r="J126" s="129">
        <f t="shared" si="2"/>
        <v>2</v>
      </c>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row>
    <row r="127" spans="1:104" x14ac:dyDescent="0.3">
      <c r="A127" s="413">
        <v>951</v>
      </c>
      <c r="C127" s="129"/>
      <c r="D127" s="129">
        <f>D76</f>
        <v>2</v>
      </c>
      <c r="E127" s="129">
        <f t="shared" ref="E127:J127" si="3">E76</f>
        <v>2</v>
      </c>
      <c r="F127" s="129">
        <f t="shared" si="3"/>
        <v>2</v>
      </c>
      <c r="G127" s="129">
        <f t="shared" si="3"/>
        <v>2</v>
      </c>
      <c r="H127" s="129">
        <f t="shared" si="3"/>
        <v>2</v>
      </c>
      <c r="I127" s="129">
        <f t="shared" si="3"/>
        <v>2</v>
      </c>
      <c r="J127" s="129">
        <f t="shared" si="3"/>
        <v>1</v>
      </c>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row>
    <row r="128" spans="1:104" x14ac:dyDescent="0.3">
      <c r="A128" s="413">
        <v>953</v>
      </c>
      <c r="C128" s="129"/>
      <c r="D128" s="129">
        <f>D78</f>
        <v>2</v>
      </c>
      <c r="E128" s="129">
        <f t="shared" ref="E128:J128" si="4">E78</f>
        <v>2</v>
      </c>
      <c r="F128" s="129">
        <f t="shared" si="4"/>
        <v>2</v>
      </c>
      <c r="G128" s="129">
        <f t="shared" si="4"/>
        <v>2</v>
      </c>
      <c r="H128" s="129">
        <f t="shared" si="4"/>
        <v>2</v>
      </c>
      <c r="I128" s="129">
        <f t="shared" si="4"/>
        <v>2</v>
      </c>
      <c r="J128" s="129">
        <f t="shared" si="4"/>
        <v>2</v>
      </c>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row>
    <row r="129" spans="1:104" x14ac:dyDescent="0.3">
      <c r="A129" s="413">
        <v>955</v>
      </c>
      <c r="C129" s="129"/>
      <c r="D129" s="129">
        <f>D80</f>
        <v>0</v>
      </c>
      <c r="E129" s="129">
        <f t="shared" ref="E129:J129" si="5">E80</f>
        <v>0</v>
      </c>
      <c r="F129" s="129">
        <f t="shared" si="5"/>
        <v>0</v>
      </c>
      <c r="G129" s="129">
        <f t="shared" si="5"/>
        <v>1</v>
      </c>
      <c r="H129" s="129">
        <f t="shared" si="5"/>
        <v>1</v>
      </c>
      <c r="I129" s="129">
        <f t="shared" si="5"/>
        <v>0</v>
      </c>
      <c r="J129" s="129">
        <f t="shared" si="5"/>
        <v>0</v>
      </c>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c r="CG129" s="129"/>
      <c r="CH129" s="129"/>
      <c r="CI129" s="129"/>
      <c r="CJ129" s="129"/>
      <c r="CK129" s="129"/>
      <c r="CL129" s="129"/>
      <c r="CM129" s="129"/>
      <c r="CN129" s="129"/>
      <c r="CO129" s="129"/>
      <c r="CP129" s="129"/>
      <c r="CQ129" s="129"/>
      <c r="CR129" s="129"/>
      <c r="CS129" s="129"/>
      <c r="CT129" s="129"/>
      <c r="CU129" s="129"/>
      <c r="CV129" s="129"/>
      <c r="CW129" s="129"/>
      <c r="CX129" s="129"/>
      <c r="CY129" s="129"/>
      <c r="CZ129" s="129"/>
    </row>
    <row r="130" spans="1:104" x14ac:dyDescent="0.3">
      <c r="A130" s="413">
        <v>957</v>
      </c>
      <c r="C130" s="129"/>
      <c r="D130" s="129">
        <f>D82</f>
        <v>0</v>
      </c>
      <c r="E130" s="129">
        <f t="shared" ref="E130:J130" si="6">E82</f>
        <v>0</v>
      </c>
      <c r="F130" s="129">
        <f t="shared" si="6"/>
        <v>0</v>
      </c>
      <c r="G130" s="129">
        <f t="shared" si="6"/>
        <v>0</v>
      </c>
      <c r="H130" s="129">
        <f t="shared" si="6"/>
        <v>0</v>
      </c>
      <c r="I130" s="129">
        <f t="shared" si="6"/>
        <v>0</v>
      </c>
      <c r="J130" s="129">
        <f t="shared" si="6"/>
        <v>0</v>
      </c>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c r="CG130" s="129"/>
      <c r="CH130" s="129"/>
      <c r="CI130" s="129"/>
      <c r="CJ130" s="129"/>
      <c r="CK130" s="129"/>
      <c r="CL130" s="129"/>
      <c r="CM130" s="129"/>
      <c r="CN130" s="129"/>
      <c r="CO130" s="129"/>
      <c r="CP130" s="129"/>
      <c r="CQ130" s="129"/>
      <c r="CR130" s="129"/>
      <c r="CS130" s="129"/>
      <c r="CT130" s="129"/>
      <c r="CU130" s="129"/>
      <c r="CV130" s="129"/>
      <c r="CW130" s="129"/>
      <c r="CX130" s="129"/>
      <c r="CY130" s="129"/>
      <c r="CZ130" s="129"/>
    </row>
    <row r="131" spans="1:104" x14ac:dyDescent="0.3">
      <c r="A131" s="413">
        <v>959</v>
      </c>
      <c r="C131" s="129"/>
      <c r="D131" s="129">
        <f>D84</f>
        <v>3</v>
      </c>
      <c r="E131" s="129">
        <f t="shared" ref="E131:J131" si="7">E84</f>
        <v>3</v>
      </c>
      <c r="F131" s="129">
        <f t="shared" si="7"/>
        <v>2</v>
      </c>
      <c r="G131" s="129">
        <f t="shared" si="7"/>
        <v>2</v>
      </c>
      <c r="H131" s="129">
        <f t="shared" si="7"/>
        <v>3</v>
      </c>
      <c r="I131" s="129">
        <f t="shared" si="7"/>
        <v>2</v>
      </c>
      <c r="J131" s="129">
        <f t="shared" si="7"/>
        <v>3</v>
      </c>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c r="CG131" s="129"/>
      <c r="CH131" s="129"/>
      <c r="CI131" s="129"/>
      <c r="CJ131" s="129"/>
      <c r="CK131" s="129"/>
      <c r="CL131" s="129"/>
      <c r="CM131" s="129"/>
      <c r="CN131" s="129"/>
      <c r="CO131" s="129"/>
      <c r="CP131" s="129"/>
      <c r="CQ131" s="129"/>
      <c r="CR131" s="129"/>
      <c r="CS131" s="129"/>
      <c r="CT131" s="129"/>
      <c r="CU131" s="129"/>
      <c r="CV131" s="129"/>
      <c r="CW131" s="129"/>
      <c r="CX131" s="129"/>
      <c r="CY131" s="129"/>
      <c r="CZ131" s="129"/>
    </row>
    <row r="132" spans="1:104" x14ac:dyDescent="0.3">
      <c r="A132" s="106">
        <v>965</v>
      </c>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c r="CG132" s="129"/>
      <c r="CH132" s="129"/>
      <c r="CI132" s="129"/>
      <c r="CJ132" s="129"/>
      <c r="CK132" s="129"/>
      <c r="CL132" s="129"/>
      <c r="CM132" s="129"/>
      <c r="CN132" s="129"/>
      <c r="CO132" s="129"/>
      <c r="CP132" s="129"/>
      <c r="CQ132" s="129"/>
      <c r="CR132" s="129"/>
      <c r="CS132" s="129"/>
      <c r="CT132" s="129"/>
      <c r="CU132" s="129"/>
      <c r="CV132" s="129"/>
      <c r="CW132" s="129"/>
      <c r="CX132" s="129"/>
      <c r="CY132" s="129"/>
      <c r="CZ132" s="129"/>
    </row>
    <row r="133" spans="1:104" x14ac:dyDescent="0.3">
      <c r="A133" s="413">
        <v>973</v>
      </c>
      <c r="C133" s="129"/>
      <c r="D133" s="129">
        <f>D90</f>
        <v>0</v>
      </c>
      <c r="E133" s="129">
        <f t="shared" ref="E133:J133" si="8">E90</f>
        <v>0</v>
      </c>
      <c r="F133" s="129">
        <f t="shared" si="8"/>
        <v>0</v>
      </c>
      <c r="G133" s="129">
        <f t="shared" si="8"/>
        <v>0</v>
      </c>
      <c r="H133" s="129">
        <f t="shared" si="8"/>
        <v>0</v>
      </c>
      <c r="I133" s="129">
        <f t="shared" si="8"/>
        <v>0</v>
      </c>
      <c r="J133" s="129">
        <f t="shared" si="8"/>
        <v>0</v>
      </c>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c r="CG133" s="129"/>
      <c r="CH133" s="129"/>
      <c r="CI133" s="129"/>
      <c r="CJ133" s="129"/>
      <c r="CK133" s="129"/>
      <c r="CL133" s="129"/>
      <c r="CM133" s="129"/>
      <c r="CN133" s="129"/>
      <c r="CO133" s="129"/>
      <c r="CP133" s="129"/>
      <c r="CQ133" s="129"/>
      <c r="CR133" s="129"/>
      <c r="CS133" s="129"/>
      <c r="CT133" s="129"/>
      <c r="CU133" s="129"/>
      <c r="CV133" s="129"/>
      <c r="CW133" s="129"/>
      <c r="CX133" s="129"/>
      <c r="CY133" s="129"/>
      <c r="CZ133" s="129"/>
    </row>
    <row r="134" spans="1:104" x14ac:dyDescent="0.3">
      <c r="A134" s="413">
        <v>974</v>
      </c>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c r="CG134" s="129"/>
      <c r="CH134" s="129"/>
      <c r="CI134" s="129"/>
      <c r="CJ134" s="129"/>
      <c r="CK134" s="129"/>
      <c r="CL134" s="129"/>
      <c r="CM134" s="129"/>
      <c r="CN134" s="129"/>
      <c r="CO134" s="129"/>
      <c r="CP134" s="129"/>
      <c r="CQ134" s="129"/>
      <c r="CR134" s="129"/>
      <c r="CS134" s="129"/>
      <c r="CT134" s="129"/>
      <c r="CU134" s="129"/>
      <c r="CV134" s="129"/>
      <c r="CW134" s="129"/>
      <c r="CX134" s="129"/>
      <c r="CY134" s="129"/>
      <c r="CZ134" s="129"/>
    </row>
    <row r="135" spans="1:104" x14ac:dyDescent="0.3">
      <c r="A135" s="413">
        <v>975</v>
      </c>
      <c r="C135" s="129"/>
      <c r="D135" s="129">
        <f>D91</f>
        <v>2</v>
      </c>
      <c r="E135" s="129">
        <f t="shared" ref="E135:J135" si="9">E91</f>
        <v>1</v>
      </c>
      <c r="F135" s="129">
        <f t="shared" si="9"/>
        <v>2</v>
      </c>
      <c r="G135" s="129">
        <f t="shared" si="9"/>
        <v>1</v>
      </c>
      <c r="H135" s="129">
        <f t="shared" si="9"/>
        <v>1</v>
      </c>
      <c r="I135" s="129">
        <f t="shared" si="9"/>
        <v>1</v>
      </c>
      <c r="J135" s="129">
        <f t="shared" si="9"/>
        <v>2</v>
      </c>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c r="BD135" s="129"/>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c r="CG135" s="129"/>
      <c r="CH135" s="129"/>
      <c r="CI135" s="129"/>
      <c r="CJ135" s="129"/>
      <c r="CK135" s="129"/>
      <c r="CL135" s="129"/>
      <c r="CM135" s="129"/>
      <c r="CN135" s="129"/>
      <c r="CO135" s="129"/>
      <c r="CP135" s="129"/>
      <c r="CQ135" s="129"/>
      <c r="CR135" s="129"/>
      <c r="CS135" s="129"/>
      <c r="CT135" s="129"/>
      <c r="CU135" s="129"/>
      <c r="CV135" s="129"/>
      <c r="CW135" s="129"/>
      <c r="CX135" s="129"/>
      <c r="CY135" s="129"/>
      <c r="CZ135" s="129"/>
    </row>
    <row r="136" spans="1:104" x14ac:dyDescent="0.3">
      <c r="A136" s="413">
        <v>976</v>
      </c>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row>
    <row r="137" spans="1:104" x14ac:dyDescent="0.3">
      <c r="A137" s="413">
        <v>977</v>
      </c>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c r="CG137" s="129"/>
      <c r="CH137" s="129"/>
      <c r="CI137" s="129"/>
      <c r="CJ137" s="129"/>
      <c r="CK137" s="129"/>
      <c r="CL137" s="129"/>
      <c r="CM137" s="129"/>
      <c r="CN137" s="129"/>
      <c r="CO137" s="129"/>
      <c r="CP137" s="129"/>
      <c r="CQ137" s="129"/>
      <c r="CR137" s="129"/>
      <c r="CS137" s="129"/>
      <c r="CT137" s="129"/>
      <c r="CU137" s="129"/>
      <c r="CV137" s="129"/>
      <c r="CW137" s="129"/>
      <c r="CX137" s="129"/>
      <c r="CY137" s="129"/>
      <c r="CZ137" s="129"/>
    </row>
    <row r="138" spans="1:104" x14ac:dyDescent="0.3">
      <c r="A138" s="413">
        <v>978</v>
      </c>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c r="CG138" s="129"/>
      <c r="CH138" s="129"/>
      <c r="CI138" s="129"/>
      <c r="CJ138" s="129"/>
      <c r="CK138" s="129"/>
      <c r="CL138" s="129"/>
      <c r="CM138" s="129"/>
      <c r="CN138" s="129"/>
      <c r="CO138" s="129"/>
      <c r="CP138" s="129"/>
      <c r="CQ138" s="129"/>
      <c r="CR138" s="129"/>
      <c r="CS138" s="129"/>
      <c r="CT138" s="129"/>
      <c r="CU138" s="129"/>
      <c r="CV138" s="129"/>
      <c r="CW138" s="129"/>
      <c r="CX138" s="129"/>
      <c r="CY138" s="129"/>
      <c r="CZ138" s="129"/>
    </row>
    <row r="139" spans="1:104" x14ac:dyDescent="0.3">
      <c r="A139" s="413">
        <v>979</v>
      </c>
      <c r="C139" s="129"/>
      <c r="D139" s="129">
        <f>D92</f>
        <v>1</v>
      </c>
      <c r="E139" s="129">
        <f t="shared" ref="E139:J139" si="10">E92</f>
        <v>1</v>
      </c>
      <c r="F139" s="129">
        <f t="shared" si="10"/>
        <v>1</v>
      </c>
      <c r="G139" s="129">
        <f t="shared" si="10"/>
        <v>1</v>
      </c>
      <c r="H139" s="129">
        <f t="shared" si="10"/>
        <v>1</v>
      </c>
      <c r="I139" s="129">
        <f t="shared" si="10"/>
        <v>2</v>
      </c>
      <c r="J139" s="129">
        <f t="shared" si="10"/>
        <v>1</v>
      </c>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c r="CG139" s="129"/>
      <c r="CH139" s="129"/>
      <c r="CI139" s="129"/>
      <c r="CJ139" s="129"/>
      <c r="CK139" s="129"/>
      <c r="CL139" s="129"/>
      <c r="CM139" s="129"/>
      <c r="CN139" s="129"/>
      <c r="CO139" s="129"/>
      <c r="CP139" s="129"/>
      <c r="CQ139" s="129"/>
      <c r="CR139" s="129"/>
      <c r="CS139" s="129"/>
      <c r="CT139" s="129"/>
      <c r="CU139" s="129"/>
      <c r="CV139" s="129"/>
      <c r="CW139" s="129"/>
      <c r="CX139" s="129"/>
      <c r="CY139" s="129"/>
      <c r="CZ139" s="129"/>
    </row>
    <row r="140" spans="1:104" x14ac:dyDescent="0.3">
      <c r="A140" s="106">
        <v>995</v>
      </c>
      <c r="C140" s="129"/>
      <c r="D140" s="129">
        <f>D94</f>
        <v>0</v>
      </c>
      <c r="E140" s="129">
        <f t="shared" ref="E140:J140" si="11">E94</f>
        <v>0</v>
      </c>
      <c r="F140" s="129">
        <f t="shared" si="11"/>
        <v>0</v>
      </c>
      <c r="G140" s="129">
        <f t="shared" si="11"/>
        <v>0</v>
      </c>
      <c r="H140" s="129">
        <f t="shared" si="11"/>
        <v>0</v>
      </c>
      <c r="I140" s="129">
        <f t="shared" si="11"/>
        <v>0</v>
      </c>
      <c r="J140" s="129">
        <f t="shared" si="11"/>
        <v>0</v>
      </c>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c r="CG140" s="129"/>
      <c r="CH140" s="129"/>
      <c r="CI140" s="129"/>
      <c r="CJ140" s="129"/>
      <c r="CK140" s="129"/>
      <c r="CL140" s="129"/>
      <c r="CM140" s="129"/>
      <c r="CN140" s="129"/>
      <c r="CO140" s="129"/>
      <c r="CP140" s="129"/>
      <c r="CQ140" s="129"/>
      <c r="CR140" s="129"/>
      <c r="CS140" s="129"/>
      <c r="CT140" s="129"/>
      <c r="CU140" s="129"/>
      <c r="CV140" s="129"/>
      <c r="CW140" s="129"/>
      <c r="CX140" s="129"/>
      <c r="CY140" s="129"/>
      <c r="CZ140" s="129"/>
    </row>
    <row r="141" spans="1:104" x14ac:dyDescent="0.3">
      <c r="A141" s="106">
        <v>996</v>
      </c>
      <c r="C141" s="129"/>
      <c r="D141" s="129">
        <f t="shared" ref="D141:J143" si="12">D95</f>
        <v>0</v>
      </c>
      <c r="E141" s="129">
        <f t="shared" si="12"/>
        <v>0</v>
      </c>
      <c r="F141" s="129">
        <f t="shared" si="12"/>
        <v>0</v>
      </c>
      <c r="G141" s="129">
        <f t="shared" si="12"/>
        <v>0</v>
      </c>
      <c r="H141" s="129">
        <f t="shared" si="12"/>
        <v>0</v>
      </c>
      <c r="I141" s="129">
        <f t="shared" si="12"/>
        <v>0</v>
      </c>
      <c r="J141" s="129">
        <f t="shared" si="12"/>
        <v>0</v>
      </c>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row>
    <row r="142" spans="1:104" x14ac:dyDescent="0.3">
      <c r="A142" s="106">
        <v>998</v>
      </c>
      <c r="C142" s="129"/>
      <c r="D142" s="129">
        <f t="shared" si="12"/>
        <v>56</v>
      </c>
      <c r="E142" s="129">
        <f t="shared" si="12"/>
        <v>56</v>
      </c>
      <c r="F142" s="129">
        <f t="shared" si="12"/>
        <v>56</v>
      </c>
      <c r="G142" s="129">
        <f t="shared" si="12"/>
        <v>56</v>
      </c>
      <c r="H142" s="129">
        <f t="shared" si="12"/>
        <v>56</v>
      </c>
      <c r="I142" s="129">
        <f t="shared" si="12"/>
        <v>56</v>
      </c>
      <c r="J142" s="129">
        <f t="shared" si="12"/>
        <v>56</v>
      </c>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row>
    <row r="143" spans="1:104" x14ac:dyDescent="0.3">
      <c r="A143" s="106">
        <v>999</v>
      </c>
      <c r="C143" s="129"/>
      <c r="D143" s="129">
        <f t="shared" si="12"/>
        <v>561205</v>
      </c>
      <c r="E143" s="129">
        <f t="shared" si="12"/>
        <v>561200</v>
      </c>
      <c r="F143" s="129">
        <f t="shared" si="12"/>
        <v>561208</v>
      </c>
      <c r="G143" s="129">
        <f t="shared" si="12"/>
        <v>561206</v>
      </c>
      <c r="H143" s="129">
        <f t="shared" si="12"/>
        <v>561202</v>
      </c>
      <c r="I143" s="129">
        <f t="shared" si="12"/>
        <v>561204</v>
      </c>
      <c r="J143" s="129">
        <f t="shared" si="12"/>
        <v>561207</v>
      </c>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129"/>
      <c r="BC143" s="129"/>
      <c r="BD143" s="129"/>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row>
    <row r="144" spans="1:104" x14ac:dyDescent="0.3">
      <c r="A144" s="414">
        <v>554</v>
      </c>
      <c r="C144" s="129"/>
      <c r="D144" s="412">
        <f>D44</f>
        <v>7709188</v>
      </c>
      <c r="E144" s="412">
        <f t="shared" ref="E144:J144" si="13">E44</f>
        <v>4047153</v>
      </c>
      <c r="F144" s="412">
        <f t="shared" si="13"/>
        <v>6101011</v>
      </c>
      <c r="G144" s="412">
        <f t="shared" si="13"/>
        <v>2822461</v>
      </c>
      <c r="H144" s="412">
        <f t="shared" si="13"/>
        <v>2885239</v>
      </c>
      <c r="I144" s="412">
        <f t="shared" si="13"/>
        <v>1425835</v>
      </c>
      <c r="J144" s="412">
        <f t="shared" si="13"/>
        <v>1743243</v>
      </c>
      <c r="K144" s="412"/>
      <c r="L144" s="412"/>
      <c r="M144" s="412"/>
      <c r="N144" s="412"/>
      <c r="O144" s="412"/>
      <c r="P144" s="412"/>
      <c r="Q144" s="412"/>
      <c r="R144" s="412"/>
      <c r="S144" s="412"/>
      <c r="T144" s="412"/>
      <c r="U144" s="412"/>
      <c r="V144" s="412"/>
      <c r="W144" s="412"/>
      <c r="X144" s="412"/>
      <c r="Y144" s="412"/>
      <c r="Z144" s="412"/>
      <c r="AA144" s="412"/>
      <c r="AB144" s="412"/>
      <c r="AC144" s="412"/>
      <c r="AD144" s="412"/>
      <c r="AE144" s="412"/>
      <c r="AF144" s="412"/>
      <c r="AG144" s="412"/>
      <c r="AH144" s="412"/>
      <c r="AI144" s="412"/>
      <c r="AJ144" s="412"/>
      <c r="AK144" s="412"/>
      <c r="AL144" s="412"/>
      <c r="AM144" s="412"/>
      <c r="AN144" s="412"/>
      <c r="AO144" s="412"/>
      <c r="AP144" s="412"/>
      <c r="AQ144" s="412"/>
      <c r="AR144" s="412"/>
      <c r="AS144" s="412"/>
      <c r="AT144" s="412"/>
      <c r="AU144" s="412"/>
      <c r="AV144" s="412"/>
      <c r="AW144" s="412"/>
      <c r="AX144" s="412"/>
      <c r="AY144" s="412"/>
      <c r="AZ144" s="412"/>
      <c r="BA144" s="412"/>
      <c r="BB144" s="412"/>
      <c r="BC144" s="412"/>
      <c r="BD144" s="412"/>
      <c r="BE144" s="412"/>
      <c r="BF144" s="412"/>
      <c r="BG144" s="412"/>
      <c r="BH144" s="412"/>
      <c r="BI144" s="412"/>
      <c r="BJ144" s="412"/>
      <c r="BK144" s="412"/>
      <c r="BL144" s="412"/>
      <c r="BM144" s="412"/>
      <c r="BN144" s="412"/>
      <c r="BO144" s="412"/>
      <c r="BP144" s="412"/>
      <c r="BQ144" s="412"/>
      <c r="BR144" s="412"/>
      <c r="BS144" s="412"/>
      <c r="BT144" s="412"/>
      <c r="BU144" s="412"/>
      <c r="BV144" s="412"/>
      <c r="BW144" s="412"/>
      <c r="BX144" s="412"/>
      <c r="BY144" s="412"/>
      <c r="BZ144" s="412"/>
      <c r="CA144" s="412"/>
      <c r="CB144" s="412"/>
      <c r="CC144" s="412"/>
      <c r="CD144" s="412"/>
      <c r="CE144" s="412"/>
      <c r="CF144" s="412"/>
      <c r="CG144" s="412"/>
      <c r="CH144" s="412"/>
      <c r="CI144" s="412"/>
      <c r="CJ144" s="412"/>
      <c r="CK144" s="412"/>
      <c r="CL144" s="412"/>
      <c r="CM144" s="412"/>
      <c r="CN144" s="412"/>
      <c r="CO144" s="412"/>
      <c r="CP144" s="412"/>
      <c r="CQ144" s="412"/>
      <c r="CR144" s="412"/>
      <c r="CS144" s="412"/>
      <c r="CT144" s="412"/>
      <c r="CU144" s="412"/>
      <c r="CV144" s="412"/>
      <c r="CW144" s="412"/>
      <c r="CX144" s="412"/>
      <c r="CY144" s="412"/>
      <c r="CZ144" s="412"/>
    </row>
    <row r="145" spans="1:104" x14ac:dyDescent="0.3">
      <c r="A145" s="414">
        <v>555</v>
      </c>
      <c r="C145" s="129"/>
      <c r="D145" s="412">
        <f t="shared" ref="D145:J147" si="14">D45</f>
        <v>1501141</v>
      </c>
      <c r="E145" s="412">
        <f t="shared" si="14"/>
        <v>2669962</v>
      </c>
      <c r="F145" s="412">
        <f t="shared" si="14"/>
        <v>4152576</v>
      </c>
      <c r="G145" s="412">
        <f t="shared" si="14"/>
        <v>1320254</v>
      </c>
      <c r="H145" s="412">
        <f t="shared" si="14"/>
        <v>828238</v>
      </c>
      <c r="I145" s="412">
        <f t="shared" si="14"/>
        <v>325213</v>
      </c>
      <c r="J145" s="412">
        <f t="shared" si="14"/>
        <v>529062</v>
      </c>
      <c r="K145" s="412"/>
      <c r="L145" s="412"/>
      <c r="M145" s="412"/>
      <c r="N145" s="412"/>
      <c r="O145" s="412"/>
      <c r="P145" s="412"/>
      <c r="Q145" s="412"/>
      <c r="R145" s="412"/>
      <c r="S145" s="412"/>
      <c r="T145" s="412"/>
      <c r="U145" s="412"/>
      <c r="V145" s="412"/>
      <c r="W145" s="412"/>
      <c r="X145" s="412"/>
      <c r="Y145" s="412"/>
      <c r="Z145" s="412"/>
      <c r="AA145" s="412"/>
      <c r="AB145" s="412"/>
      <c r="AC145" s="412"/>
      <c r="AD145" s="412"/>
      <c r="AE145" s="412"/>
      <c r="AF145" s="412"/>
      <c r="AG145" s="412"/>
      <c r="AH145" s="412"/>
      <c r="AI145" s="412"/>
      <c r="AJ145" s="412"/>
      <c r="AK145" s="412"/>
      <c r="AL145" s="412"/>
      <c r="AM145" s="412"/>
      <c r="AN145" s="412"/>
      <c r="AO145" s="412"/>
      <c r="AP145" s="412"/>
      <c r="AQ145" s="412"/>
      <c r="AR145" s="412"/>
      <c r="AS145" s="412"/>
      <c r="AT145" s="412"/>
      <c r="AU145" s="412"/>
      <c r="AV145" s="412"/>
      <c r="AW145" s="412"/>
      <c r="AX145" s="412"/>
      <c r="AY145" s="412"/>
      <c r="AZ145" s="412"/>
      <c r="BA145" s="412"/>
      <c r="BB145" s="412"/>
      <c r="BC145" s="412"/>
      <c r="BD145" s="412"/>
      <c r="BE145" s="412"/>
      <c r="BF145" s="412"/>
      <c r="BG145" s="412"/>
      <c r="BH145" s="412"/>
      <c r="BI145" s="412"/>
      <c r="BJ145" s="412"/>
      <c r="BK145" s="412"/>
      <c r="BL145" s="412"/>
      <c r="BM145" s="412"/>
      <c r="BN145" s="412"/>
      <c r="BO145" s="412"/>
      <c r="BP145" s="412"/>
      <c r="BQ145" s="412"/>
      <c r="BR145" s="412"/>
      <c r="BS145" s="412"/>
      <c r="BT145" s="412"/>
      <c r="BU145" s="412"/>
      <c r="BV145" s="412"/>
      <c r="BW145" s="412"/>
      <c r="BX145" s="412"/>
      <c r="BY145" s="412"/>
      <c r="BZ145" s="412"/>
      <c r="CA145" s="412"/>
      <c r="CB145" s="412"/>
      <c r="CC145" s="412"/>
      <c r="CD145" s="412"/>
      <c r="CE145" s="412"/>
      <c r="CF145" s="412"/>
      <c r="CG145" s="412"/>
      <c r="CH145" s="412"/>
      <c r="CI145" s="412"/>
      <c r="CJ145" s="412"/>
      <c r="CK145" s="412"/>
      <c r="CL145" s="412"/>
      <c r="CM145" s="412"/>
      <c r="CN145" s="412"/>
      <c r="CO145" s="412"/>
      <c r="CP145" s="412"/>
      <c r="CQ145" s="412"/>
      <c r="CR145" s="412"/>
      <c r="CS145" s="412"/>
      <c r="CT145" s="412"/>
      <c r="CU145" s="412"/>
      <c r="CV145" s="412"/>
      <c r="CW145" s="412"/>
      <c r="CX145" s="412"/>
      <c r="CY145" s="412"/>
      <c r="CZ145" s="412"/>
    </row>
    <row r="146" spans="1:104" x14ac:dyDescent="0.3">
      <c r="A146" s="414">
        <v>556</v>
      </c>
      <c r="C146" s="129"/>
      <c r="D146" s="412">
        <f t="shared" si="14"/>
        <v>5115702</v>
      </c>
      <c r="E146" s="412">
        <f t="shared" si="14"/>
        <v>1722762</v>
      </c>
      <c r="F146" s="412">
        <f t="shared" si="14"/>
        <v>873686</v>
      </c>
      <c r="G146" s="412">
        <f t="shared" si="14"/>
        <v>1353890</v>
      </c>
      <c r="H146" s="412">
        <f t="shared" si="14"/>
        <v>1405449</v>
      </c>
      <c r="I146" s="412">
        <f t="shared" si="14"/>
        <v>1569402</v>
      </c>
      <c r="J146" s="412">
        <f t="shared" si="14"/>
        <v>810516</v>
      </c>
      <c r="K146" s="412"/>
      <c r="L146" s="412"/>
      <c r="M146" s="412"/>
      <c r="N146" s="412"/>
      <c r="O146" s="412"/>
      <c r="P146" s="412"/>
      <c r="Q146" s="412"/>
      <c r="R146" s="412"/>
      <c r="S146" s="412"/>
      <c r="T146" s="412"/>
      <c r="U146" s="412"/>
      <c r="V146" s="412"/>
      <c r="W146" s="412"/>
      <c r="X146" s="412"/>
      <c r="Y146" s="412"/>
      <c r="Z146" s="412"/>
      <c r="AA146" s="412"/>
      <c r="AB146" s="412"/>
      <c r="AC146" s="412"/>
      <c r="AD146" s="412"/>
      <c r="AE146" s="412"/>
      <c r="AF146" s="412"/>
      <c r="AG146" s="412"/>
      <c r="AH146" s="412"/>
      <c r="AI146" s="412"/>
      <c r="AJ146" s="412"/>
      <c r="AK146" s="412"/>
      <c r="AL146" s="412"/>
      <c r="AM146" s="412"/>
      <c r="AN146" s="412"/>
      <c r="AO146" s="412"/>
      <c r="AP146" s="412"/>
      <c r="AQ146" s="412"/>
      <c r="AR146" s="412"/>
      <c r="AS146" s="412"/>
      <c r="AT146" s="412"/>
      <c r="AU146" s="412"/>
      <c r="AV146" s="412"/>
      <c r="AW146" s="412"/>
      <c r="AX146" s="412"/>
      <c r="AY146" s="412"/>
      <c r="AZ146" s="412"/>
      <c r="BA146" s="412"/>
      <c r="BB146" s="412"/>
      <c r="BC146" s="412"/>
      <c r="BD146" s="412"/>
      <c r="BE146" s="412"/>
      <c r="BF146" s="412"/>
      <c r="BG146" s="412"/>
      <c r="BH146" s="412"/>
      <c r="BI146" s="412"/>
      <c r="BJ146" s="412"/>
      <c r="BK146" s="412"/>
      <c r="BL146" s="412"/>
      <c r="BM146" s="412"/>
      <c r="BN146" s="412"/>
      <c r="BO146" s="412"/>
      <c r="BP146" s="412"/>
      <c r="BQ146" s="412"/>
      <c r="BR146" s="412"/>
      <c r="BS146" s="412"/>
      <c r="BT146" s="412"/>
      <c r="BU146" s="412"/>
      <c r="BV146" s="412"/>
      <c r="BW146" s="412"/>
      <c r="BX146" s="412"/>
      <c r="BY146" s="412"/>
      <c r="BZ146" s="412"/>
      <c r="CA146" s="412"/>
      <c r="CB146" s="412"/>
      <c r="CC146" s="412"/>
      <c r="CD146" s="412"/>
      <c r="CE146" s="412"/>
      <c r="CF146" s="412"/>
      <c r="CG146" s="412"/>
      <c r="CH146" s="412"/>
      <c r="CI146" s="412"/>
      <c r="CJ146" s="412"/>
      <c r="CK146" s="412"/>
      <c r="CL146" s="412"/>
      <c r="CM146" s="412"/>
      <c r="CN146" s="412"/>
      <c r="CO146" s="412"/>
      <c r="CP146" s="412"/>
      <c r="CQ146" s="412"/>
      <c r="CR146" s="412"/>
      <c r="CS146" s="412"/>
      <c r="CT146" s="412"/>
      <c r="CU146" s="412"/>
      <c r="CV146" s="412"/>
      <c r="CW146" s="412"/>
      <c r="CX146" s="412"/>
      <c r="CY146" s="412"/>
      <c r="CZ146" s="412"/>
    </row>
    <row r="147" spans="1:104" x14ac:dyDescent="0.3">
      <c r="A147" s="414">
        <v>557</v>
      </c>
      <c r="C147" s="129"/>
      <c r="D147" s="412">
        <f t="shared" si="14"/>
        <v>2659507</v>
      </c>
      <c r="E147" s="412">
        <f t="shared" si="14"/>
        <v>742348</v>
      </c>
      <c r="F147" s="412">
        <f t="shared" si="14"/>
        <v>405105</v>
      </c>
      <c r="G147" s="412">
        <f t="shared" si="14"/>
        <v>552596</v>
      </c>
      <c r="H147" s="412">
        <f t="shared" si="14"/>
        <v>612492</v>
      </c>
      <c r="I147" s="412">
        <f t="shared" si="14"/>
        <v>671769</v>
      </c>
      <c r="J147" s="412">
        <f t="shared" si="14"/>
        <v>551387</v>
      </c>
      <c r="K147" s="412"/>
      <c r="L147" s="412"/>
      <c r="M147" s="412"/>
      <c r="N147" s="412"/>
      <c r="O147" s="412"/>
      <c r="P147" s="412"/>
      <c r="Q147" s="412"/>
      <c r="R147" s="412"/>
      <c r="S147" s="412"/>
      <c r="T147" s="412"/>
      <c r="U147" s="412"/>
      <c r="V147" s="412"/>
      <c r="W147" s="412"/>
      <c r="X147" s="412"/>
      <c r="Y147" s="412"/>
      <c r="Z147" s="412"/>
      <c r="AA147" s="412"/>
      <c r="AB147" s="412"/>
      <c r="AC147" s="412"/>
      <c r="AD147" s="412"/>
      <c r="AE147" s="412"/>
      <c r="AF147" s="412"/>
      <c r="AG147" s="412"/>
      <c r="AH147" s="412"/>
      <c r="AI147" s="412"/>
      <c r="AJ147" s="412"/>
      <c r="AK147" s="412"/>
      <c r="AL147" s="412"/>
      <c r="AM147" s="412"/>
      <c r="AN147" s="412"/>
      <c r="AO147" s="412"/>
      <c r="AP147" s="412"/>
      <c r="AQ147" s="412"/>
      <c r="AR147" s="412"/>
      <c r="AS147" s="412"/>
      <c r="AT147" s="412"/>
      <c r="AU147" s="412"/>
      <c r="AV147" s="412"/>
      <c r="AW147" s="412"/>
      <c r="AX147" s="412"/>
      <c r="AY147" s="412"/>
      <c r="AZ147" s="412"/>
      <c r="BA147" s="412"/>
      <c r="BB147" s="412"/>
      <c r="BC147" s="412"/>
      <c r="BD147" s="412"/>
      <c r="BE147" s="412"/>
      <c r="BF147" s="412"/>
      <c r="BG147" s="412"/>
      <c r="BH147" s="412"/>
      <c r="BI147" s="412"/>
      <c r="BJ147" s="412"/>
      <c r="BK147" s="412"/>
      <c r="BL147" s="412"/>
      <c r="BM147" s="412"/>
      <c r="BN147" s="412"/>
      <c r="BO147" s="412"/>
      <c r="BP147" s="412"/>
      <c r="BQ147" s="412"/>
      <c r="BR147" s="412"/>
      <c r="BS147" s="412"/>
      <c r="BT147" s="412"/>
      <c r="BU147" s="412"/>
      <c r="BV147" s="412"/>
      <c r="BW147" s="412"/>
      <c r="BX147" s="412"/>
      <c r="BY147" s="412"/>
      <c r="BZ147" s="412"/>
      <c r="CA147" s="412"/>
      <c r="CB147" s="412"/>
      <c r="CC147" s="412"/>
      <c r="CD147" s="412"/>
      <c r="CE147" s="412"/>
      <c r="CF147" s="412"/>
      <c r="CG147" s="412"/>
      <c r="CH147" s="412"/>
      <c r="CI147" s="412"/>
      <c r="CJ147" s="412"/>
      <c r="CK147" s="412"/>
      <c r="CL147" s="412"/>
      <c r="CM147" s="412"/>
      <c r="CN147" s="412"/>
      <c r="CO147" s="412"/>
      <c r="CP147" s="412"/>
      <c r="CQ147" s="412"/>
      <c r="CR147" s="412"/>
      <c r="CS147" s="412"/>
      <c r="CT147" s="412"/>
      <c r="CU147" s="412"/>
      <c r="CV147" s="412"/>
      <c r="CW147" s="412"/>
      <c r="CX147" s="412"/>
      <c r="CY147" s="412"/>
      <c r="CZ147" s="412"/>
    </row>
    <row r="148" spans="1:104" x14ac:dyDescent="0.3">
      <c r="A148" s="414">
        <v>606</v>
      </c>
      <c r="C148" s="129"/>
      <c r="D148" s="412">
        <f>D54</f>
        <v>1</v>
      </c>
      <c r="E148" s="412">
        <f t="shared" ref="E148:J148" si="15">E54</f>
        <v>1</v>
      </c>
      <c r="F148" s="412">
        <f t="shared" si="15"/>
        <v>1</v>
      </c>
      <c r="G148" s="412">
        <f t="shared" si="15"/>
        <v>1</v>
      </c>
      <c r="H148" s="412">
        <f t="shared" si="15"/>
        <v>1</v>
      </c>
      <c r="I148" s="412">
        <f t="shared" si="15"/>
        <v>1</v>
      </c>
      <c r="J148" s="412">
        <f t="shared" si="15"/>
        <v>1</v>
      </c>
      <c r="K148" s="412"/>
      <c r="L148" s="412"/>
      <c r="M148" s="412"/>
      <c r="N148" s="412"/>
      <c r="O148" s="412"/>
      <c r="P148" s="412"/>
      <c r="Q148" s="412"/>
      <c r="R148" s="412"/>
      <c r="S148" s="412"/>
      <c r="T148" s="412"/>
      <c r="U148" s="412"/>
      <c r="V148" s="412"/>
      <c r="W148" s="412"/>
      <c r="X148" s="412"/>
      <c r="Y148" s="412"/>
      <c r="Z148" s="412"/>
      <c r="AA148" s="412"/>
      <c r="AB148" s="412"/>
      <c r="AC148" s="412"/>
      <c r="AD148" s="412"/>
      <c r="AE148" s="412"/>
      <c r="AF148" s="412"/>
      <c r="AG148" s="412"/>
      <c r="AH148" s="412"/>
      <c r="AI148" s="412"/>
      <c r="AJ148" s="412"/>
      <c r="AK148" s="412"/>
      <c r="AL148" s="412"/>
      <c r="AM148" s="412"/>
      <c r="AN148" s="412"/>
      <c r="AO148" s="412"/>
      <c r="AP148" s="412"/>
      <c r="AQ148" s="412"/>
      <c r="AR148" s="412"/>
      <c r="AS148" s="412"/>
      <c r="AT148" s="412"/>
      <c r="AU148" s="412"/>
      <c r="AV148" s="412"/>
      <c r="AW148" s="412"/>
      <c r="AX148" s="412"/>
      <c r="AY148" s="412"/>
      <c r="AZ148" s="412"/>
      <c r="BA148" s="412"/>
      <c r="BB148" s="412"/>
      <c r="BC148" s="412"/>
      <c r="BD148" s="412"/>
      <c r="BE148" s="412"/>
      <c r="BF148" s="412"/>
      <c r="BG148" s="412"/>
      <c r="BH148" s="412"/>
      <c r="BI148" s="412"/>
      <c r="BJ148" s="412"/>
      <c r="BK148" s="412"/>
      <c r="BL148" s="412"/>
      <c r="BM148" s="412"/>
      <c r="BN148" s="412"/>
      <c r="BO148" s="412"/>
      <c r="BP148" s="412"/>
      <c r="BQ148" s="412"/>
      <c r="BR148" s="412"/>
      <c r="BS148" s="412"/>
      <c r="BT148" s="412"/>
      <c r="BU148" s="412"/>
      <c r="BV148" s="412"/>
      <c r="BW148" s="412"/>
      <c r="BX148" s="412"/>
      <c r="BY148" s="412"/>
      <c r="BZ148" s="412"/>
      <c r="CA148" s="412"/>
      <c r="CB148" s="412"/>
      <c r="CC148" s="412"/>
      <c r="CD148" s="412"/>
      <c r="CE148" s="412"/>
      <c r="CF148" s="412"/>
      <c r="CG148" s="412"/>
      <c r="CH148" s="412"/>
      <c r="CI148" s="412"/>
      <c r="CJ148" s="412"/>
      <c r="CK148" s="412"/>
      <c r="CL148" s="412"/>
      <c r="CM148" s="412"/>
      <c r="CN148" s="412"/>
      <c r="CO148" s="412"/>
      <c r="CP148" s="412"/>
      <c r="CQ148" s="412"/>
      <c r="CR148" s="412"/>
      <c r="CS148" s="412"/>
      <c r="CT148" s="412"/>
      <c r="CU148" s="412"/>
      <c r="CV148" s="412"/>
      <c r="CW148" s="412"/>
      <c r="CX148" s="412"/>
      <c r="CY148" s="412"/>
      <c r="CZ148" s="412"/>
    </row>
    <row r="149" spans="1:104" x14ac:dyDescent="0.3">
      <c r="A149" s="414">
        <v>662</v>
      </c>
      <c r="B149" s="370" t="s">
        <v>285</v>
      </c>
      <c r="C149" s="129"/>
      <c r="D149" s="412">
        <f>D68</f>
        <v>0</v>
      </c>
      <c r="E149" s="412">
        <f t="shared" ref="E149:J149" si="16">E68</f>
        <v>0</v>
      </c>
      <c r="F149" s="412">
        <f t="shared" si="16"/>
        <v>0</v>
      </c>
      <c r="G149" s="412">
        <f t="shared" si="16"/>
        <v>0</v>
      </c>
      <c r="H149" s="412">
        <f t="shared" si="16"/>
        <v>0</v>
      </c>
      <c r="I149" s="412">
        <f t="shared" si="16"/>
        <v>0</v>
      </c>
      <c r="J149" s="412">
        <f t="shared" si="16"/>
        <v>0</v>
      </c>
      <c r="K149" s="412"/>
      <c r="L149" s="412"/>
      <c r="M149" s="412"/>
      <c r="N149" s="412"/>
      <c r="O149" s="412"/>
      <c r="P149" s="412"/>
      <c r="Q149" s="412"/>
      <c r="R149" s="412"/>
      <c r="S149" s="412"/>
      <c r="T149" s="412"/>
      <c r="U149" s="412"/>
      <c r="V149" s="412"/>
      <c r="W149" s="412"/>
      <c r="X149" s="412"/>
      <c r="Y149" s="412"/>
      <c r="Z149" s="412"/>
      <c r="AA149" s="412"/>
      <c r="AB149" s="412"/>
      <c r="AC149" s="412"/>
      <c r="AD149" s="412"/>
      <c r="AE149" s="412"/>
      <c r="AF149" s="412"/>
      <c r="AG149" s="412"/>
      <c r="AH149" s="412"/>
      <c r="AI149" s="412"/>
      <c r="AJ149" s="412"/>
      <c r="AK149" s="412"/>
      <c r="AL149" s="412"/>
      <c r="AM149" s="412"/>
      <c r="AN149" s="412"/>
      <c r="AO149" s="412"/>
      <c r="AP149" s="412"/>
      <c r="AQ149" s="412"/>
      <c r="AR149" s="412"/>
      <c r="AS149" s="412"/>
      <c r="AT149" s="412"/>
      <c r="AU149" s="412"/>
      <c r="AV149" s="412"/>
      <c r="AW149" s="412"/>
      <c r="AX149" s="412"/>
      <c r="AY149" s="412"/>
      <c r="AZ149" s="412"/>
      <c r="BA149" s="412"/>
      <c r="BB149" s="412"/>
      <c r="BC149" s="412"/>
      <c r="BD149" s="412"/>
      <c r="BE149" s="412"/>
      <c r="BF149" s="412"/>
      <c r="BG149" s="412"/>
      <c r="BH149" s="412"/>
      <c r="BI149" s="412"/>
      <c r="BJ149" s="412"/>
      <c r="BK149" s="412"/>
      <c r="BL149" s="412"/>
      <c r="BM149" s="412"/>
      <c r="BN149" s="412"/>
      <c r="BO149" s="412"/>
      <c r="BP149" s="412"/>
      <c r="BQ149" s="412"/>
      <c r="BR149" s="412"/>
      <c r="BS149" s="412"/>
      <c r="BT149" s="412"/>
      <c r="BU149" s="412"/>
      <c r="BV149" s="412"/>
      <c r="BW149" s="412"/>
      <c r="BX149" s="412"/>
      <c r="BY149" s="412"/>
      <c r="BZ149" s="412"/>
      <c r="CA149" s="412"/>
      <c r="CB149" s="412"/>
      <c r="CC149" s="412"/>
      <c r="CD149" s="412"/>
      <c r="CE149" s="412"/>
      <c r="CF149" s="412"/>
      <c r="CG149" s="412"/>
      <c r="CH149" s="412"/>
      <c r="CI149" s="412"/>
      <c r="CJ149" s="412"/>
      <c r="CK149" s="412"/>
      <c r="CL149" s="412"/>
      <c r="CM149" s="412"/>
      <c r="CN149" s="412"/>
      <c r="CO149" s="412"/>
      <c r="CP149" s="412"/>
      <c r="CQ149" s="412"/>
      <c r="CR149" s="412"/>
      <c r="CS149" s="412"/>
      <c r="CT149" s="412"/>
      <c r="CU149" s="412"/>
      <c r="CV149" s="412"/>
      <c r="CW149" s="412"/>
      <c r="CX149" s="412"/>
      <c r="CY149" s="412"/>
      <c r="CZ149" s="412"/>
    </row>
    <row r="150" spans="1:104" x14ac:dyDescent="0.3">
      <c r="A150" s="414">
        <v>663</v>
      </c>
      <c r="B150" s="370" t="s">
        <v>475</v>
      </c>
      <c r="C150" s="129"/>
      <c r="D150" s="412">
        <f>D69</f>
        <v>1520440</v>
      </c>
      <c r="E150" s="412">
        <f t="shared" ref="E150:J150" si="17">E69</f>
        <v>1097789</v>
      </c>
      <c r="F150" s="412">
        <f t="shared" si="17"/>
        <v>4648534</v>
      </c>
      <c r="G150" s="412">
        <f t="shared" si="17"/>
        <v>0</v>
      </c>
      <c r="H150" s="412">
        <f t="shared" si="17"/>
        <v>1291990</v>
      </c>
      <c r="I150" s="412">
        <f t="shared" si="17"/>
        <v>308134</v>
      </c>
      <c r="J150" s="412">
        <f t="shared" si="17"/>
        <v>598133</v>
      </c>
      <c r="K150" s="412"/>
      <c r="L150" s="412"/>
      <c r="M150" s="412"/>
      <c r="N150" s="412"/>
      <c r="O150" s="412"/>
      <c r="P150" s="412"/>
      <c r="Q150" s="412"/>
      <c r="R150" s="412"/>
      <c r="S150" s="412"/>
      <c r="T150" s="412"/>
      <c r="U150" s="412"/>
      <c r="V150" s="412"/>
      <c r="W150" s="412"/>
      <c r="X150" s="412"/>
      <c r="Y150" s="412"/>
      <c r="Z150" s="412"/>
      <c r="AA150" s="412"/>
      <c r="AB150" s="412"/>
      <c r="AC150" s="412"/>
      <c r="AD150" s="412"/>
      <c r="AE150" s="412"/>
      <c r="AF150" s="412"/>
      <c r="AG150" s="412"/>
      <c r="AH150" s="412"/>
      <c r="AI150" s="412"/>
      <c r="AJ150" s="412"/>
      <c r="AK150" s="412"/>
      <c r="AL150" s="412"/>
      <c r="AM150" s="412"/>
      <c r="AN150" s="412"/>
      <c r="AO150" s="412"/>
      <c r="AP150" s="412"/>
      <c r="AQ150" s="412"/>
      <c r="AR150" s="412"/>
      <c r="AS150" s="412"/>
      <c r="AT150" s="412"/>
      <c r="AU150" s="412"/>
      <c r="AV150" s="412"/>
      <c r="AW150" s="412"/>
      <c r="AX150" s="412"/>
      <c r="AY150" s="412"/>
      <c r="AZ150" s="412"/>
      <c r="BA150" s="412"/>
      <c r="BB150" s="412"/>
      <c r="BC150" s="412"/>
      <c r="BD150" s="412"/>
      <c r="BE150" s="412"/>
      <c r="BF150" s="412"/>
      <c r="BG150" s="412"/>
      <c r="BH150" s="412"/>
      <c r="BI150" s="412"/>
      <c r="BJ150" s="412"/>
      <c r="BK150" s="412"/>
      <c r="BL150" s="412"/>
      <c r="BM150" s="412"/>
      <c r="BN150" s="412"/>
      <c r="BO150" s="412"/>
      <c r="BP150" s="412"/>
      <c r="BQ150" s="412"/>
      <c r="BR150" s="412"/>
      <c r="BS150" s="412"/>
      <c r="BT150" s="412"/>
      <c r="BU150" s="412"/>
      <c r="BV150" s="412"/>
      <c r="BW150" s="412"/>
      <c r="BX150" s="412"/>
      <c r="BY150" s="412"/>
      <c r="BZ150" s="412"/>
      <c r="CA150" s="412"/>
      <c r="CB150" s="412"/>
      <c r="CC150" s="412"/>
      <c r="CD150" s="412"/>
      <c r="CE150" s="412"/>
      <c r="CF150" s="412"/>
      <c r="CG150" s="412"/>
      <c r="CH150" s="412"/>
      <c r="CI150" s="412"/>
      <c r="CJ150" s="412"/>
      <c r="CK150" s="412"/>
      <c r="CL150" s="412"/>
      <c r="CM150" s="412"/>
      <c r="CN150" s="412"/>
      <c r="CO150" s="412"/>
      <c r="CP150" s="412"/>
      <c r="CQ150" s="412"/>
      <c r="CR150" s="412"/>
      <c r="CS150" s="412"/>
      <c r="CT150" s="412"/>
      <c r="CU150" s="412"/>
      <c r="CV150" s="412"/>
      <c r="CW150" s="412"/>
      <c r="CX150" s="412"/>
      <c r="CY150" s="412"/>
      <c r="CZ150" s="412"/>
    </row>
    <row r="151" spans="1:104" x14ac:dyDescent="0.3">
      <c r="A151" s="415">
        <v>336</v>
      </c>
      <c r="C151" s="129"/>
      <c r="D151" s="416">
        <f>D19</f>
        <v>1509213</v>
      </c>
      <c r="E151" s="416">
        <f t="shared" ref="E151:J151" si="18">E19</f>
        <v>235807</v>
      </c>
      <c r="F151" s="416">
        <f t="shared" si="18"/>
        <v>1726769</v>
      </c>
      <c r="G151" s="416">
        <f t="shared" si="18"/>
        <v>218846</v>
      </c>
      <c r="H151" s="416">
        <f t="shared" si="18"/>
        <v>80704</v>
      </c>
      <c r="I151" s="416">
        <f t="shared" si="18"/>
        <v>717724</v>
      </c>
      <c r="J151" s="416">
        <f t="shared" si="18"/>
        <v>936882</v>
      </c>
      <c r="K151" s="416"/>
      <c r="L151" s="416"/>
      <c r="M151" s="416"/>
      <c r="N151" s="416"/>
      <c r="O151" s="416"/>
      <c r="P151" s="416"/>
      <c r="Q151" s="416"/>
      <c r="R151" s="416"/>
      <c r="S151" s="416"/>
      <c r="T151" s="416"/>
      <c r="U151" s="416"/>
      <c r="V151" s="416"/>
      <c r="W151" s="416"/>
      <c r="X151" s="416"/>
      <c r="Y151" s="416"/>
      <c r="Z151" s="416"/>
      <c r="AA151" s="416"/>
      <c r="AB151" s="416"/>
      <c r="AC151" s="416"/>
      <c r="AD151" s="416"/>
      <c r="AE151" s="416"/>
      <c r="AF151" s="416"/>
      <c r="AG151" s="416"/>
      <c r="AH151" s="416"/>
      <c r="AI151" s="416"/>
      <c r="AJ151" s="416"/>
      <c r="AK151" s="416"/>
      <c r="AL151" s="416"/>
      <c r="AM151" s="416"/>
      <c r="AN151" s="416"/>
      <c r="AO151" s="416"/>
      <c r="AP151" s="416"/>
      <c r="AQ151" s="416"/>
      <c r="AR151" s="416"/>
      <c r="AS151" s="416"/>
      <c r="AT151" s="416"/>
      <c r="AU151" s="416"/>
      <c r="AV151" s="416"/>
      <c r="AW151" s="416"/>
      <c r="AX151" s="416"/>
      <c r="AY151" s="416"/>
      <c r="AZ151" s="416"/>
      <c r="BA151" s="416"/>
      <c r="BB151" s="416"/>
      <c r="BC151" s="416"/>
      <c r="BD151" s="416"/>
      <c r="BE151" s="416"/>
      <c r="BF151" s="416"/>
      <c r="BG151" s="416"/>
      <c r="BH151" s="416"/>
      <c r="BI151" s="416"/>
      <c r="BJ151" s="416"/>
      <c r="BK151" s="416"/>
      <c r="BL151" s="416"/>
      <c r="BM151" s="416"/>
      <c r="BN151" s="416"/>
      <c r="BO151" s="416"/>
      <c r="BP151" s="416"/>
      <c r="BQ151" s="416"/>
      <c r="BR151" s="416"/>
      <c r="BS151" s="416"/>
      <c r="BT151" s="416"/>
      <c r="BU151" s="416"/>
      <c r="BV151" s="416"/>
      <c r="BW151" s="416"/>
      <c r="BX151" s="416"/>
      <c r="BY151" s="416"/>
      <c r="BZ151" s="416"/>
      <c r="CA151" s="416"/>
      <c r="CB151" s="416"/>
      <c r="CC151" s="416"/>
      <c r="CD151" s="416"/>
      <c r="CE151" s="416"/>
      <c r="CF151" s="416"/>
      <c r="CG151" s="416"/>
      <c r="CH151" s="416"/>
      <c r="CI151" s="416"/>
      <c r="CJ151" s="416"/>
      <c r="CK151" s="416"/>
      <c r="CL151" s="416"/>
      <c r="CM151" s="416"/>
      <c r="CN151" s="416"/>
      <c r="CO151" s="416"/>
      <c r="CP151" s="416"/>
      <c r="CQ151" s="416"/>
      <c r="CR151" s="416"/>
      <c r="CS151" s="416"/>
      <c r="CT151" s="416"/>
      <c r="CU151" s="416"/>
      <c r="CV151" s="416"/>
      <c r="CW151" s="416"/>
      <c r="CX151" s="416"/>
      <c r="CY151" s="416"/>
      <c r="CZ151" s="416"/>
    </row>
    <row r="152" spans="1:104" x14ac:dyDescent="0.3">
      <c r="A152" s="415">
        <v>44</v>
      </c>
      <c r="C152" s="129"/>
      <c r="D152" s="416"/>
      <c r="E152" s="416"/>
      <c r="F152" s="416"/>
      <c r="G152" s="416"/>
      <c r="H152" s="416"/>
      <c r="I152" s="416"/>
      <c r="J152" s="416"/>
      <c r="K152" s="416"/>
      <c r="L152" s="416"/>
      <c r="M152" s="416"/>
      <c r="N152" s="416"/>
      <c r="O152" s="416"/>
      <c r="P152" s="416"/>
      <c r="Q152" s="416"/>
      <c r="R152" s="416"/>
      <c r="S152" s="416"/>
      <c r="T152" s="416"/>
      <c r="U152" s="416"/>
      <c r="V152" s="416"/>
      <c r="W152" s="416"/>
      <c r="X152" s="416"/>
      <c r="Y152" s="416"/>
      <c r="Z152" s="416"/>
      <c r="AA152" s="416"/>
      <c r="AB152" s="416"/>
      <c r="AC152" s="416"/>
      <c r="AD152" s="416"/>
      <c r="AE152" s="416"/>
      <c r="AF152" s="416"/>
      <c r="AG152" s="416"/>
      <c r="AH152" s="416"/>
      <c r="AI152" s="416"/>
      <c r="AJ152" s="416"/>
      <c r="AK152" s="416"/>
      <c r="AL152" s="416"/>
      <c r="AM152" s="416"/>
      <c r="AN152" s="416"/>
      <c r="AO152" s="416"/>
      <c r="AP152" s="416"/>
      <c r="AQ152" s="416"/>
      <c r="AR152" s="416"/>
      <c r="AS152" s="416"/>
      <c r="AT152" s="416"/>
      <c r="AU152" s="416"/>
      <c r="AV152" s="416"/>
      <c r="AW152" s="416"/>
      <c r="AX152" s="416"/>
      <c r="AY152" s="416"/>
      <c r="AZ152" s="416"/>
      <c r="BA152" s="416"/>
      <c r="BB152" s="416"/>
      <c r="BC152" s="416"/>
      <c r="BD152" s="416"/>
      <c r="BE152" s="416"/>
      <c r="BF152" s="416"/>
      <c r="BG152" s="416"/>
      <c r="BH152" s="416"/>
      <c r="BI152" s="416"/>
      <c r="BJ152" s="416"/>
      <c r="BK152" s="416"/>
      <c r="BL152" s="416"/>
      <c r="BM152" s="416"/>
      <c r="BN152" s="416"/>
      <c r="BO152" s="416"/>
      <c r="BP152" s="416"/>
      <c r="BQ152" s="416"/>
      <c r="BR152" s="416"/>
      <c r="BS152" s="416"/>
      <c r="BT152" s="416"/>
      <c r="BU152" s="416"/>
      <c r="BV152" s="416"/>
      <c r="BW152" s="416"/>
      <c r="BX152" s="416"/>
      <c r="BY152" s="416"/>
      <c r="BZ152" s="416"/>
      <c r="CA152" s="416"/>
      <c r="CB152" s="416"/>
      <c r="CC152" s="416"/>
      <c r="CD152" s="416"/>
      <c r="CE152" s="416"/>
      <c r="CF152" s="416"/>
      <c r="CG152" s="416"/>
      <c r="CH152" s="416"/>
      <c r="CI152" s="416"/>
      <c r="CJ152" s="416"/>
      <c r="CK152" s="416"/>
      <c r="CL152" s="416"/>
      <c r="CM152" s="416"/>
      <c r="CN152" s="416"/>
      <c r="CO152" s="416"/>
      <c r="CP152" s="416"/>
      <c r="CQ152" s="416"/>
      <c r="CR152" s="416"/>
      <c r="CS152" s="416"/>
      <c r="CT152" s="416"/>
      <c r="CU152" s="416"/>
      <c r="CV152" s="416"/>
      <c r="CW152" s="416"/>
      <c r="CX152" s="416"/>
      <c r="CY152" s="416"/>
      <c r="CZ152" s="416"/>
    </row>
    <row r="153" spans="1:104" x14ac:dyDescent="0.3">
      <c r="A153" s="415">
        <v>45</v>
      </c>
      <c r="C153" s="129"/>
      <c r="D153" s="416"/>
      <c r="E153" s="416"/>
      <c r="F153" s="416"/>
      <c r="G153" s="416"/>
      <c r="H153" s="416"/>
      <c r="I153" s="416"/>
      <c r="J153" s="416"/>
      <c r="K153" s="416"/>
      <c r="L153" s="416"/>
      <c r="M153" s="416"/>
      <c r="N153" s="416"/>
      <c r="O153" s="416"/>
      <c r="P153" s="416"/>
      <c r="Q153" s="416"/>
      <c r="R153" s="416"/>
      <c r="S153" s="416"/>
      <c r="T153" s="416"/>
      <c r="U153" s="416"/>
      <c r="V153" s="416"/>
      <c r="W153" s="416"/>
      <c r="X153" s="416"/>
      <c r="Y153" s="416"/>
      <c r="Z153" s="416"/>
      <c r="AA153" s="416"/>
      <c r="AB153" s="416"/>
      <c r="AC153" s="416"/>
      <c r="AD153" s="416"/>
      <c r="AE153" s="416"/>
      <c r="AF153" s="416"/>
      <c r="AG153" s="416"/>
      <c r="AH153" s="416"/>
      <c r="AI153" s="416"/>
      <c r="AJ153" s="416"/>
      <c r="AK153" s="416"/>
      <c r="AL153" s="416"/>
      <c r="AM153" s="416"/>
      <c r="AN153" s="416"/>
      <c r="AO153" s="416"/>
      <c r="AP153" s="416"/>
      <c r="AQ153" s="416"/>
      <c r="AR153" s="416"/>
      <c r="AS153" s="416"/>
      <c r="AT153" s="416"/>
      <c r="AU153" s="416"/>
      <c r="AV153" s="416"/>
      <c r="AW153" s="416"/>
      <c r="AX153" s="416"/>
      <c r="AY153" s="416"/>
      <c r="AZ153" s="416"/>
      <c r="BA153" s="416"/>
      <c r="BB153" s="416"/>
      <c r="BC153" s="416"/>
      <c r="BD153" s="416"/>
      <c r="BE153" s="416"/>
      <c r="BF153" s="416"/>
      <c r="BG153" s="416"/>
      <c r="BH153" s="416"/>
      <c r="BI153" s="416"/>
      <c r="BJ153" s="416"/>
      <c r="BK153" s="416"/>
      <c r="BL153" s="416"/>
      <c r="BM153" s="416"/>
      <c r="BN153" s="416"/>
      <c r="BO153" s="416"/>
      <c r="BP153" s="416"/>
      <c r="BQ153" s="416"/>
      <c r="BR153" s="416"/>
      <c r="BS153" s="416"/>
      <c r="BT153" s="416"/>
      <c r="BU153" s="416"/>
      <c r="BV153" s="416"/>
      <c r="BW153" s="416"/>
      <c r="BX153" s="416"/>
      <c r="BY153" s="416"/>
      <c r="BZ153" s="416"/>
      <c r="CA153" s="416"/>
      <c r="CB153" s="416"/>
      <c r="CC153" s="416"/>
      <c r="CD153" s="416"/>
      <c r="CE153" s="416"/>
      <c r="CF153" s="416"/>
      <c r="CG153" s="416"/>
      <c r="CH153" s="416"/>
      <c r="CI153" s="416"/>
      <c r="CJ153" s="416"/>
      <c r="CK153" s="416"/>
      <c r="CL153" s="416"/>
      <c r="CM153" s="416"/>
      <c r="CN153" s="416"/>
      <c r="CO153" s="416"/>
      <c r="CP153" s="416"/>
      <c r="CQ153" s="416"/>
      <c r="CR153" s="416"/>
      <c r="CS153" s="416"/>
      <c r="CT153" s="416"/>
      <c r="CU153" s="416"/>
      <c r="CV153" s="416"/>
      <c r="CW153" s="416"/>
      <c r="CX153" s="416"/>
      <c r="CY153" s="416"/>
      <c r="CZ153" s="416"/>
    </row>
    <row r="154" spans="1:104" x14ac:dyDescent="0.3">
      <c r="A154" s="415">
        <v>47</v>
      </c>
      <c r="C154" s="129"/>
      <c r="D154" s="416"/>
      <c r="E154" s="416"/>
      <c r="F154" s="416"/>
      <c r="G154" s="416"/>
      <c r="H154" s="416"/>
      <c r="I154" s="416"/>
      <c r="J154" s="416"/>
      <c r="K154" s="416"/>
      <c r="L154" s="416"/>
      <c r="M154" s="416"/>
      <c r="N154" s="416"/>
      <c r="O154" s="416"/>
      <c r="P154" s="416"/>
      <c r="Q154" s="416"/>
      <c r="R154" s="416"/>
      <c r="S154" s="416"/>
      <c r="T154" s="416"/>
      <c r="U154" s="416"/>
      <c r="V154" s="416"/>
      <c r="W154" s="416"/>
      <c r="X154" s="416"/>
      <c r="Y154" s="416"/>
      <c r="Z154" s="416"/>
      <c r="AA154" s="416"/>
      <c r="AB154" s="416"/>
      <c r="AC154" s="416"/>
      <c r="AD154" s="416"/>
      <c r="AE154" s="416"/>
      <c r="AF154" s="416"/>
      <c r="AG154" s="416"/>
      <c r="AH154" s="416"/>
      <c r="AI154" s="416"/>
      <c r="AJ154" s="416"/>
      <c r="AK154" s="416"/>
      <c r="AL154" s="416"/>
      <c r="AM154" s="416"/>
      <c r="AN154" s="416"/>
      <c r="AO154" s="416"/>
      <c r="AP154" s="416"/>
      <c r="AQ154" s="416"/>
      <c r="AR154" s="416"/>
      <c r="AS154" s="416"/>
      <c r="AT154" s="416"/>
      <c r="AU154" s="416"/>
      <c r="AV154" s="416"/>
      <c r="AW154" s="416"/>
      <c r="AX154" s="416"/>
      <c r="AY154" s="416"/>
      <c r="AZ154" s="416"/>
      <c r="BA154" s="416"/>
      <c r="BB154" s="416"/>
      <c r="BC154" s="416"/>
      <c r="BD154" s="416"/>
      <c r="BE154" s="416"/>
      <c r="BF154" s="416"/>
      <c r="BG154" s="416"/>
      <c r="BH154" s="416"/>
      <c r="BI154" s="416"/>
      <c r="BJ154" s="416"/>
      <c r="BK154" s="416"/>
      <c r="BL154" s="416"/>
      <c r="BM154" s="416"/>
      <c r="BN154" s="416"/>
      <c r="BO154" s="416"/>
      <c r="BP154" s="416"/>
      <c r="BQ154" s="416"/>
      <c r="BR154" s="416"/>
      <c r="BS154" s="416"/>
      <c r="BT154" s="416"/>
      <c r="BU154" s="416"/>
      <c r="BV154" s="416"/>
      <c r="BW154" s="416"/>
      <c r="BX154" s="416"/>
      <c r="BY154" s="416"/>
      <c r="BZ154" s="416"/>
      <c r="CA154" s="416"/>
      <c r="CB154" s="416"/>
      <c r="CC154" s="416"/>
      <c r="CD154" s="416"/>
      <c r="CE154" s="416"/>
      <c r="CF154" s="416"/>
      <c r="CG154" s="416"/>
      <c r="CH154" s="416"/>
      <c r="CI154" s="416"/>
      <c r="CJ154" s="416"/>
      <c r="CK154" s="416"/>
      <c r="CL154" s="416"/>
      <c r="CM154" s="416"/>
      <c r="CN154" s="416"/>
      <c r="CO154" s="416"/>
      <c r="CP154" s="416"/>
      <c r="CQ154" s="416"/>
      <c r="CR154" s="416"/>
      <c r="CS154" s="416"/>
      <c r="CT154" s="416"/>
      <c r="CU154" s="416"/>
      <c r="CV154" s="416"/>
      <c r="CW154" s="416"/>
      <c r="CX154" s="416"/>
      <c r="CY154" s="416"/>
      <c r="CZ154" s="416"/>
    </row>
    <row r="155" spans="1:104" x14ac:dyDescent="0.3">
      <c r="A155" s="415">
        <v>48</v>
      </c>
      <c r="C155" s="129"/>
      <c r="D155" s="416"/>
      <c r="E155" s="416"/>
      <c r="F155" s="416"/>
      <c r="G155" s="416"/>
      <c r="H155" s="416"/>
      <c r="I155" s="416"/>
      <c r="J155" s="416"/>
      <c r="K155" s="416"/>
      <c r="L155" s="416"/>
      <c r="M155" s="416"/>
      <c r="N155" s="416"/>
      <c r="O155" s="416"/>
      <c r="P155" s="416"/>
      <c r="Q155" s="416"/>
      <c r="R155" s="416"/>
      <c r="S155" s="416"/>
      <c r="T155" s="416"/>
      <c r="U155" s="416"/>
      <c r="V155" s="416"/>
      <c r="W155" s="416"/>
      <c r="X155" s="416"/>
      <c r="Y155" s="416"/>
      <c r="Z155" s="416"/>
      <c r="AA155" s="416"/>
      <c r="AB155" s="416"/>
      <c r="AC155" s="416"/>
      <c r="AD155" s="416"/>
      <c r="AE155" s="416"/>
      <c r="AF155" s="416"/>
      <c r="AG155" s="416"/>
      <c r="AH155" s="416"/>
      <c r="AI155" s="416"/>
      <c r="AJ155" s="416"/>
      <c r="AK155" s="416"/>
      <c r="AL155" s="416"/>
      <c r="AM155" s="416"/>
      <c r="AN155" s="416"/>
      <c r="AO155" s="416"/>
      <c r="AP155" s="416"/>
      <c r="AQ155" s="416"/>
      <c r="AR155" s="416"/>
      <c r="AS155" s="416"/>
      <c r="AT155" s="416"/>
      <c r="AU155" s="416"/>
      <c r="AV155" s="416"/>
      <c r="AW155" s="416"/>
      <c r="AX155" s="416"/>
      <c r="AY155" s="416"/>
      <c r="AZ155" s="416"/>
      <c r="BA155" s="416"/>
      <c r="BB155" s="416"/>
      <c r="BC155" s="416"/>
      <c r="BD155" s="416"/>
      <c r="BE155" s="416"/>
      <c r="BF155" s="416"/>
      <c r="BG155" s="416"/>
      <c r="BH155" s="416"/>
      <c r="BI155" s="416"/>
      <c r="BJ155" s="416"/>
      <c r="BK155" s="416"/>
      <c r="BL155" s="416"/>
      <c r="BM155" s="416"/>
      <c r="BN155" s="416"/>
      <c r="BO155" s="416"/>
      <c r="BP155" s="416"/>
      <c r="BQ155" s="416"/>
      <c r="BR155" s="416"/>
      <c r="BS155" s="416"/>
      <c r="BT155" s="416"/>
      <c r="BU155" s="416"/>
      <c r="BV155" s="416"/>
      <c r="BW155" s="416"/>
      <c r="BX155" s="416"/>
      <c r="BY155" s="416"/>
      <c r="BZ155" s="416"/>
      <c r="CA155" s="416"/>
      <c r="CB155" s="416"/>
      <c r="CC155" s="416"/>
      <c r="CD155" s="416"/>
      <c r="CE155" s="416"/>
      <c r="CF155" s="416"/>
      <c r="CG155" s="416"/>
      <c r="CH155" s="416"/>
      <c r="CI155" s="416"/>
      <c r="CJ155" s="416"/>
      <c r="CK155" s="416"/>
      <c r="CL155" s="416"/>
      <c r="CM155" s="416"/>
      <c r="CN155" s="416"/>
      <c r="CO155" s="416"/>
      <c r="CP155" s="416"/>
      <c r="CQ155" s="416"/>
      <c r="CR155" s="416"/>
      <c r="CS155" s="416"/>
      <c r="CT155" s="416"/>
      <c r="CU155" s="416"/>
      <c r="CV155" s="416"/>
      <c r="CW155" s="416"/>
      <c r="CX155" s="416"/>
      <c r="CY155" s="416"/>
      <c r="CZ155" s="416"/>
    </row>
    <row r="156" spans="1:104" x14ac:dyDescent="0.3">
      <c r="A156" s="419">
        <v>385</v>
      </c>
      <c r="C156" s="129"/>
      <c r="D156" s="420">
        <f>D26</f>
        <v>23728285</v>
      </c>
      <c r="E156" s="420">
        <f t="shared" ref="E156:J156" si="19">E26</f>
        <v>13003505</v>
      </c>
      <c r="F156" s="420">
        <f t="shared" si="19"/>
        <v>20611416</v>
      </c>
      <c r="G156" s="420">
        <f t="shared" si="19"/>
        <v>6254254</v>
      </c>
      <c r="H156" s="420">
        <f t="shared" si="19"/>
        <v>7323699</v>
      </c>
      <c r="I156" s="420">
        <f t="shared" si="19"/>
        <v>5396486</v>
      </c>
      <c r="J156" s="420">
        <f t="shared" si="19"/>
        <v>7261835</v>
      </c>
      <c r="K156" s="420"/>
      <c r="L156" s="420"/>
      <c r="M156" s="420"/>
      <c r="N156" s="420"/>
      <c r="O156" s="420"/>
      <c r="P156" s="420"/>
      <c r="Q156" s="420"/>
      <c r="R156" s="420"/>
      <c r="S156" s="420"/>
      <c r="T156" s="420"/>
      <c r="U156" s="420"/>
      <c r="V156" s="420"/>
      <c r="W156" s="420"/>
      <c r="X156" s="420"/>
      <c r="Y156" s="420"/>
      <c r="Z156" s="420"/>
      <c r="AA156" s="420"/>
      <c r="AB156" s="420"/>
      <c r="AC156" s="420"/>
      <c r="AD156" s="420"/>
      <c r="AE156" s="420"/>
      <c r="AF156" s="420"/>
      <c r="AG156" s="420"/>
      <c r="AH156" s="420"/>
      <c r="AI156" s="420"/>
      <c r="AJ156" s="420"/>
      <c r="AK156" s="420"/>
      <c r="AL156" s="420"/>
      <c r="AM156" s="420"/>
      <c r="AN156" s="420"/>
      <c r="AO156" s="420"/>
      <c r="AP156" s="420"/>
      <c r="AQ156" s="420"/>
      <c r="AR156" s="420"/>
      <c r="AS156" s="420"/>
      <c r="AT156" s="420"/>
      <c r="AU156" s="420"/>
      <c r="AV156" s="420"/>
      <c r="AW156" s="420"/>
      <c r="AX156" s="420"/>
      <c r="AY156" s="420"/>
      <c r="AZ156" s="420"/>
      <c r="BA156" s="420"/>
      <c r="BB156" s="420"/>
      <c r="BC156" s="420"/>
      <c r="BD156" s="420"/>
      <c r="BE156" s="420"/>
      <c r="BF156" s="420"/>
      <c r="BG156" s="420"/>
      <c r="BH156" s="420"/>
      <c r="BI156" s="420"/>
      <c r="BJ156" s="420"/>
      <c r="BK156" s="420"/>
      <c r="BL156" s="420"/>
      <c r="BM156" s="420"/>
      <c r="BN156" s="420"/>
      <c r="BO156" s="420"/>
      <c r="BP156" s="420"/>
      <c r="BQ156" s="420"/>
      <c r="BR156" s="420"/>
      <c r="BS156" s="420"/>
      <c r="BT156" s="420"/>
      <c r="BU156" s="420"/>
      <c r="BV156" s="420"/>
      <c r="BW156" s="420"/>
      <c r="BX156" s="420"/>
      <c r="BY156" s="420"/>
      <c r="BZ156" s="420"/>
      <c r="CA156" s="420"/>
      <c r="CB156" s="420"/>
      <c r="CC156" s="420"/>
      <c r="CD156" s="420"/>
      <c r="CE156" s="420"/>
      <c r="CF156" s="420"/>
      <c r="CG156" s="420"/>
      <c r="CH156" s="420"/>
      <c r="CI156" s="420"/>
      <c r="CJ156" s="420"/>
      <c r="CK156" s="420"/>
      <c r="CL156" s="420"/>
      <c r="CM156" s="420"/>
      <c r="CN156" s="420"/>
      <c r="CO156" s="420"/>
      <c r="CP156" s="420"/>
      <c r="CQ156" s="420"/>
      <c r="CR156" s="420"/>
      <c r="CS156" s="420"/>
      <c r="CT156" s="420"/>
      <c r="CU156" s="420"/>
      <c r="CV156" s="420"/>
      <c r="CW156" s="420"/>
      <c r="CX156" s="420"/>
      <c r="CY156" s="420"/>
      <c r="CZ156" s="420"/>
    </row>
    <row r="157" spans="1:104" x14ac:dyDescent="0.3">
      <c r="A157" s="419">
        <v>626</v>
      </c>
      <c r="C157" s="129"/>
      <c r="D157" s="420">
        <f>D57</f>
        <v>1509213</v>
      </c>
      <c r="E157" s="420">
        <f t="shared" ref="E157:J157" si="20">E57</f>
        <v>284118</v>
      </c>
      <c r="F157" s="420">
        <f t="shared" si="20"/>
        <v>8159884</v>
      </c>
      <c r="G157" s="420">
        <f t="shared" si="20"/>
        <v>218846</v>
      </c>
      <c r="H157" s="420">
        <f t="shared" si="20"/>
        <v>858416</v>
      </c>
      <c r="I157" s="420">
        <f t="shared" si="20"/>
        <v>845323</v>
      </c>
      <c r="J157" s="420">
        <f t="shared" si="20"/>
        <v>936882</v>
      </c>
      <c r="K157" s="420"/>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c r="AJ157" s="420"/>
      <c r="AK157" s="420"/>
      <c r="AL157" s="420"/>
      <c r="AM157" s="420"/>
      <c r="AN157" s="420"/>
      <c r="AO157" s="420"/>
      <c r="AP157" s="420"/>
      <c r="AQ157" s="420"/>
      <c r="AR157" s="420"/>
      <c r="AS157" s="420"/>
      <c r="AT157" s="420"/>
      <c r="AU157" s="420"/>
      <c r="AV157" s="420"/>
      <c r="AW157" s="420"/>
      <c r="AX157" s="420"/>
      <c r="AY157" s="420"/>
      <c r="AZ157" s="420"/>
      <c r="BA157" s="420"/>
      <c r="BB157" s="420"/>
      <c r="BC157" s="420"/>
      <c r="BD157" s="420"/>
      <c r="BE157" s="420"/>
      <c r="BF157" s="420"/>
      <c r="BG157" s="420"/>
      <c r="BH157" s="420"/>
      <c r="BI157" s="420"/>
      <c r="BJ157" s="420"/>
      <c r="BK157" s="420"/>
      <c r="BL157" s="420"/>
      <c r="BM157" s="420"/>
      <c r="BN157" s="420"/>
      <c r="BO157" s="420"/>
      <c r="BP157" s="420"/>
      <c r="BQ157" s="420"/>
      <c r="BR157" s="420"/>
      <c r="BS157" s="420"/>
      <c r="BT157" s="420"/>
      <c r="BU157" s="420"/>
      <c r="BV157" s="420"/>
      <c r="BW157" s="420"/>
      <c r="BX157" s="420"/>
      <c r="BY157" s="420"/>
      <c r="BZ157" s="420"/>
      <c r="CA157" s="420"/>
      <c r="CB157" s="420"/>
      <c r="CC157" s="420"/>
      <c r="CD157" s="420"/>
      <c r="CE157" s="420"/>
      <c r="CF157" s="420"/>
      <c r="CG157" s="420"/>
      <c r="CH157" s="420"/>
      <c r="CI157" s="420"/>
      <c r="CJ157" s="420"/>
      <c r="CK157" s="420"/>
      <c r="CL157" s="420"/>
      <c r="CM157" s="420"/>
      <c r="CN157" s="420"/>
      <c r="CO157" s="420"/>
      <c r="CP157" s="420"/>
      <c r="CQ157" s="420"/>
      <c r="CR157" s="420"/>
      <c r="CS157" s="420"/>
      <c r="CT157" s="420"/>
      <c r="CU157" s="420"/>
      <c r="CV157" s="420"/>
      <c r="CW157" s="420"/>
      <c r="CX157" s="420"/>
      <c r="CY157" s="420"/>
      <c r="CZ157" s="420"/>
    </row>
    <row r="158" spans="1:104" x14ac:dyDescent="0.3">
      <c r="A158" s="419">
        <v>338</v>
      </c>
      <c r="C158" s="129"/>
      <c r="D158" s="420">
        <f>D20</f>
        <v>22386970</v>
      </c>
      <c r="E158" s="420">
        <f t="shared" ref="E158:J158" si="21">E20</f>
        <v>3847708</v>
      </c>
      <c r="F158" s="420">
        <f t="shared" si="21"/>
        <v>12359994</v>
      </c>
      <c r="G158" s="420">
        <f t="shared" si="21"/>
        <v>10463963</v>
      </c>
      <c r="H158" s="420">
        <f t="shared" si="21"/>
        <v>8842516</v>
      </c>
      <c r="I158" s="420">
        <f t="shared" si="21"/>
        <v>5028323</v>
      </c>
      <c r="J158" s="420">
        <f t="shared" si="21"/>
        <v>2468215</v>
      </c>
      <c r="K158" s="420"/>
      <c r="L158" s="420"/>
      <c r="M158" s="420"/>
      <c r="N158" s="420"/>
      <c r="O158" s="420"/>
      <c r="P158" s="420"/>
      <c r="Q158" s="420"/>
      <c r="R158" s="420"/>
      <c r="S158" s="420"/>
      <c r="T158" s="420"/>
      <c r="U158" s="420"/>
      <c r="V158" s="420"/>
      <c r="W158" s="420"/>
      <c r="X158" s="420"/>
      <c r="Y158" s="420"/>
      <c r="Z158" s="420"/>
      <c r="AA158" s="420"/>
      <c r="AB158" s="420"/>
      <c r="AC158" s="420"/>
      <c r="AD158" s="420"/>
      <c r="AE158" s="420"/>
      <c r="AF158" s="420"/>
      <c r="AG158" s="420"/>
      <c r="AH158" s="420"/>
      <c r="AI158" s="420"/>
      <c r="AJ158" s="420"/>
      <c r="AK158" s="420"/>
      <c r="AL158" s="420"/>
      <c r="AM158" s="420"/>
      <c r="AN158" s="424"/>
      <c r="AO158" s="424"/>
      <c r="AP158" s="424"/>
      <c r="AQ158" s="424"/>
      <c r="AR158" s="424"/>
      <c r="AS158" s="424"/>
      <c r="AT158" s="424"/>
      <c r="AU158" s="424"/>
      <c r="AV158" s="424"/>
      <c r="AW158" s="424"/>
      <c r="AX158" s="424"/>
      <c r="AY158" s="424"/>
      <c r="AZ158" s="424"/>
      <c r="BA158" s="424"/>
      <c r="BB158" s="424"/>
      <c r="BC158" s="424"/>
      <c r="BD158" s="424"/>
      <c r="BE158" s="424"/>
      <c r="BF158" s="424"/>
      <c r="BG158" s="424"/>
      <c r="BH158" s="424"/>
      <c r="BI158" s="424"/>
      <c r="BJ158" s="424"/>
      <c r="BK158" s="424"/>
      <c r="BL158" s="424"/>
      <c r="BM158" s="424"/>
      <c r="BN158" s="424"/>
      <c r="BO158" s="424"/>
      <c r="BP158" s="424"/>
      <c r="BQ158" s="424"/>
      <c r="BR158" s="424"/>
      <c r="BS158" s="424"/>
      <c r="BT158" s="424"/>
      <c r="BU158" s="424"/>
      <c r="BV158" s="424"/>
      <c r="BW158" s="424"/>
      <c r="BX158" s="424"/>
      <c r="BY158" s="424"/>
      <c r="BZ158" s="424"/>
      <c r="CA158" s="424"/>
      <c r="CB158" s="424"/>
      <c r="CC158" s="424"/>
      <c r="CD158" s="424"/>
      <c r="CE158" s="424"/>
      <c r="CF158" s="424"/>
      <c r="CG158" s="424"/>
      <c r="CH158" s="424"/>
      <c r="CI158" s="424"/>
      <c r="CJ158" s="424"/>
      <c r="CK158" s="424"/>
      <c r="CL158" s="424"/>
      <c r="CM158" s="424"/>
      <c r="CN158" s="424"/>
      <c r="CO158" s="424"/>
      <c r="CP158" s="424"/>
      <c r="CQ158" s="424"/>
      <c r="CR158" s="424"/>
      <c r="CS158" s="424"/>
      <c r="CT158" s="424"/>
      <c r="CU158" s="424"/>
      <c r="CV158" s="424"/>
      <c r="CW158" s="424"/>
      <c r="CX158" s="424"/>
      <c r="CY158" s="424"/>
      <c r="CZ158" s="424"/>
    </row>
    <row r="159" spans="1:104" s="129" customFormat="1" x14ac:dyDescent="0.3">
      <c r="A159" s="422">
        <v>620</v>
      </c>
      <c r="B159" s="370"/>
      <c r="D159" s="423"/>
      <c r="E159" s="423"/>
      <c r="F159" s="423"/>
      <c r="G159" s="423"/>
      <c r="H159" s="423"/>
      <c r="I159" s="423"/>
      <c r="J159" s="423"/>
      <c r="K159" s="423"/>
      <c r="L159" s="423"/>
      <c r="M159" s="423"/>
      <c r="N159" s="423"/>
      <c r="O159" s="423"/>
      <c r="P159" s="423"/>
      <c r="Q159" s="423"/>
      <c r="R159" s="423"/>
      <c r="S159" s="423"/>
      <c r="T159" s="423"/>
      <c r="U159" s="423"/>
      <c r="V159" s="423"/>
      <c r="W159" s="423"/>
      <c r="X159" s="423"/>
      <c r="Y159" s="423"/>
      <c r="Z159" s="423"/>
      <c r="AA159" s="423"/>
      <c r="AB159" s="423"/>
      <c r="AC159" s="423"/>
      <c r="AD159" s="423"/>
      <c r="AE159" s="423"/>
      <c r="AF159" s="423"/>
      <c r="AG159" s="423"/>
      <c r="AH159" s="423"/>
      <c r="AI159" s="423"/>
      <c r="AJ159" s="423"/>
      <c r="AK159" s="423"/>
      <c r="AL159" s="423"/>
      <c r="AM159" s="423"/>
      <c r="AN159" s="423"/>
      <c r="AO159" s="423"/>
      <c r="AP159" s="423"/>
      <c r="AQ159" s="423"/>
      <c r="AR159" s="423"/>
      <c r="AS159" s="423"/>
      <c r="AT159" s="423"/>
      <c r="AU159" s="423"/>
      <c r="AV159" s="423"/>
      <c r="AW159" s="423"/>
      <c r="AX159" s="423"/>
      <c r="AY159" s="423"/>
      <c r="AZ159" s="423"/>
      <c r="BA159" s="423"/>
      <c r="BB159" s="423"/>
      <c r="BC159" s="423"/>
      <c r="BD159" s="423"/>
      <c r="BE159" s="423"/>
      <c r="BF159" s="423"/>
      <c r="BG159" s="423"/>
      <c r="BH159" s="423"/>
      <c r="BI159" s="423"/>
      <c r="BJ159" s="423"/>
      <c r="BK159" s="423"/>
      <c r="BL159" s="423"/>
      <c r="BM159" s="423"/>
      <c r="BN159" s="423"/>
      <c r="BO159" s="423"/>
      <c r="BP159" s="423"/>
      <c r="BQ159" s="423"/>
      <c r="BR159" s="423"/>
      <c r="BS159" s="423"/>
      <c r="BT159" s="423"/>
      <c r="BU159" s="423"/>
      <c r="BV159" s="423"/>
      <c r="BW159" s="423"/>
      <c r="BX159" s="423"/>
      <c r="BY159" s="423"/>
      <c r="BZ159" s="423"/>
      <c r="CA159" s="423"/>
      <c r="CB159" s="423"/>
      <c r="CC159" s="423"/>
      <c r="CD159" s="423"/>
      <c r="CE159" s="423"/>
      <c r="CF159" s="423"/>
      <c r="CG159" s="423"/>
      <c r="CH159" s="423"/>
      <c r="CI159" s="423"/>
      <c r="CJ159" s="423"/>
      <c r="CK159" s="423"/>
      <c r="CL159" s="423"/>
      <c r="CM159" s="423"/>
      <c r="CN159" s="423"/>
      <c r="CO159" s="423"/>
      <c r="CP159" s="423"/>
      <c r="CQ159" s="423"/>
      <c r="CR159" s="423"/>
      <c r="CS159" s="423"/>
      <c r="CT159" s="423"/>
      <c r="CU159" s="423"/>
      <c r="CV159" s="423"/>
      <c r="CW159" s="423"/>
      <c r="CX159" s="423"/>
      <c r="CY159" s="423"/>
      <c r="CZ159" s="423"/>
    </row>
    <row r="160" spans="1:104" s="129" customFormat="1" x14ac:dyDescent="0.3">
      <c r="A160" s="106">
        <v>545</v>
      </c>
      <c r="B160" s="370"/>
      <c r="D160" s="423"/>
      <c r="E160" s="423"/>
      <c r="F160" s="423"/>
      <c r="G160" s="423"/>
      <c r="H160" s="423"/>
      <c r="I160" s="423"/>
      <c r="J160" s="423"/>
      <c r="K160" s="423"/>
      <c r="L160" s="423"/>
      <c r="M160" s="423"/>
      <c r="N160" s="423"/>
      <c r="O160" s="423"/>
      <c r="P160" s="423"/>
      <c r="Q160" s="423"/>
      <c r="R160" s="423"/>
      <c r="S160" s="423"/>
      <c r="T160" s="423"/>
      <c r="U160" s="423"/>
      <c r="V160" s="423"/>
      <c r="W160" s="423"/>
      <c r="X160" s="423"/>
      <c r="Y160" s="423"/>
      <c r="Z160" s="423"/>
      <c r="AA160" s="423"/>
      <c r="AB160" s="423"/>
      <c r="AC160" s="423"/>
      <c r="AD160" s="423"/>
      <c r="AE160" s="423"/>
      <c r="AF160" s="423"/>
      <c r="AG160" s="423"/>
      <c r="AH160" s="423"/>
      <c r="AI160" s="423"/>
      <c r="AJ160" s="423"/>
      <c r="AK160" s="423"/>
      <c r="AL160" s="423"/>
      <c r="AM160" s="423"/>
      <c r="AN160" s="423"/>
      <c r="AO160" s="423"/>
      <c r="AP160" s="423"/>
      <c r="AQ160" s="423"/>
      <c r="AR160" s="423"/>
      <c r="AS160" s="423"/>
      <c r="AT160" s="423"/>
      <c r="AU160" s="423"/>
      <c r="AV160" s="423"/>
      <c r="AW160" s="423"/>
      <c r="AX160" s="423"/>
      <c r="AY160" s="423"/>
      <c r="AZ160" s="423"/>
      <c r="BA160" s="423"/>
      <c r="BB160" s="423"/>
      <c r="BC160" s="423"/>
      <c r="BD160" s="423"/>
      <c r="BE160" s="423"/>
      <c r="BF160" s="423"/>
      <c r="BG160" s="423"/>
      <c r="BH160" s="423"/>
      <c r="BI160" s="423"/>
      <c r="BJ160" s="423"/>
      <c r="BK160" s="423"/>
      <c r="BL160" s="423"/>
      <c r="BM160" s="423"/>
      <c r="BN160" s="423"/>
      <c r="BO160" s="423"/>
      <c r="BP160" s="423"/>
      <c r="BQ160" s="423"/>
      <c r="BR160" s="423"/>
      <c r="BS160" s="423"/>
      <c r="BT160" s="423"/>
      <c r="BU160" s="423"/>
      <c r="BV160" s="423"/>
      <c r="BW160" s="423"/>
      <c r="BX160" s="423"/>
      <c r="BY160" s="423"/>
      <c r="BZ160" s="423"/>
      <c r="CA160" s="423"/>
      <c r="CB160" s="423"/>
      <c r="CC160" s="423"/>
      <c r="CD160" s="423"/>
      <c r="CE160" s="423"/>
      <c r="CF160" s="423"/>
      <c r="CG160" s="423"/>
      <c r="CH160" s="423"/>
      <c r="CI160" s="423"/>
      <c r="CJ160" s="423"/>
      <c r="CK160" s="423"/>
      <c r="CL160" s="423"/>
      <c r="CM160" s="423"/>
      <c r="CN160" s="423"/>
      <c r="CO160" s="423"/>
      <c r="CP160" s="423"/>
      <c r="CQ160" s="423"/>
      <c r="CR160" s="423"/>
      <c r="CS160" s="423"/>
      <c r="CT160" s="423"/>
      <c r="CU160" s="423"/>
      <c r="CV160" s="423"/>
      <c r="CW160" s="423"/>
      <c r="CX160" s="423"/>
      <c r="CY160" s="423"/>
      <c r="CZ160" s="423"/>
    </row>
    <row r="161" spans="1:104" s="129" customFormat="1" x14ac:dyDescent="0.3">
      <c r="A161" s="422">
        <v>624</v>
      </c>
      <c r="B161" s="370"/>
      <c r="D161" s="423"/>
      <c r="E161" s="423"/>
      <c r="F161" s="423"/>
      <c r="G161" s="423"/>
      <c r="H161" s="423"/>
      <c r="I161" s="423"/>
      <c r="J161" s="423"/>
      <c r="K161" s="423"/>
      <c r="L161" s="423"/>
      <c r="M161" s="423"/>
      <c r="N161" s="423"/>
      <c r="O161" s="423"/>
      <c r="P161" s="423"/>
      <c r="Q161" s="423"/>
      <c r="R161" s="423"/>
      <c r="S161" s="423"/>
      <c r="T161" s="423"/>
      <c r="U161" s="423"/>
      <c r="V161" s="423"/>
      <c r="W161" s="423"/>
      <c r="X161" s="423"/>
      <c r="Y161" s="423"/>
      <c r="Z161" s="423"/>
      <c r="AA161" s="423"/>
      <c r="AB161" s="423"/>
      <c r="AC161" s="423"/>
      <c r="AD161" s="423"/>
      <c r="AE161" s="423"/>
      <c r="AF161" s="423"/>
      <c r="AG161" s="423"/>
      <c r="AH161" s="423"/>
      <c r="AI161" s="423"/>
      <c r="AJ161" s="423"/>
      <c r="AK161" s="423"/>
      <c r="AL161" s="423"/>
      <c r="AM161" s="423"/>
      <c r="AN161" s="423"/>
      <c r="AO161" s="423"/>
      <c r="AP161" s="423"/>
      <c r="AQ161" s="423"/>
      <c r="AR161" s="423"/>
      <c r="AS161" s="423"/>
      <c r="AT161" s="423"/>
      <c r="AU161" s="423"/>
      <c r="AV161" s="423"/>
      <c r="AW161" s="423"/>
      <c r="AX161" s="423"/>
      <c r="AY161" s="423"/>
      <c r="AZ161" s="423"/>
      <c r="BA161" s="423"/>
      <c r="BB161" s="423"/>
      <c r="BC161" s="423"/>
      <c r="BD161" s="423"/>
      <c r="BE161" s="423"/>
      <c r="BF161" s="423"/>
      <c r="BG161" s="423"/>
      <c r="BH161" s="423"/>
      <c r="BI161" s="423"/>
      <c r="BJ161" s="423"/>
      <c r="BK161" s="423"/>
      <c r="BL161" s="423"/>
      <c r="BM161" s="423"/>
      <c r="BN161" s="423"/>
      <c r="BO161" s="423"/>
      <c r="BP161" s="423"/>
      <c r="BQ161" s="423"/>
      <c r="BR161" s="423"/>
      <c r="BS161" s="423"/>
      <c r="BT161" s="423"/>
      <c r="BU161" s="423"/>
      <c r="BV161" s="423"/>
      <c r="BW161" s="423"/>
      <c r="BX161" s="423"/>
      <c r="BY161" s="423"/>
      <c r="BZ161" s="423"/>
      <c r="CA161" s="423"/>
      <c r="CB161" s="423"/>
      <c r="CC161" s="423"/>
      <c r="CD161" s="423"/>
      <c r="CE161" s="423"/>
      <c r="CF161" s="423"/>
      <c r="CG161" s="423"/>
      <c r="CH161" s="423"/>
      <c r="CI161" s="423"/>
      <c r="CJ161" s="423"/>
      <c r="CK161" s="423"/>
      <c r="CL161" s="423"/>
      <c r="CM161" s="423"/>
      <c r="CN161" s="423"/>
      <c r="CO161" s="423"/>
      <c r="CP161" s="423"/>
      <c r="CQ161" s="423"/>
      <c r="CR161" s="423"/>
      <c r="CS161" s="423"/>
      <c r="CT161" s="423"/>
      <c r="CU161" s="423"/>
      <c r="CV161" s="423"/>
      <c r="CW161" s="423"/>
      <c r="CX161" s="423"/>
      <c r="CY161" s="423"/>
      <c r="CZ161" s="423"/>
    </row>
    <row r="162" spans="1:104" s="129" customFormat="1" x14ac:dyDescent="0.3">
      <c r="A162" s="422">
        <v>577</v>
      </c>
      <c r="B162" s="370"/>
      <c r="D162" s="423">
        <f>D50</f>
        <v>2</v>
      </c>
      <c r="E162" s="423">
        <f t="shared" ref="E162:J162" si="22">E50</f>
        <v>2</v>
      </c>
      <c r="F162" s="423">
        <f t="shared" si="22"/>
        <v>0</v>
      </c>
      <c r="G162" s="423">
        <f t="shared" si="22"/>
        <v>2</v>
      </c>
      <c r="H162" s="423">
        <f t="shared" si="22"/>
        <v>2</v>
      </c>
      <c r="I162" s="423">
        <f t="shared" si="22"/>
        <v>2</v>
      </c>
      <c r="J162" s="423">
        <f t="shared" si="22"/>
        <v>2</v>
      </c>
      <c r="K162" s="423"/>
      <c r="L162" s="423"/>
      <c r="M162" s="423"/>
      <c r="N162" s="423"/>
      <c r="O162" s="423"/>
      <c r="P162" s="423"/>
      <c r="Q162" s="423"/>
      <c r="R162" s="423"/>
      <c r="S162" s="423"/>
      <c r="T162" s="423"/>
      <c r="U162" s="423"/>
      <c r="V162" s="423"/>
      <c r="W162" s="423"/>
      <c r="X162" s="423"/>
      <c r="Y162" s="423"/>
      <c r="Z162" s="423"/>
      <c r="AA162" s="423"/>
      <c r="AB162" s="423"/>
      <c r="AC162" s="423"/>
      <c r="AD162" s="423"/>
      <c r="AE162" s="423"/>
      <c r="AF162" s="423"/>
      <c r="AG162" s="423"/>
      <c r="AH162" s="423"/>
      <c r="AI162" s="423"/>
      <c r="AJ162" s="423"/>
      <c r="AK162" s="423"/>
      <c r="AL162" s="423"/>
      <c r="AM162" s="423"/>
      <c r="AN162" s="423"/>
      <c r="AO162" s="423"/>
      <c r="AP162" s="423"/>
      <c r="AQ162" s="423"/>
      <c r="AR162" s="423"/>
      <c r="AS162" s="423"/>
      <c r="AT162" s="423"/>
      <c r="AU162" s="423"/>
      <c r="AV162" s="423"/>
      <c r="AW162" s="423"/>
      <c r="AX162" s="423"/>
      <c r="AY162" s="423"/>
      <c r="AZ162" s="423"/>
      <c r="BA162" s="423"/>
      <c r="BB162" s="423"/>
      <c r="BC162" s="423"/>
      <c r="BD162" s="423"/>
      <c r="BE162" s="423"/>
      <c r="BF162" s="423"/>
      <c r="BG162" s="423"/>
      <c r="BH162" s="423"/>
      <c r="BI162" s="423"/>
      <c r="BJ162" s="423"/>
      <c r="BK162" s="423"/>
      <c r="BL162" s="423"/>
      <c r="BM162" s="423"/>
      <c r="BN162" s="423"/>
      <c r="BO162" s="423"/>
      <c r="BP162" s="423"/>
      <c r="BQ162" s="423"/>
      <c r="BR162" s="423"/>
      <c r="BS162" s="423"/>
      <c r="BT162" s="423"/>
      <c r="BU162" s="423"/>
      <c r="BV162" s="423"/>
      <c r="BW162" s="423"/>
      <c r="BX162" s="423"/>
      <c r="BY162" s="423"/>
      <c r="BZ162" s="423"/>
      <c r="CA162" s="423"/>
      <c r="CB162" s="423"/>
      <c r="CC162" s="423"/>
      <c r="CD162" s="423"/>
      <c r="CE162" s="423"/>
      <c r="CF162" s="423"/>
      <c r="CG162" s="423"/>
      <c r="CH162" s="423"/>
      <c r="CI162" s="423"/>
      <c r="CJ162" s="423"/>
      <c r="CK162" s="423"/>
      <c r="CL162" s="423"/>
      <c r="CM162" s="423"/>
      <c r="CN162" s="423"/>
      <c r="CO162" s="423"/>
      <c r="CP162" s="423"/>
      <c r="CQ162" s="423"/>
      <c r="CR162" s="423"/>
      <c r="CS162" s="423"/>
      <c r="CT162" s="423"/>
      <c r="CU162" s="423"/>
      <c r="CV162" s="423"/>
      <c r="CW162" s="423"/>
      <c r="CX162" s="423"/>
      <c r="CY162" s="423"/>
      <c r="CZ162" s="423"/>
    </row>
    <row r="163" spans="1:104" s="129" customFormat="1" x14ac:dyDescent="0.3">
      <c r="A163" s="624">
        <v>1052</v>
      </c>
      <c r="B163" s="370"/>
      <c r="D163" s="423">
        <f>D98</f>
        <v>0</v>
      </c>
      <c r="E163" s="423">
        <f t="shared" ref="E163:J163" si="23">E98</f>
        <v>0</v>
      </c>
      <c r="F163" s="423">
        <f t="shared" si="23"/>
        <v>0</v>
      </c>
      <c r="G163" s="423">
        <f t="shared" si="23"/>
        <v>0</v>
      </c>
      <c r="H163" s="423">
        <f t="shared" si="23"/>
        <v>0</v>
      </c>
      <c r="I163" s="423">
        <f t="shared" si="23"/>
        <v>0</v>
      </c>
      <c r="J163" s="423">
        <f t="shared" si="23"/>
        <v>0</v>
      </c>
      <c r="K163" s="423"/>
      <c r="L163" s="423"/>
      <c r="M163" s="423"/>
      <c r="N163" s="423"/>
      <c r="O163" s="423"/>
      <c r="P163" s="423"/>
      <c r="Q163" s="423"/>
      <c r="R163" s="423"/>
      <c r="S163" s="423"/>
      <c r="T163" s="423"/>
      <c r="U163" s="423"/>
      <c r="V163" s="423"/>
      <c r="W163" s="423"/>
      <c r="X163" s="423"/>
      <c r="Y163" s="423"/>
      <c r="Z163" s="423"/>
      <c r="AA163" s="423"/>
      <c r="AB163" s="423"/>
      <c r="AC163" s="423"/>
      <c r="AD163" s="423"/>
      <c r="AE163" s="423"/>
      <c r="AF163" s="423"/>
      <c r="AG163" s="423"/>
      <c r="AH163" s="423"/>
      <c r="AI163" s="423"/>
      <c r="AJ163" s="423"/>
      <c r="AK163" s="423"/>
      <c r="AL163" s="423"/>
      <c r="AM163" s="423"/>
      <c r="AN163" s="423"/>
      <c r="AO163" s="423"/>
      <c r="AP163" s="423"/>
      <c r="AQ163" s="423"/>
      <c r="AR163" s="423"/>
      <c r="AS163" s="423"/>
      <c r="AT163" s="423"/>
      <c r="AU163" s="423"/>
      <c r="AV163" s="423"/>
      <c r="AW163" s="423"/>
      <c r="AX163" s="423"/>
      <c r="AY163" s="423"/>
      <c r="AZ163" s="423"/>
      <c r="BA163" s="423"/>
      <c r="BB163" s="423"/>
      <c r="BC163" s="423"/>
      <c r="BD163" s="423"/>
      <c r="BE163" s="423"/>
      <c r="BF163" s="423"/>
      <c r="BG163" s="423"/>
      <c r="BH163" s="423"/>
      <c r="BI163" s="423"/>
      <c r="BJ163" s="423"/>
      <c r="BK163" s="423"/>
      <c r="BL163" s="423"/>
      <c r="BM163" s="423"/>
      <c r="BN163" s="423"/>
      <c r="BO163" s="423"/>
      <c r="BP163" s="423"/>
      <c r="BQ163" s="423"/>
      <c r="BR163" s="423"/>
      <c r="BS163" s="423"/>
      <c r="BT163" s="423"/>
      <c r="BU163" s="423"/>
      <c r="BV163" s="423"/>
      <c r="BW163" s="423"/>
      <c r="BX163" s="423"/>
      <c r="BY163" s="423"/>
      <c r="BZ163" s="423"/>
      <c r="CA163" s="423"/>
      <c r="CB163" s="423"/>
      <c r="CC163" s="423"/>
      <c r="CD163" s="423"/>
      <c r="CE163" s="423"/>
      <c r="CF163" s="423"/>
      <c r="CG163" s="423"/>
      <c r="CH163" s="423"/>
      <c r="CI163" s="423"/>
      <c r="CJ163" s="423"/>
      <c r="CK163" s="423"/>
      <c r="CL163" s="423"/>
      <c r="CM163" s="423"/>
      <c r="CN163" s="423"/>
      <c r="CO163" s="423"/>
      <c r="CP163" s="423"/>
      <c r="CQ163" s="423"/>
      <c r="CR163" s="423"/>
      <c r="CS163" s="423"/>
      <c r="CT163" s="423"/>
      <c r="CU163" s="423"/>
      <c r="CV163" s="423"/>
      <c r="CW163" s="423"/>
      <c r="CX163" s="423"/>
      <c r="CY163" s="423"/>
      <c r="CZ163" s="423"/>
    </row>
    <row r="164" spans="1:104" s="129" customFormat="1" x14ac:dyDescent="0.3">
      <c r="A164" s="624">
        <v>1058</v>
      </c>
      <c r="B164" s="370"/>
      <c r="D164" s="423">
        <f>D99</f>
        <v>2</v>
      </c>
      <c r="E164" s="423">
        <f t="shared" ref="E164:J164" si="24">E99</f>
        <v>2</v>
      </c>
      <c r="F164" s="423">
        <f t="shared" si="24"/>
        <v>2</v>
      </c>
      <c r="G164" s="423">
        <f t="shared" si="24"/>
        <v>2</v>
      </c>
      <c r="H164" s="423">
        <f t="shared" si="24"/>
        <v>2</v>
      </c>
      <c r="I164" s="423">
        <f t="shared" si="24"/>
        <v>2</v>
      </c>
      <c r="J164" s="423">
        <f t="shared" si="24"/>
        <v>2</v>
      </c>
      <c r="K164" s="423"/>
      <c r="L164" s="423"/>
      <c r="M164" s="423"/>
      <c r="N164" s="423"/>
      <c r="O164" s="423"/>
      <c r="P164" s="423"/>
      <c r="Q164" s="423"/>
      <c r="R164" s="423"/>
      <c r="S164" s="423"/>
      <c r="T164" s="423"/>
      <c r="U164" s="423"/>
      <c r="V164" s="423"/>
      <c r="W164" s="423"/>
      <c r="X164" s="423"/>
      <c r="Y164" s="423"/>
      <c r="Z164" s="423"/>
      <c r="AA164" s="423"/>
      <c r="AB164" s="423"/>
      <c r="AC164" s="423"/>
      <c r="AD164" s="423"/>
      <c r="AE164" s="423"/>
      <c r="AF164" s="423"/>
      <c r="AG164" s="423"/>
      <c r="AH164" s="423"/>
      <c r="AI164" s="423"/>
      <c r="AJ164" s="423"/>
      <c r="AK164" s="423"/>
      <c r="AL164" s="423"/>
      <c r="AM164" s="423"/>
      <c r="AN164" s="423"/>
      <c r="AO164" s="423"/>
      <c r="AP164" s="423"/>
      <c r="AQ164" s="423"/>
      <c r="AR164" s="423"/>
      <c r="AS164" s="423"/>
      <c r="AT164" s="423"/>
      <c r="AU164" s="423"/>
      <c r="AV164" s="423"/>
      <c r="AW164" s="423"/>
      <c r="AX164" s="423"/>
      <c r="AY164" s="423"/>
      <c r="AZ164" s="423"/>
      <c r="BA164" s="423"/>
      <c r="BB164" s="423"/>
      <c r="BC164" s="423"/>
      <c r="BD164" s="423"/>
      <c r="BE164" s="423"/>
      <c r="BF164" s="423"/>
      <c r="BG164" s="423"/>
      <c r="BH164" s="423"/>
      <c r="BI164" s="423"/>
      <c r="BJ164" s="423"/>
      <c r="BK164" s="423"/>
      <c r="BL164" s="423"/>
      <c r="BM164" s="423"/>
      <c r="BN164" s="423"/>
      <c r="BO164" s="423"/>
      <c r="BP164" s="423"/>
      <c r="BQ164" s="423"/>
      <c r="BR164" s="423"/>
      <c r="BS164" s="423"/>
      <c r="BT164" s="423"/>
      <c r="BU164" s="423"/>
      <c r="BV164" s="423"/>
      <c r="BW164" s="423"/>
      <c r="BX164" s="423"/>
      <c r="BY164" s="423"/>
      <c r="BZ164" s="423"/>
      <c r="CA164" s="423"/>
      <c r="CB164" s="423"/>
      <c r="CC164" s="423"/>
      <c r="CD164" s="423"/>
      <c r="CE164" s="423"/>
      <c r="CF164" s="423"/>
      <c r="CG164" s="423"/>
      <c r="CH164" s="423"/>
      <c r="CI164" s="423"/>
      <c r="CJ164" s="423"/>
      <c r="CK164" s="423"/>
      <c r="CL164" s="423"/>
      <c r="CM164" s="423"/>
      <c r="CN164" s="423"/>
      <c r="CO164" s="423"/>
      <c r="CP164" s="423"/>
      <c r="CQ164" s="423"/>
      <c r="CR164" s="423"/>
      <c r="CS164" s="423"/>
      <c r="CT164" s="423"/>
      <c r="CU164" s="423"/>
      <c r="CV164" s="423"/>
      <c r="CW164" s="423"/>
      <c r="CX164" s="423"/>
      <c r="CY164" s="423"/>
      <c r="CZ164" s="423"/>
    </row>
    <row r="165" spans="1:104" s="129" customFormat="1" x14ac:dyDescent="0.3">
      <c r="A165" s="624">
        <v>1059</v>
      </c>
      <c r="B165" s="370"/>
      <c r="D165" s="423">
        <f>D100</f>
        <v>1</v>
      </c>
      <c r="E165" s="423">
        <f t="shared" ref="E165:J165" si="25">E100</f>
        <v>1</v>
      </c>
      <c r="F165" s="423">
        <f t="shared" si="25"/>
        <v>1</v>
      </c>
      <c r="G165" s="423">
        <f t="shared" si="25"/>
        <v>1</v>
      </c>
      <c r="H165" s="423">
        <f t="shared" si="25"/>
        <v>1</v>
      </c>
      <c r="I165" s="423">
        <f t="shared" si="25"/>
        <v>1</v>
      </c>
      <c r="J165" s="423">
        <f t="shared" si="25"/>
        <v>1</v>
      </c>
      <c r="K165" s="423"/>
      <c r="L165" s="423"/>
      <c r="M165" s="423"/>
      <c r="N165" s="423"/>
      <c r="O165" s="423"/>
      <c r="P165" s="423"/>
      <c r="Q165" s="423"/>
      <c r="R165" s="423"/>
      <c r="S165" s="423"/>
      <c r="T165" s="423"/>
      <c r="U165" s="423"/>
      <c r="V165" s="423"/>
      <c r="W165" s="423"/>
      <c r="X165" s="423"/>
      <c r="Y165" s="423"/>
      <c r="Z165" s="423"/>
      <c r="AA165" s="423"/>
      <c r="AB165" s="423"/>
      <c r="AC165" s="423"/>
      <c r="AD165" s="423"/>
      <c r="AE165" s="423"/>
      <c r="AF165" s="423"/>
      <c r="AG165" s="423"/>
      <c r="AH165" s="423"/>
      <c r="AI165" s="423"/>
      <c r="AJ165" s="423"/>
      <c r="AK165" s="423"/>
      <c r="AL165" s="423"/>
      <c r="AM165" s="423"/>
      <c r="AN165" s="423"/>
      <c r="AO165" s="423"/>
      <c r="AP165" s="423"/>
      <c r="AQ165" s="423"/>
      <c r="AR165" s="423"/>
      <c r="AS165" s="423"/>
      <c r="AT165" s="423"/>
      <c r="AU165" s="423"/>
      <c r="AV165" s="423"/>
      <c r="AW165" s="423"/>
      <c r="AX165" s="423"/>
      <c r="AY165" s="423"/>
      <c r="AZ165" s="423"/>
      <c r="BA165" s="423"/>
      <c r="BB165" s="423"/>
      <c r="BC165" s="423"/>
      <c r="BD165" s="423"/>
      <c r="BE165" s="423"/>
      <c r="BF165" s="423"/>
      <c r="BG165" s="423"/>
      <c r="BH165" s="423"/>
      <c r="BI165" s="423"/>
      <c r="BJ165" s="423"/>
      <c r="BK165" s="423"/>
      <c r="BL165" s="423"/>
      <c r="BM165" s="423"/>
      <c r="BN165" s="423"/>
      <c r="BO165" s="423"/>
      <c r="BP165" s="423"/>
      <c r="BQ165" s="423"/>
      <c r="BR165" s="423"/>
      <c r="BS165" s="423"/>
      <c r="BT165" s="423"/>
      <c r="BU165" s="423"/>
      <c r="BV165" s="423"/>
      <c r="BW165" s="423"/>
      <c r="BX165" s="423"/>
      <c r="BY165" s="423"/>
      <c r="BZ165" s="423"/>
      <c r="CA165" s="423"/>
      <c r="CB165" s="423"/>
      <c r="CC165" s="423"/>
      <c r="CD165" s="423"/>
      <c r="CE165" s="423"/>
      <c r="CF165" s="423"/>
      <c r="CG165" s="423"/>
      <c r="CH165" s="423"/>
      <c r="CI165" s="423"/>
      <c r="CJ165" s="423"/>
      <c r="CK165" s="423"/>
      <c r="CL165" s="423"/>
      <c r="CM165" s="423"/>
      <c r="CN165" s="423"/>
      <c r="CO165" s="423"/>
      <c r="CP165" s="423"/>
      <c r="CQ165" s="423"/>
      <c r="CR165" s="423"/>
      <c r="CS165" s="423"/>
      <c r="CT165" s="423"/>
      <c r="CU165" s="423"/>
      <c r="CV165" s="423"/>
      <c r="CW165" s="423"/>
      <c r="CX165" s="423"/>
      <c r="CY165" s="423"/>
      <c r="CZ165" s="423"/>
    </row>
    <row r="166" spans="1:104" s="418" customFormat="1" x14ac:dyDescent="0.3">
      <c r="A166" s="106" t="s">
        <v>527</v>
      </c>
      <c r="B166" s="370"/>
      <c r="C166" s="129"/>
      <c r="D166" s="129">
        <f>SUM(D125:D165)</f>
        <v>68200939</v>
      </c>
      <c r="E166" s="129">
        <f t="shared" ref="E166:J166" si="26">SUM(E125:E165)</f>
        <v>28212426</v>
      </c>
      <c r="F166" s="129">
        <f t="shared" si="26"/>
        <v>59600255</v>
      </c>
      <c r="G166" s="129">
        <f t="shared" si="26"/>
        <v>23766390</v>
      </c>
      <c r="H166" s="129">
        <f t="shared" si="26"/>
        <v>24690020</v>
      </c>
      <c r="I166" s="129">
        <f t="shared" si="26"/>
        <v>16849487</v>
      </c>
      <c r="J166" s="129">
        <f t="shared" si="26"/>
        <v>16397436</v>
      </c>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row>
    <row r="167" spans="1:104" s="418" customFormat="1" x14ac:dyDescent="0.3">
      <c r="A167" s="106"/>
      <c r="B167" s="370"/>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c r="AI167" s="129"/>
      <c r="AJ167" s="129"/>
      <c r="AK167" s="129"/>
      <c r="AL167" s="129"/>
      <c r="AM167" s="129"/>
    </row>
    <row r="168" spans="1:104" s="418" customFormat="1" x14ac:dyDescent="0.3">
      <c r="A168" s="106" t="s">
        <v>528</v>
      </c>
      <c r="B168" s="370"/>
      <c r="C168" s="129"/>
      <c r="D168" s="129">
        <f>D123-D166</f>
        <v>185271300.80000001</v>
      </c>
      <c r="E168" s="129">
        <f t="shared" ref="E168:J168" si="27">E123-E166</f>
        <v>112327630.5</v>
      </c>
      <c r="F168" s="129">
        <f t="shared" si="27"/>
        <v>195148364</v>
      </c>
      <c r="G168" s="129">
        <f t="shared" si="27"/>
        <v>45271316</v>
      </c>
      <c r="H168" s="129">
        <f t="shared" si="27"/>
        <v>64928166</v>
      </c>
      <c r="I168" s="129">
        <f t="shared" si="27"/>
        <v>49526942</v>
      </c>
      <c r="J168" s="129">
        <f t="shared" si="27"/>
        <v>58282472</v>
      </c>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c r="AI168" s="129"/>
      <c r="AJ168" s="129"/>
      <c r="AK168" s="129"/>
      <c r="AL168" s="129"/>
      <c r="AM168" s="129"/>
    </row>
    <row r="169" spans="1:104" s="418" customFormat="1" x14ac:dyDescent="0.3">
      <c r="A169" s="106"/>
      <c r="B169" s="370"/>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c r="AI169" s="129"/>
      <c r="AJ169" s="129"/>
      <c r="AK169" s="129"/>
      <c r="AL169" s="129"/>
      <c r="AM169" s="129"/>
    </row>
    <row r="170" spans="1:104" x14ac:dyDescent="0.3">
      <c r="A170" s="419">
        <v>1</v>
      </c>
      <c r="C170" s="129"/>
      <c r="D170" s="420">
        <f>D26</f>
        <v>23728285</v>
      </c>
      <c r="E170" s="420">
        <f t="shared" ref="E170:J170" si="28">E26</f>
        <v>13003505</v>
      </c>
      <c r="F170" s="420">
        <f t="shared" si="28"/>
        <v>20611416</v>
      </c>
      <c r="G170" s="420">
        <f t="shared" si="28"/>
        <v>6254254</v>
      </c>
      <c r="H170" s="420">
        <f t="shared" si="28"/>
        <v>7323699</v>
      </c>
      <c r="I170" s="420">
        <f t="shared" si="28"/>
        <v>5396486</v>
      </c>
      <c r="J170" s="420">
        <f t="shared" si="28"/>
        <v>7261835</v>
      </c>
      <c r="K170" s="420"/>
      <c r="L170" s="420"/>
      <c r="M170" s="420"/>
      <c r="N170" s="420"/>
      <c r="O170" s="420"/>
      <c r="P170" s="420"/>
      <c r="Q170" s="420"/>
      <c r="R170" s="420"/>
      <c r="S170" s="420"/>
      <c r="T170" s="420"/>
      <c r="U170" s="420"/>
      <c r="V170" s="420"/>
      <c r="W170" s="420"/>
      <c r="X170" s="420"/>
      <c r="Y170" s="420"/>
      <c r="Z170" s="420"/>
      <c r="AA170" s="420"/>
      <c r="AB170" s="420"/>
      <c r="AC170" s="420"/>
      <c r="AD170" s="420"/>
      <c r="AE170" s="420"/>
      <c r="AF170" s="420"/>
      <c r="AG170" s="420"/>
      <c r="AH170" s="420"/>
      <c r="AI170" s="420"/>
      <c r="AJ170" s="420"/>
      <c r="AK170" s="420"/>
      <c r="AL170" s="420"/>
      <c r="AM170" s="420"/>
      <c r="AN170" s="420"/>
      <c r="AO170" s="420"/>
      <c r="AP170" s="420"/>
      <c r="AQ170" s="420"/>
      <c r="AR170" s="420"/>
      <c r="AS170" s="420"/>
      <c r="AT170" s="420"/>
      <c r="AU170" s="420"/>
      <c r="AV170" s="420"/>
      <c r="AW170" s="420"/>
      <c r="AX170" s="420"/>
      <c r="AY170" s="420"/>
      <c r="AZ170" s="420"/>
      <c r="BA170" s="420"/>
      <c r="BB170" s="420"/>
      <c r="BC170" s="420"/>
      <c r="BD170" s="420"/>
      <c r="BE170" s="420"/>
      <c r="BF170" s="420"/>
      <c r="BG170" s="420"/>
      <c r="BH170" s="420"/>
      <c r="BI170" s="420"/>
      <c r="BJ170" s="420"/>
      <c r="BK170" s="420"/>
      <c r="BL170" s="420"/>
      <c r="BM170" s="420"/>
      <c r="BN170" s="420"/>
      <c r="BO170" s="420"/>
      <c r="BP170" s="420"/>
      <c r="BQ170" s="420"/>
      <c r="BR170" s="420"/>
      <c r="BS170" s="420"/>
      <c r="BT170" s="420"/>
      <c r="BU170" s="420"/>
      <c r="BV170" s="420"/>
      <c r="BW170" s="420"/>
      <c r="BX170" s="420"/>
      <c r="BY170" s="420"/>
      <c r="BZ170" s="420"/>
      <c r="CA170" s="420"/>
      <c r="CB170" s="420"/>
      <c r="CC170" s="420"/>
      <c r="CD170" s="420"/>
      <c r="CE170" s="420"/>
      <c r="CF170" s="420"/>
      <c r="CG170" s="420"/>
      <c r="CH170" s="420"/>
      <c r="CI170" s="420"/>
      <c r="CJ170" s="420"/>
      <c r="CK170" s="420"/>
      <c r="CL170" s="420"/>
      <c r="CM170" s="420"/>
      <c r="CN170" s="420"/>
      <c r="CO170" s="420"/>
      <c r="CP170" s="420"/>
      <c r="CQ170" s="420"/>
      <c r="CR170" s="420"/>
      <c r="CS170" s="420"/>
      <c r="CT170" s="420"/>
      <c r="CU170" s="420"/>
      <c r="CV170" s="420"/>
      <c r="CW170" s="420"/>
      <c r="CX170" s="420"/>
      <c r="CY170" s="420"/>
      <c r="CZ170" s="420"/>
    </row>
    <row r="171" spans="1:104" x14ac:dyDescent="0.3">
      <c r="A171" s="419">
        <v>2</v>
      </c>
      <c r="C171" s="129"/>
      <c r="D171" s="420">
        <f>D57</f>
        <v>1509213</v>
      </c>
      <c r="E171" s="420">
        <f t="shared" ref="E171:J171" si="29">E57</f>
        <v>284118</v>
      </c>
      <c r="F171" s="420">
        <f t="shared" si="29"/>
        <v>8159884</v>
      </c>
      <c r="G171" s="420">
        <f t="shared" si="29"/>
        <v>218846</v>
      </c>
      <c r="H171" s="420">
        <f t="shared" si="29"/>
        <v>858416</v>
      </c>
      <c r="I171" s="420">
        <f t="shared" si="29"/>
        <v>845323</v>
      </c>
      <c r="J171" s="420">
        <f t="shared" si="29"/>
        <v>936882</v>
      </c>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c r="AJ171" s="420"/>
      <c r="AK171" s="420"/>
      <c r="AL171" s="420"/>
      <c r="AM171" s="420"/>
      <c r="AN171" s="420"/>
      <c r="AO171" s="420"/>
      <c r="AP171" s="420"/>
      <c r="AQ171" s="420"/>
      <c r="AR171" s="420"/>
      <c r="AS171" s="420"/>
      <c r="AT171" s="420"/>
      <c r="AU171" s="420"/>
      <c r="AV171" s="420"/>
      <c r="AW171" s="420"/>
      <c r="AX171" s="420"/>
      <c r="AY171" s="420"/>
      <c r="AZ171" s="420"/>
      <c r="BA171" s="420"/>
      <c r="BB171" s="420"/>
      <c r="BC171" s="420"/>
      <c r="BD171" s="420"/>
      <c r="BE171" s="420"/>
      <c r="BF171" s="420"/>
      <c r="BG171" s="420"/>
      <c r="BH171" s="420"/>
      <c r="BI171" s="420"/>
      <c r="BJ171" s="420"/>
      <c r="BK171" s="420"/>
      <c r="BL171" s="420"/>
      <c r="BM171" s="420"/>
      <c r="BN171" s="420"/>
      <c r="BO171" s="420"/>
      <c r="BP171" s="420"/>
      <c r="BQ171" s="420"/>
      <c r="BR171" s="420"/>
      <c r="BS171" s="420"/>
      <c r="BT171" s="420"/>
      <c r="BU171" s="420"/>
      <c r="BV171" s="420"/>
      <c r="BW171" s="420"/>
      <c r="BX171" s="420"/>
      <c r="BY171" s="420"/>
      <c r="BZ171" s="420"/>
      <c r="CA171" s="420"/>
      <c r="CB171" s="420"/>
      <c r="CC171" s="420"/>
      <c r="CD171" s="420"/>
      <c r="CE171" s="420"/>
      <c r="CF171" s="420"/>
      <c r="CG171" s="420"/>
      <c r="CH171" s="420"/>
      <c r="CI171" s="420"/>
      <c r="CJ171" s="420"/>
      <c r="CK171" s="420"/>
      <c r="CL171" s="420"/>
      <c r="CM171" s="420"/>
      <c r="CN171" s="420"/>
      <c r="CO171" s="420"/>
      <c r="CP171" s="420"/>
      <c r="CQ171" s="420"/>
      <c r="CR171" s="420"/>
      <c r="CS171" s="420"/>
      <c r="CT171" s="420"/>
      <c r="CU171" s="420"/>
      <c r="CV171" s="420"/>
      <c r="CW171" s="420"/>
      <c r="CX171" s="420"/>
      <c r="CY171" s="420"/>
      <c r="CZ171" s="420"/>
    </row>
    <row r="172" spans="1:104" x14ac:dyDescent="0.3">
      <c r="A172" s="419">
        <v>3</v>
      </c>
      <c r="C172" s="129"/>
      <c r="D172" s="420">
        <f>D20</f>
        <v>22386970</v>
      </c>
      <c r="E172" s="420">
        <f t="shared" ref="E172:J172" si="30">E20</f>
        <v>3847708</v>
      </c>
      <c r="F172" s="420">
        <f t="shared" si="30"/>
        <v>12359994</v>
      </c>
      <c r="G172" s="420">
        <f t="shared" si="30"/>
        <v>10463963</v>
      </c>
      <c r="H172" s="420">
        <f t="shared" si="30"/>
        <v>8842516</v>
      </c>
      <c r="I172" s="420">
        <f t="shared" si="30"/>
        <v>5028323</v>
      </c>
      <c r="J172" s="420">
        <f t="shared" si="30"/>
        <v>2468215</v>
      </c>
      <c r="K172" s="420"/>
      <c r="L172" s="420"/>
      <c r="M172" s="420"/>
      <c r="N172" s="420"/>
      <c r="O172" s="420"/>
      <c r="P172" s="420"/>
      <c r="Q172" s="420"/>
      <c r="R172" s="420"/>
      <c r="S172" s="420"/>
      <c r="T172" s="420"/>
      <c r="U172" s="420"/>
      <c r="V172" s="420"/>
      <c r="W172" s="420"/>
      <c r="X172" s="420"/>
      <c r="Y172" s="420"/>
      <c r="Z172" s="420"/>
      <c r="AA172" s="420"/>
      <c r="AB172" s="420"/>
      <c r="AC172" s="420"/>
      <c r="AD172" s="420"/>
      <c r="AE172" s="420"/>
      <c r="AF172" s="420"/>
      <c r="AG172" s="420"/>
      <c r="AH172" s="420"/>
      <c r="AI172" s="420"/>
      <c r="AJ172" s="420"/>
      <c r="AK172" s="420"/>
      <c r="AL172" s="420"/>
      <c r="AM172" s="420"/>
      <c r="AN172" s="420"/>
      <c r="AO172" s="420"/>
      <c r="AP172" s="420"/>
      <c r="AQ172" s="420"/>
      <c r="AR172" s="420"/>
      <c r="AS172" s="420"/>
      <c r="AT172" s="420"/>
      <c r="AU172" s="420"/>
      <c r="AV172" s="420"/>
      <c r="AW172" s="420"/>
      <c r="AX172" s="420"/>
      <c r="AY172" s="420"/>
      <c r="AZ172" s="420"/>
      <c r="BA172" s="420"/>
      <c r="BB172" s="420"/>
      <c r="BC172" s="420"/>
      <c r="BD172" s="420"/>
      <c r="BE172" s="420"/>
      <c r="BF172" s="420"/>
      <c r="BG172" s="420"/>
      <c r="BH172" s="420"/>
      <c r="BI172" s="420"/>
      <c r="BJ172" s="420"/>
      <c r="BK172" s="420"/>
      <c r="BL172" s="420"/>
      <c r="BM172" s="420"/>
      <c r="BN172" s="420"/>
      <c r="BO172" s="420"/>
      <c r="BP172" s="420"/>
      <c r="BQ172" s="420"/>
      <c r="BR172" s="420"/>
      <c r="BS172" s="420"/>
      <c r="BT172" s="420"/>
      <c r="BU172" s="420"/>
      <c r="BV172" s="420"/>
      <c r="BW172" s="420"/>
      <c r="BX172" s="420"/>
      <c r="BY172" s="420"/>
      <c r="BZ172" s="420"/>
      <c r="CA172" s="420"/>
      <c r="CB172" s="420"/>
      <c r="CC172" s="420"/>
      <c r="CD172" s="420"/>
      <c r="CE172" s="420"/>
      <c r="CF172" s="420"/>
      <c r="CG172" s="420"/>
      <c r="CH172" s="420"/>
      <c r="CI172" s="420"/>
      <c r="CJ172" s="420"/>
      <c r="CK172" s="420"/>
      <c r="CL172" s="420"/>
      <c r="CM172" s="420"/>
      <c r="CN172" s="420"/>
      <c r="CO172" s="420"/>
      <c r="CP172" s="420"/>
      <c r="CQ172" s="420"/>
      <c r="CR172" s="420"/>
      <c r="CS172" s="420"/>
      <c r="CT172" s="420"/>
      <c r="CU172" s="420"/>
      <c r="CV172" s="420"/>
      <c r="CW172" s="420"/>
      <c r="CX172" s="420"/>
      <c r="CY172" s="420"/>
      <c r="CZ172" s="420"/>
    </row>
    <row r="173" spans="1:104" x14ac:dyDescent="0.3">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row>
    <row r="174" spans="1:104" x14ac:dyDescent="0.3">
      <c r="C174" s="129"/>
      <c r="D174" s="426">
        <f>D168+D170+D171+D172</f>
        <v>232895768.80000001</v>
      </c>
      <c r="E174" s="426">
        <f t="shared" ref="E174:J174" si="31">E168+E170+E171+E172</f>
        <v>129462961.5</v>
      </c>
      <c r="F174" s="426">
        <f t="shared" si="31"/>
        <v>236279658</v>
      </c>
      <c r="G174" s="426">
        <f t="shared" si="31"/>
        <v>62208379</v>
      </c>
      <c r="H174" s="426">
        <f t="shared" si="31"/>
        <v>81952797</v>
      </c>
      <c r="I174" s="426">
        <f t="shared" si="31"/>
        <v>60797074</v>
      </c>
      <c r="J174" s="426">
        <f t="shared" si="31"/>
        <v>68949404</v>
      </c>
      <c r="K174" s="426"/>
      <c r="L174" s="426"/>
      <c r="M174" s="426"/>
      <c r="N174" s="426"/>
      <c r="O174" s="426"/>
      <c r="P174" s="426"/>
      <c r="Q174" s="426"/>
      <c r="R174" s="426"/>
      <c r="S174" s="426"/>
      <c r="T174" s="426"/>
      <c r="U174" s="426"/>
      <c r="V174" s="426"/>
      <c r="W174" s="426"/>
      <c r="X174" s="426"/>
      <c r="Y174" s="426"/>
      <c r="Z174" s="426"/>
      <c r="AA174" s="426"/>
      <c r="AB174" s="426"/>
      <c r="AC174" s="426"/>
      <c r="AD174" s="426"/>
      <c r="AE174" s="426"/>
      <c r="AF174" s="426"/>
      <c r="AG174" s="426"/>
      <c r="AH174" s="426"/>
      <c r="AI174" s="426"/>
      <c r="AJ174" s="426"/>
      <c r="AK174" s="426"/>
      <c r="AL174" s="426"/>
      <c r="AM174" s="426"/>
      <c r="AN174" s="426"/>
      <c r="AO174" s="426"/>
      <c r="AP174" s="426"/>
      <c r="AQ174" s="426"/>
      <c r="AR174" s="426"/>
      <c r="AS174" s="426"/>
      <c r="AT174" s="426"/>
      <c r="AU174" s="426"/>
      <c r="AV174" s="426"/>
      <c r="AW174" s="426"/>
      <c r="AX174" s="426"/>
      <c r="AY174" s="426"/>
      <c r="AZ174" s="426"/>
      <c r="BA174" s="426"/>
      <c r="BB174" s="426"/>
      <c r="BC174" s="426"/>
      <c r="BD174" s="426"/>
      <c r="BE174" s="426"/>
      <c r="BF174" s="426"/>
      <c r="BG174" s="426"/>
      <c r="BH174" s="426"/>
      <c r="BI174" s="426"/>
      <c r="BJ174" s="426"/>
      <c r="BK174" s="426"/>
      <c r="BL174" s="426"/>
      <c r="BM174" s="426"/>
      <c r="BN174" s="426"/>
      <c r="BO174" s="426"/>
      <c r="BP174" s="426"/>
      <c r="BQ174" s="426"/>
      <c r="BR174" s="426"/>
      <c r="BS174" s="426"/>
      <c r="BT174" s="426"/>
      <c r="BU174" s="426"/>
      <c r="BV174" s="426"/>
      <c r="BW174" s="426"/>
      <c r="BX174" s="426"/>
      <c r="BY174" s="426"/>
      <c r="BZ174" s="426"/>
      <c r="CA174" s="426"/>
      <c r="CB174" s="426"/>
      <c r="CC174" s="426"/>
      <c r="CD174" s="426"/>
      <c r="CE174" s="426"/>
      <c r="CF174" s="426"/>
      <c r="CG174" s="426"/>
      <c r="CH174" s="426"/>
      <c r="CI174" s="426"/>
      <c r="CJ174" s="426"/>
      <c r="CK174" s="426"/>
      <c r="CL174" s="426"/>
      <c r="CM174" s="426"/>
      <c r="CN174" s="426"/>
      <c r="CO174" s="426"/>
      <c r="CP174" s="426"/>
      <c r="CQ174" s="426"/>
      <c r="CR174" s="426"/>
      <c r="CS174" s="426"/>
      <c r="CT174" s="426"/>
      <c r="CU174" s="426"/>
      <c r="CV174" s="426"/>
      <c r="CW174" s="426"/>
      <c r="CX174" s="426"/>
      <c r="CY174" s="426"/>
      <c r="CZ174" s="426"/>
    </row>
    <row r="175" spans="1:104" x14ac:dyDescent="0.3">
      <c r="C175" s="129"/>
      <c r="D175" s="426"/>
      <c r="E175" s="426"/>
      <c r="F175" s="426"/>
      <c r="G175" s="426"/>
      <c r="H175" s="426"/>
      <c r="I175" s="426"/>
      <c r="J175" s="426"/>
      <c r="K175" s="426"/>
      <c r="L175" s="426"/>
      <c r="M175" s="426"/>
      <c r="N175" s="426"/>
      <c r="O175" s="426"/>
      <c r="P175" s="426"/>
      <c r="Q175" s="426"/>
      <c r="R175" s="426"/>
      <c r="S175" s="426"/>
      <c r="T175" s="426"/>
      <c r="U175" s="426"/>
      <c r="V175" s="426"/>
      <c r="W175" s="426"/>
      <c r="X175" s="426"/>
      <c r="Y175" s="426"/>
      <c r="Z175" s="426"/>
      <c r="AA175" s="426"/>
      <c r="AB175" s="426"/>
      <c r="AC175" s="426"/>
      <c r="AD175" s="426"/>
      <c r="AE175" s="426"/>
      <c r="AF175" s="426"/>
      <c r="AG175" s="426"/>
      <c r="AH175" s="426"/>
      <c r="AI175" s="426"/>
      <c r="AJ175" s="426"/>
      <c r="AK175" s="426"/>
      <c r="AL175" s="426"/>
      <c r="AM175" s="426"/>
      <c r="AN175" s="426"/>
      <c r="AO175" s="426"/>
      <c r="AP175" s="426"/>
      <c r="AQ175" s="426"/>
      <c r="AR175" s="426"/>
      <c r="AS175" s="426"/>
      <c r="AT175" s="426"/>
      <c r="AU175" s="426"/>
      <c r="AV175" s="426"/>
      <c r="AW175" s="426"/>
      <c r="AX175" s="426"/>
      <c r="AY175" s="426"/>
      <c r="AZ175" s="426"/>
      <c r="BA175" s="426"/>
      <c r="BB175" s="426"/>
      <c r="BC175" s="426"/>
      <c r="BD175" s="426"/>
      <c r="BE175" s="426"/>
      <c r="BF175" s="426"/>
      <c r="BG175" s="426"/>
      <c r="BH175" s="426"/>
      <c r="BI175" s="426"/>
      <c r="BJ175" s="426"/>
      <c r="BK175" s="426"/>
      <c r="BL175" s="426"/>
      <c r="BM175" s="426"/>
      <c r="BN175" s="426"/>
      <c r="BO175" s="426"/>
      <c r="BP175" s="426"/>
      <c r="BQ175" s="426"/>
      <c r="BR175" s="426"/>
      <c r="BS175" s="426"/>
      <c r="BT175" s="426"/>
      <c r="BU175" s="426"/>
      <c r="BV175" s="426"/>
      <c r="BW175" s="426"/>
      <c r="BX175" s="426"/>
      <c r="BY175" s="426"/>
      <c r="BZ175" s="426"/>
      <c r="CA175" s="426"/>
      <c r="CB175" s="426"/>
      <c r="CC175" s="426"/>
      <c r="CD175" s="426"/>
      <c r="CE175" s="426"/>
      <c r="CF175" s="426"/>
      <c r="CG175" s="426"/>
      <c r="CH175" s="426"/>
      <c r="CI175" s="426"/>
      <c r="CJ175" s="426"/>
      <c r="CK175" s="426"/>
      <c r="CL175" s="426"/>
      <c r="CM175" s="426"/>
      <c r="CN175" s="426"/>
      <c r="CO175" s="426"/>
      <c r="CP175" s="426"/>
      <c r="CQ175" s="426"/>
      <c r="CR175" s="426"/>
      <c r="CS175" s="426"/>
      <c r="CT175" s="426"/>
      <c r="CU175" s="426"/>
      <c r="CV175" s="426"/>
      <c r="CW175" s="426"/>
      <c r="CX175" s="426"/>
      <c r="CY175" s="426"/>
      <c r="CZ175" s="426"/>
    </row>
    <row r="176" spans="1:104" x14ac:dyDescent="0.3">
      <c r="C176" s="129"/>
      <c r="D176" s="426" t="e">
        <f>'Unit Data from Audit Worksheet'!$E$107</f>
        <v>#N/A</v>
      </c>
      <c r="E176" s="426" t="e">
        <f>'Unit Data from Audit Worksheet'!$E$107</f>
        <v>#N/A</v>
      </c>
      <c r="F176" s="426" t="e">
        <f>'Unit Data from Audit Worksheet'!$E$107</f>
        <v>#N/A</v>
      </c>
      <c r="G176" s="426" t="e">
        <f>'Unit Data from Audit Worksheet'!$E$107</f>
        <v>#N/A</v>
      </c>
      <c r="H176" s="426" t="e">
        <f>'Unit Data from Audit Worksheet'!$E$107</f>
        <v>#N/A</v>
      </c>
      <c r="I176" s="426" t="e">
        <f>'Unit Data from Audit Worksheet'!$E$107</f>
        <v>#N/A</v>
      </c>
      <c r="J176" s="426" t="e">
        <f>'Unit Data from Audit Worksheet'!$E$107</f>
        <v>#N/A</v>
      </c>
      <c r="K176" s="426"/>
      <c r="L176" s="426"/>
      <c r="M176" s="426"/>
      <c r="N176" s="426"/>
      <c r="O176" s="426"/>
      <c r="P176" s="426"/>
      <c r="Q176" s="426"/>
      <c r="R176" s="426"/>
      <c r="S176" s="426"/>
      <c r="T176" s="426"/>
      <c r="U176" s="426"/>
      <c r="V176" s="426"/>
      <c r="W176" s="426"/>
      <c r="X176" s="426"/>
      <c r="Y176" s="426"/>
      <c r="Z176" s="426"/>
      <c r="AA176" s="426"/>
      <c r="AB176" s="426"/>
      <c r="AC176" s="426"/>
      <c r="AD176" s="426"/>
      <c r="AE176" s="426"/>
      <c r="AF176" s="426"/>
      <c r="AG176" s="426"/>
      <c r="AH176" s="426"/>
      <c r="AI176" s="426"/>
      <c r="AJ176" s="426"/>
      <c r="AK176" s="426"/>
      <c r="AL176" s="426"/>
      <c r="AM176" s="426"/>
      <c r="AN176" s="426"/>
      <c r="AO176" s="426"/>
      <c r="AP176" s="426"/>
      <c r="AQ176" s="426"/>
      <c r="AR176" s="426"/>
      <c r="AS176" s="426"/>
      <c r="AT176" s="426"/>
      <c r="AU176" s="426"/>
      <c r="AV176" s="426"/>
      <c r="AW176" s="426"/>
      <c r="AX176" s="426"/>
      <c r="AY176" s="426"/>
      <c r="AZ176" s="426"/>
      <c r="BA176" s="426"/>
      <c r="BB176" s="426"/>
      <c r="BC176" s="426"/>
      <c r="BD176" s="426"/>
      <c r="BE176" s="426"/>
      <c r="BF176" s="426"/>
      <c r="BG176" s="426"/>
      <c r="BH176" s="426"/>
      <c r="BI176" s="426"/>
      <c r="BJ176" s="426"/>
      <c r="BK176" s="426"/>
      <c r="BL176" s="426"/>
      <c r="BM176" s="426"/>
      <c r="BN176" s="426"/>
      <c r="BO176" s="426"/>
      <c r="BP176" s="426"/>
      <c r="BQ176" s="426"/>
      <c r="BR176" s="426"/>
      <c r="BS176" s="426"/>
      <c r="BT176" s="426"/>
      <c r="BU176" s="426"/>
      <c r="BV176" s="426"/>
      <c r="BW176" s="426"/>
      <c r="BX176" s="426"/>
      <c r="BY176" s="426"/>
      <c r="BZ176" s="426"/>
      <c r="CA176" s="426"/>
      <c r="CB176" s="426"/>
      <c r="CC176" s="426"/>
      <c r="CD176" s="426"/>
      <c r="CE176" s="426"/>
      <c r="CF176" s="426"/>
      <c r="CG176" s="426"/>
      <c r="CH176" s="426"/>
      <c r="CI176" s="426"/>
      <c r="CJ176" s="426"/>
      <c r="CK176" s="426"/>
      <c r="CL176" s="426"/>
      <c r="CM176" s="426"/>
      <c r="CN176" s="426"/>
      <c r="CO176" s="426"/>
      <c r="CP176" s="426"/>
      <c r="CQ176" s="426"/>
      <c r="CR176" s="426"/>
      <c r="CS176" s="426"/>
      <c r="CT176" s="426"/>
      <c r="CU176" s="426"/>
      <c r="CV176" s="426"/>
      <c r="CW176" s="426"/>
      <c r="CX176" s="426"/>
      <c r="CY176" s="426"/>
      <c r="CZ176" s="426"/>
    </row>
    <row r="177" spans="3:104" x14ac:dyDescent="0.3">
      <c r="C177" s="129"/>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c r="AB177" s="426"/>
      <c r="AC177" s="426"/>
      <c r="AD177" s="426"/>
      <c r="AE177" s="426"/>
      <c r="AF177" s="426"/>
      <c r="AG177" s="426"/>
      <c r="AH177" s="426"/>
      <c r="AI177" s="426"/>
      <c r="AJ177" s="426"/>
      <c r="AK177" s="426"/>
      <c r="AL177" s="426"/>
      <c r="AM177" s="426"/>
      <c r="AN177" s="426"/>
      <c r="AO177" s="426"/>
      <c r="AP177" s="426"/>
      <c r="AQ177" s="426"/>
      <c r="AR177" s="426"/>
      <c r="AS177" s="426"/>
      <c r="AT177" s="426"/>
      <c r="AU177" s="426"/>
      <c r="AV177" s="426"/>
      <c r="AW177" s="426"/>
      <c r="AX177" s="426"/>
      <c r="AY177" s="426"/>
      <c r="AZ177" s="426"/>
      <c r="BA177" s="426"/>
      <c r="BB177" s="426"/>
      <c r="BC177" s="426"/>
      <c r="BD177" s="426"/>
      <c r="BE177" s="426"/>
      <c r="BF177" s="426"/>
      <c r="BG177" s="426"/>
      <c r="BH177" s="426"/>
      <c r="BI177" s="426"/>
      <c r="BJ177" s="426"/>
      <c r="BK177" s="426"/>
      <c r="BL177" s="426"/>
      <c r="BM177" s="426"/>
      <c r="BN177" s="426"/>
      <c r="BO177" s="426"/>
      <c r="BP177" s="426"/>
      <c r="BQ177" s="426"/>
      <c r="BR177" s="426"/>
      <c r="BS177" s="426"/>
      <c r="BT177" s="426"/>
      <c r="BU177" s="426"/>
      <c r="BV177" s="426"/>
      <c r="BW177" s="426"/>
      <c r="BX177" s="426"/>
      <c r="BY177" s="426"/>
      <c r="BZ177" s="426"/>
      <c r="CA177" s="426"/>
      <c r="CB177" s="426"/>
      <c r="CC177" s="426"/>
      <c r="CD177" s="426"/>
      <c r="CE177" s="426"/>
      <c r="CF177" s="426"/>
      <c r="CG177" s="426"/>
      <c r="CH177" s="426"/>
      <c r="CI177" s="426"/>
      <c r="CJ177" s="426"/>
      <c r="CK177" s="426"/>
      <c r="CL177" s="426"/>
      <c r="CM177" s="426"/>
      <c r="CN177" s="426"/>
      <c r="CO177" s="426"/>
      <c r="CP177" s="426"/>
      <c r="CQ177" s="426"/>
      <c r="CR177" s="426"/>
      <c r="CS177" s="426"/>
      <c r="CT177" s="426"/>
      <c r="CU177" s="426"/>
      <c r="CV177" s="426"/>
      <c r="CW177" s="426"/>
      <c r="CX177" s="426"/>
      <c r="CY177" s="426"/>
      <c r="CZ177" s="426"/>
    </row>
    <row r="178" spans="3:104" x14ac:dyDescent="0.3">
      <c r="C178" s="129"/>
      <c r="D178" s="426" t="str">
        <f>IF(D179=FALSE,"N/A",D174-D176)</f>
        <v>N/A</v>
      </c>
      <c r="E178" s="426" t="str">
        <f t="shared" ref="E178:J178" si="32">IF(E179=FALSE,"N/A",E174-E176)</f>
        <v>N/A</v>
      </c>
      <c r="F178" s="426" t="str">
        <f t="shared" si="32"/>
        <v>N/A</v>
      </c>
      <c r="G178" s="426" t="str">
        <f t="shared" si="32"/>
        <v>N/A</v>
      </c>
      <c r="H178" s="426" t="str">
        <f t="shared" si="32"/>
        <v>N/A</v>
      </c>
      <c r="I178" s="426" t="str">
        <f t="shared" si="32"/>
        <v>N/A</v>
      </c>
      <c r="J178" s="426" t="str">
        <f t="shared" si="32"/>
        <v>N/A</v>
      </c>
      <c r="K178" s="426"/>
      <c r="L178" s="426"/>
      <c r="M178" s="426"/>
      <c r="N178" s="426"/>
      <c r="O178" s="426"/>
      <c r="P178" s="426"/>
      <c r="Q178" s="426"/>
      <c r="R178" s="426"/>
      <c r="S178" s="426"/>
      <c r="T178" s="426"/>
      <c r="U178" s="426"/>
      <c r="V178" s="426"/>
      <c r="W178" s="426"/>
      <c r="X178" s="426"/>
      <c r="Y178" s="426"/>
      <c r="Z178" s="426"/>
      <c r="AA178" s="426"/>
      <c r="AB178" s="426"/>
      <c r="AC178" s="426"/>
      <c r="AD178" s="426"/>
      <c r="AE178" s="426"/>
      <c r="AF178" s="426"/>
      <c r="AG178" s="426"/>
      <c r="AH178" s="426"/>
      <c r="AI178" s="426"/>
      <c r="AJ178" s="426"/>
      <c r="AK178" s="426"/>
      <c r="AL178" s="426"/>
      <c r="AM178" s="426"/>
      <c r="AN178" s="426"/>
      <c r="AO178" s="426"/>
      <c r="AP178" s="426"/>
      <c r="AQ178" s="426"/>
      <c r="AR178" s="426"/>
      <c r="AS178" s="426"/>
      <c r="AT178" s="426"/>
      <c r="AU178" s="426"/>
      <c r="AV178" s="426"/>
      <c r="AW178" s="426"/>
      <c r="AX178" s="426"/>
      <c r="AY178" s="426"/>
      <c r="AZ178" s="426"/>
      <c r="BA178" s="426"/>
      <c r="BB178" s="426"/>
      <c r="BC178" s="426"/>
      <c r="BD178" s="426"/>
      <c r="BE178" s="426"/>
      <c r="BF178" s="426"/>
      <c r="BG178" s="426"/>
      <c r="BH178" s="426"/>
      <c r="BI178" s="426"/>
      <c r="BJ178" s="426"/>
      <c r="BK178" s="426"/>
      <c r="BL178" s="426"/>
      <c r="BM178" s="426"/>
      <c r="BN178" s="426"/>
      <c r="BO178" s="426"/>
      <c r="BP178" s="426"/>
      <c r="BQ178" s="426"/>
      <c r="BR178" s="426"/>
      <c r="BS178" s="426"/>
      <c r="BT178" s="426"/>
      <c r="BU178" s="426"/>
      <c r="BV178" s="426"/>
      <c r="BW178" s="426"/>
      <c r="BX178" s="426"/>
      <c r="BY178" s="426"/>
      <c r="BZ178" s="426"/>
      <c r="CA178" s="426"/>
      <c r="CB178" s="426"/>
      <c r="CC178" s="426"/>
      <c r="CD178" s="426"/>
      <c r="CE178" s="426"/>
      <c r="CF178" s="426"/>
      <c r="CG178" s="426"/>
      <c r="CH178" s="426"/>
      <c r="CI178" s="426"/>
      <c r="CJ178" s="426"/>
      <c r="CK178" s="426"/>
      <c r="CL178" s="426"/>
      <c r="CM178" s="426"/>
      <c r="CN178" s="426"/>
      <c r="CO178" s="426"/>
      <c r="CP178" s="426"/>
      <c r="CQ178" s="426"/>
      <c r="CR178" s="426"/>
      <c r="CS178" s="426"/>
      <c r="CT178" s="426"/>
      <c r="CU178" s="426"/>
      <c r="CV178" s="426"/>
      <c r="CW178" s="426"/>
      <c r="CX178" s="426"/>
      <c r="CY178" s="426"/>
      <c r="CZ178" s="426"/>
    </row>
    <row r="179" spans="3:104" x14ac:dyDescent="0.3">
      <c r="C179" s="129"/>
      <c r="D179" s="129" t="b">
        <f>'Unit Data from Audit Worksheet'!$D$2='PY1 Data(H)'!D180</f>
        <v>0</v>
      </c>
      <c r="E179" s="129" t="b">
        <f>'Unit Data from Audit Worksheet'!$D$2='PY1 Data(H)'!E180</f>
        <v>0</v>
      </c>
      <c r="F179" s="129" t="b">
        <f>'Unit Data from Audit Worksheet'!$D$2='PY1 Data(H)'!F180</f>
        <v>0</v>
      </c>
      <c r="G179" s="129" t="b">
        <f>'Unit Data from Audit Worksheet'!$D$2='PY1 Data(H)'!G180</f>
        <v>0</v>
      </c>
      <c r="H179" s="129" t="b">
        <f>'Unit Data from Audit Worksheet'!$D$2='PY1 Data(H)'!H180</f>
        <v>0</v>
      </c>
      <c r="I179" s="129" t="b">
        <f>'Unit Data from Audit Worksheet'!$D$2='PY1 Data(H)'!I180</f>
        <v>0</v>
      </c>
      <c r="J179" s="129" t="b">
        <f>'Unit Data from Audit Worksheet'!$D$2='PY1 Data(H)'!J180</f>
        <v>0</v>
      </c>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c r="AI179" s="129"/>
      <c r="AJ179" s="129"/>
      <c r="AK179" s="129"/>
      <c r="AL179" s="129"/>
      <c r="AM179" s="129"/>
    </row>
    <row r="180" spans="3:104" ht="28.8" x14ac:dyDescent="0.3">
      <c r="C180" s="129"/>
      <c r="D180" s="370" t="str">
        <f>D1</f>
        <v>Albemarle Regional Health Services</v>
      </c>
      <c r="E180" s="370" t="str">
        <f t="shared" ref="E180:J180" si="33">E1</f>
        <v>Appalachian District Health</v>
      </c>
      <c r="F180" s="370" t="str">
        <f t="shared" si="33"/>
        <v>Cabarrus Health Alliance</v>
      </c>
      <c r="G180" s="370" t="str">
        <f t="shared" si="33"/>
        <v>Foothills Health District</v>
      </c>
      <c r="H180" s="370" t="str">
        <f t="shared" si="33"/>
        <v>Granville/Vance District Health</v>
      </c>
      <c r="I180" s="370" t="str">
        <f t="shared" si="33"/>
        <v>Martin/Tyrrell/Washington District Health</v>
      </c>
      <c r="J180" s="370" t="str">
        <f t="shared" si="33"/>
        <v>Toe River Health District</v>
      </c>
      <c r="K180" s="370"/>
      <c r="L180" s="370"/>
      <c r="M180" s="370"/>
      <c r="N180" s="370"/>
      <c r="O180" s="370"/>
      <c r="P180" s="370"/>
      <c r="Q180" s="370"/>
      <c r="R180" s="370"/>
      <c r="S180" s="370"/>
      <c r="T180" s="370"/>
      <c r="U180" s="370"/>
      <c r="V180" s="370"/>
      <c r="W180" s="370"/>
      <c r="X180" s="370"/>
      <c r="Y180" s="370"/>
      <c r="Z180" s="370"/>
      <c r="AA180" s="370"/>
      <c r="AB180" s="370"/>
      <c r="AC180" s="370"/>
      <c r="AD180" s="370"/>
      <c r="AE180" s="370"/>
      <c r="AF180" s="370"/>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row>
    <row r="184" spans="3:104" x14ac:dyDescent="0.3">
      <c r="D184" s="426">
        <v>253472239.80000001</v>
      </c>
      <c r="E184" s="426">
        <v>140540056.5</v>
      </c>
      <c r="F184" s="426">
        <v>254748619</v>
      </c>
      <c r="G184" s="426">
        <v>69037706</v>
      </c>
      <c r="H184" s="426">
        <v>89618186</v>
      </c>
      <c r="I184" s="426">
        <v>66376429</v>
      </c>
      <c r="J184" s="426">
        <v>74679908</v>
      </c>
    </row>
    <row r="185" spans="3:104" x14ac:dyDescent="0.3">
      <c r="D185" s="426">
        <f>D123-D184</f>
        <v>0</v>
      </c>
      <c r="E185" s="426">
        <f t="shared" ref="E185:J185" si="34">E123-E184</f>
        <v>0</v>
      </c>
      <c r="F185" s="426">
        <f t="shared" si="34"/>
        <v>0</v>
      </c>
      <c r="G185" s="426">
        <f t="shared" si="34"/>
        <v>0</v>
      </c>
      <c r="H185" s="426">
        <f t="shared" si="34"/>
        <v>0</v>
      </c>
      <c r="I185" s="426">
        <f t="shared" si="34"/>
        <v>0</v>
      </c>
      <c r="J185" s="426">
        <f t="shared" si="34"/>
        <v>0</v>
      </c>
    </row>
  </sheetData>
  <sheetProtection algorithmName="SHA-512" hashValue="HBe+AQhIBoDCF3wLfAiOqNRcuA8IFwX6HgOeywyt96NIBMunDgsRWB2TRW6MCkaZlydY//3qdGHJcvHcQ8LeAw==" saltValue="yjZt3zxX1ue8KqJVfFLme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Instructions</vt:lpstr>
      <vt:lpstr>Unit Data from Audit Worksheet</vt:lpstr>
      <vt:lpstr>2021 Unit Data</vt:lpstr>
      <vt:lpstr>Import</vt:lpstr>
      <vt:lpstr>TD Info Completed by Auditor</vt:lpstr>
      <vt:lpstr>Performance  Indicators Print</vt:lpstr>
      <vt:lpstr>Performance Indicators FBA%</vt:lpstr>
      <vt:lpstr>RSS</vt:lpstr>
      <vt:lpstr>PY1 Data(H)</vt:lpstr>
      <vt:lpstr>Formula for unit data</vt:lpstr>
      <vt:lpstr>PY2 Data(H)</vt:lpstr>
      <vt:lpstr>Unit Names(H)</vt:lpstr>
      <vt:lpstr>Sheet1</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2023-08-29T15:56:33Z</cp:lastPrinted>
  <dcterms:created xsi:type="dcterms:W3CDTF">2011-03-11T21:05:05Z</dcterms:created>
  <dcterms:modified xsi:type="dcterms:W3CDTF">2023-10-18T19:39:14Z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