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6F10D825-0DE1-45B1-B87B-38E8DCB14B4A}"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UAL" sheetId="75" state="hidden" r:id="rId5"/>
    <sheet name="Tax Reval Rate" sheetId="72" state="hidden" r:id="rId6"/>
    <sheet name="Import" sheetId="28"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5"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3">'Performance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3">#REF!</definedName>
    <definedName name="Print_Selection_Internal" localSheetId="7">#REF!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3">#REF!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 r="I77" i="1"/>
  <c r="G13" i="88"/>
  <c r="G30" i="88"/>
  <c r="D29" i="91" l="1"/>
  <c r="D28" i="91"/>
  <c r="D27" i="91"/>
  <c r="E259" i="28" l="1"/>
  <c r="C259" i="28"/>
  <c r="A259" i="28"/>
  <c r="L30" i="88"/>
  <c r="M30" i="88"/>
  <c r="N30" i="88" s="1"/>
  <c r="D31" i="91" s="1"/>
  <c r="D18" i="91"/>
  <c r="D13" i="91"/>
  <c r="D23" i="91"/>
  <c r="D22" i="91"/>
  <c r="E219" i="28"/>
  <c r="E231" i="28"/>
  <c r="BS280" i="82"/>
  <c r="BT280" i="82"/>
  <c r="BU280" i="82"/>
  <c r="BV280" i="82"/>
  <c r="BW280" i="82"/>
  <c r="BX280" i="82"/>
  <c r="BY280" i="82"/>
  <c r="BZ280" i="82"/>
  <c r="CA280" i="82"/>
  <c r="CB280" i="82"/>
  <c r="CC280" i="82"/>
  <c r="CD280" i="82"/>
  <c r="CE280" i="82"/>
  <c r="CF280" i="82"/>
  <c r="CG280" i="82"/>
  <c r="CH280" i="82"/>
  <c r="CI280" i="82"/>
  <c r="CJ280" i="82"/>
  <c r="CK280" i="82"/>
  <c r="D276" i="82"/>
  <c r="BS276" i="82"/>
  <c r="BT276" i="82"/>
  <c r="BU276" i="82"/>
  <c r="BV276" i="82"/>
  <c r="BW276" i="82"/>
  <c r="BX276" i="82"/>
  <c r="BY276" i="82"/>
  <c r="BZ276" i="82"/>
  <c r="CA276" i="82"/>
  <c r="CB276" i="82"/>
  <c r="CC276" i="82"/>
  <c r="CD276" i="82"/>
  <c r="CE276" i="82"/>
  <c r="CF276" i="82"/>
  <c r="CG276" i="82"/>
  <c r="CH276" i="82"/>
  <c r="CI276" i="82"/>
  <c r="CJ276" i="82"/>
  <c r="CK276" i="82"/>
  <c r="BS277" i="82"/>
  <c r="BT277" i="82"/>
  <c r="BU277" i="82"/>
  <c r="BV277" i="82"/>
  <c r="BW277" i="82"/>
  <c r="BX277" i="82"/>
  <c r="BY277" i="82"/>
  <c r="BZ277" i="82"/>
  <c r="CA277" i="82"/>
  <c r="CB277" i="82"/>
  <c r="CC277" i="82"/>
  <c r="CD277" i="82"/>
  <c r="CE277" i="82"/>
  <c r="CF277" i="82"/>
  <c r="CG277" i="82"/>
  <c r="CH277" i="82"/>
  <c r="CI277" i="82"/>
  <c r="CJ277" i="82"/>
  <c r="CK277" i="82"/>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CA285" i="82"/>
  <c r="CB285" i="82"/>
  <c r="CC285" i="82"/>
  <c r="CD285" i="82"/>
  <c r="CE285" i="82"/>
  <c r="CF285" i="82"/>
  <c r="CG285" i="82"/>
  <c r="CH285" i="82"/>
  <c r="CI285" i="82"/>
  <c r="CJ285" i="82"/>
  <c r="CK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CA286" i="82"/>
  <c r="CB286" i="82"/>
  <c r="CC286" i="82"/>
  <c r="CD286" i="82"/>
  <c r="CE286" i="82"/>
  <c r="CF286" i="82"/>
  <c r="CG286" i="82"/>
  <c r="CH286" i="82"/>
  <c r="CI286" i="82"/>
  <c r="CJ286" i="82"/>
  <c r="CK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CA287" i="82"/>
  <c r="CB287" i="82"/>
  <c r="CC287" i="82"/>
  <c r="CD287" i="82"/>
  <c r="CE287" i="82"/>
  <c r="CF287" i="82"/>
  <c r="CG287" i="82"/>
  <c r="CH287" i="82"/>
  <c r="CI287" i="82"/>
  <c r="CJ287" i="82"/>
  <c r="CK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CA288" i="82"/>
  <c r="CB288" i="82"/>
  <c r="CC288" i="82"/>
  <c r="CD288" i="82"/>
  <c r="CE288" i="82"/>
  <c r="CF288" i="82"/>
  <c r="CG288" i="82"/>
  <c r="CH288" i="82"/>
  <c r="CI288" i="82"/>
  <c r="CJ288" i="82"/>
  <c r="CK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CA289" i="82"/>
  <c r="CB289" i="82"/>
  <c r="CC289" i="82"/>
  <c r="CD289" i="82"/>
  <c r="CE289" i="82"/>
  <c r="CF289" i="82"/>
  <c r="CG289" i="82"/>
  <c r="CH289" i="82"/>
  <c r="CI289" i="82"/>
  <c r="CJ289" i="82"/>
  <c r="CK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CA290" i="82"/>
  <c r="CB290" i="82"/>
  <c r="CC290" i="82"/>
  <c r="CD290" i="82"/>
  <c r="CE290" i="82"/>
  <c r="CF290" i="82"/>
  <c r="CG290" i="82"/>
  <c r="CH290" i="82"/>
  <c r="CI290" i="82"/>
  <c r="CJ290" i="82"/>
  <c r="CK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CA291" i="82"/>
  <c r="CB291" i="82"/>
  <c r="CC291" i="82"/>
  <c r="CD291" i="82"/>
  <c r="CE291" i="82"/>
  <c r="CF291" i="82"/>
  <c r="CG291" i="82"/>
  <c r="CH291" i="82"/>
  <c r="CI291" i="82"/>
  <c r="CJ291" i="82"/>
  <c r="CK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CA292" i="82"/>
  <c r="CB292" i="82"/>
  <c r="CC292" i="82"/>
  <c r="CD292" i="82"/>
  <c r="CE292" i="82"/>
  <c r="CF292" i="82"/>
  <c r="CG292" i="82"/>
  <c r="CH292" i="82"/>
  <c r="CI292" i="82"/>
  <c r="CJ292" i="82"/>
  <c r="CK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CA293" i="82"/>
  <c r="CB293" i="82"/>
  <c r="CC293" i="82"/>
  <c r="CD293" i="82"/>
  <c r="CE293" i="82"/>
  <c r="CF293" i="82"/>
  <c r="CG293" i="82"/>
  <c r="CH293" i="82"/>
  <c r="CI293" i="82"/>
  <c r="CJ293" i="82"/>
  <c r="CK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CA294" i="82"/>
  <c r="CB294" i="82"/>
  <c r="CC294" i="82"/>
  <c r="CD294" i="82"/>
  <c r="CE294" i="82"/>
  <c r="CF294" i="82"/>
  <c r="CG294" i="82"/>
  <c r="CH294" i="82"/>
  <c r="CI294" i="82"/>
  <c r="CJ294" i="82"/>
  <c r="CK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CA295" i="82"/>
  <c r="CB295" i="82"/>
  <c r="CC295" i="82"/>
  <c r="CD295" i="82"/>
  <c r="CE295" i="82"/>
  <c r="CF295" i="82"/>
  <c r="CG295" i="82"/>
  <c r="CH295" i="82"/>
  <c r="CI295" i="82"/>
  <c r="CJ295" i="82"/>
  <c r="CK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CA296" i="82"/>
  <c r="CB296" i="82"/>
  <c r="CC296" i="82"/>
  <c r="CD296" i="82"/>
  <c r="CE296" i="82"/>
  <c r="CF296" i="82"/>
  <c r="CG296" i="82"/>
  <c r="CH296" i="82"/>
  <c r="CI296" i="82"/>
  <c r="CJ296" i="82"/>
  <c r="CK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CA297" i="82"/>
  <c r="CB297" i="82"/>
  <c r="CC297" i="82"/>
  <c r="CD297" i="82"/>
  <c r="CE297" i="82"/>
  <c r="CF297" i="82"/>
  <c r="CG297" i="82"/>
  <c r="CH297" i="82"/>
  <c r="CI297" i="82"/>
  <c r="CJ297" i="82"/>
  <c r="CK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CA298" i="82"/>
  <c r="CB298" i="82"/>
  <c r="CC298" i="82"/>
  <c r="CD298" i="82"/>
  <c r="CE298" i="82"/>
  <c r="CF298" i="82"/>
  <c r="CG298" i="82"/>
  <c r="CH298" i="82"/>
  <c r="CI298" i="82"/>
  <c r="CJ298" i="82"/>
  <c r="CK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CA299" i="82"/>
  <c r="CB299" i="82"/>
  <c r="CC299" i="82"/>
  <c r="CD299" i="82"/>
  <c r="CE299" i="82"/>
  <c r="CF299" i="82"/>
  <c r="CG299" i="82"/>
  <c r="CH299" i="82"/>
  <c r="CI299" i="82"/>
  <c r="CJ299" i="82"/>
  <c r="CK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CA300" i="82"/>
  <c r="CB300" i="82"/>
  <c r="CC300" i="82"/>
  <c r="CD300" i="82"/>
  <c r="CE300" i="82"/>
  <c r="CF300" i="82"/>
  <c r="CG300" i="82"/>
  <c r="CH300" i="82"/>
  <c r="CI300" i="82"/>
  <c r="CJ300" i="82"/>
  <c r="CK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CA301" i="82"/>
  <c r="CB301" i="82"/>
  <c r="CC301" i="82"/>
  <c r="CD301" i="82"/>
  <c r="CE301" i="82"/>
  <c r="CF301" i="82"/>
  <c r="CG301" i="82"/>
  <c r="CH301" i="82"/>
  <c r="CI301" i="82"/>
  <c r="CJ301" i="82"/>
  <c r="CK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CA302" i="82"/>
  <c r="CB302" i="82"/>
  <c r="CC302" i="82"/>
  <c r="CD302" i="82"/>
  <c r="CE302" i="82"/>
  <c r="CF302" i="82"/>
  <c r="CG302" i="82"/>
  <c r="CH302" i="82"/>
  <c r="CI302" i="82"/>
  <c r="CJ302" i="82"/>
  <c r="CK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CA303" i="82"/>
  <c r="CB303" i="82"/>
  <c r="CC303" i="82"/>
  <c r="CD303" i="82"/>
  <c r="CE303" i="82"/>
  <c r="CF303" i="82"/>
  <c r="CG303" i="82"/>
  <c r="CH303" i="82"/>
  <c r="CI303" i="82"/>
  <c r="CJ303" i="82"/>
  <c r="CK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CA304" i="82"/>
  <c r="CB304" i="82"/>
  <c r="CC304" i="82"/>
  <c r="CD304" i="82"/>
  <c r="CE304" i="82"/>
  <c r="CF304" i="82"/>
  <c r="CG304" i="82"/>
  <c r="CH304" i="82"/>
  <c r="CI304" i="82"/>
  <c r="CJ304" i="82"/>
  <c r="CK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CA305" i="82"/>
  <c r="CB305" i="82"/>
  <c r="CC305" i="82"/>
  <c r="CD305" i="82"/>
  <c r="CE305" i="82"/>
  <c r="CF305" i="82"/>
  <c r="CG305" i="82"/>
  <c r="CH305" i="82"/>
  <c r="CI305" i="82"/>
  <c r="CJ305" i="82"/>
  <c r="CK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CA306" i="82"/>
  <c r="CB306" i="82"/>
  <c r="CC306" i="82"/>
  <c r="CD306" i="82"/>
  <c r="CE306" i="82"/>
  <c r="CF306" i="82"/>
  <c r="CG306" i="82"/>
  <c r="CH306" i="82"/>
  <c r="CI306" i="82"/>
  <c r="CJ306" i="82"/>
  <c r="CK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CA307" i="82"/>
  <c r="CB307" i="82"/>
  <c r="CC307" i="82"/>
  <c r="CD307" i="82"/>
  <c r="CE307" i="82"/>
  <c r="CF307" i="82"/>
  <c r="CG307" i="82"/>
  <c r="CH307" i="82"/>
  <c r="CI307" i="82"/>
  <c r="CJ307" i="82"/>
  <c r="CK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308" i="82"/>
  <c r="CB308" i="82"/>
  <c r="CC308" i="82"/>
  <c r="CD308" i="82"/>
  <c r="CE308" i="82"/>
  <c r="CF308" i="82"/>
  <c r="CG308" i="82"/>
  <c r="CH308" i="82"/>
  <c r="CI308" i="82"/>
  <c r="CJ308" i="82"/>
  <c r="CK308" i="82"/>
  <c r="BS309" i="84"/>
  <c r="BT309" i="84"/>
  <c r="BU309" i="84"/>
  <c r="BV309" i="84"/>
  <c r="BW309" i="84"/>
  <c r="BX309" i="84"/>
  <c r="BY309" i="84"/>
  <c r="BZ309" i="84"/>
  <c r="CA309" i="84"/>
  <c r="CB309" i="84"/>
  <c r="CC309" i="84"/>
  <c r="CD309" i="84"/>
  <c r="CE309" i="84"/>
  <c r="CF309" i="84"/>
  <c r="CG309" i="84"/>
  <c r="CH309" i="84"/>
  <c r="CI309" i="84"/>
  <c r="CJ309" i="84"/>
  <c r="CK309" i="84"/>
  <c r="BS310" i="84"/>
  <c r="BT310" i="84"/>
  <c r="BU310" i="84"/>
  <c r="BV310" i="84"/>
  <c r="BW310" i="84"/>
  <c r="BX310" i="84"/>
  <c r="BY310" i="84"/>
  <c r="BZ310" i="84"/>
  <c r="CA310" i="84"/>
  <c r="CB310" i="84"/>
  <c r="CC310" i="84"/>
  <c r="CD310" i="84"/>
  <c r="CE310" i="84"/>
  <c r="CF310" i="84"/>
  <c r="CG310" i="84"/>
  <c r="CH310" i="84"/>
  <c r="CI310" i="84"/>
  <c r="CJ310" i="84"/>
  <c r="CK310" i="84"/>
  <c r="L259" i="28" l="1"/>
  <c r="E30" i="88"/>
  <c r="L219" i="28"/>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6" i="91"/>
  <c r="D25" i="91"/>
  <c r="D19" i="91"/>
  <c r="D15" i="91" l="1"/>
  <c r="D16" i="91"/>
  <c r="D14" i="91"/>
  <c r="E146" i="28" l="1"/>
  <c r="E147" i="28"/>
  <c r="M13" i="88"/>
  <c r="D33" i="91" l="1"/>
  <c r="D24"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BK329" i="82" s="1"/>
  <c r="BK335" i="82" s="1"/>
  <c r="CP327" i="82"/>
  <c r="CP329" i="82" s="1"/>
  <c r="BB327" i="82"/>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BA329" i="82"/>
  <c r="BA335" i="82" s="1"/>
  <c r="CW329" i="82"/>
  <c r="CW335" i="82" s="1"/>
  <c r="AS329" i="82"/>
  <c r="AS335" i="82" s="1"/>
  <c r="AK329" i="82"/>
  <c r="AK335" i="82" s="1"/>
  <c r="CS329" i="82"/>
  <c r="CS335" i="82" s="1"/>
  <c r="E327" i="82"/>
  <c r="E329" i="82" s="1"/>
  <c r="E335" i="82" s="1"/>
  <c r="BB329" i="82"/>
  <c r="BB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E218"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144" i="28" s="1"/>
  <c r="L218" i="28"/>
  <c r="E39" i="88" s="1"/>
  <c r="L217" i="28"/>
  <c r="L216" i="28"/>
  <c r="E36" i="88" s="1"/>
  <c r="AA216" i="28"/>
  <c r="AA217" i="28"/>
  <c r="AA218" i="28"/>
  <c r="L227" i="28"/>
  <c r="E42" i="88" s="1"/>
  <c r="L215" i="28"/>
  <c r="L214" i="28"/>
  <c r="AA214" i="28"/>
  <c r="AA215" i="28"/>
  <c r="E133" i="28"/>
  <c r="L133" i="28" s="1"/>
  <c r="A133" i="28"/>
  <c r="AA133" i="28" s="1"/>
  <c r="B133" i="28"/>
  <c r="C133"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E18" i="88" s="1"/>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M11" i="88" l="1"/>
  <c r="M18" i="88"/>
  <c r="Q16" i="88"/>
  <c r="M25" i="88"/>
  <c r="L18" i="88"/>
  <c r="P16" i="88"/>
  <c r="L16" i="88" s="1"/>
  <c r="L25" i="88"/>
  <c r="M16" i="88"/>
  <c r="Q25" i="88"/>
  <c r="M24" i="88"/>
  <c r="P25" i="88"/>
  <c r="L24" i="88"/>
  <c r="M15" i="88"/>
  <c r="M28" i="88"/>
  <c r="M21" i="88"/>
  <c r="D21" i="88" s="1"/>
  <c r="L15" i="88"/>
  <c r="M27" i="88"/>
  <c r="L21" i="88"/>
  <c r="C21" i="88" s="1"/>
  <c r="L11" i="88"/>
  <c r="M19" i="88"/>
  <c r="L28" i="88"/>
  <c r="L27" i="88"/>
  <c r="L19"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<sst xmlns="http://schemas.openxmlformats.org/spreadsheetml/2006/main" count="7063" uniqueCount="2811">
  <si>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</si>
  <si>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</si>
  <si>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</si>
  <si>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</si>
  <si>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</si>
  <si>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</si>
  <si>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</si>
  <si>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</si>
  <si>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</si>
  <si>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</si>
  <si>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</si>
  <si>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</si>
  <si>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</si>
  <si>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</si>
  <si>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</si>
  <si>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</si>
  <si>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</si>
  <si>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</si>
  <si>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</si>
  <si>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</si>
  <si>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</si>
  <si>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</si>
  <si>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</si>
  <si>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</si>
  <si>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</si>
  <si>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</si>
  <si>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</si>
  <si>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</si>
  <si>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</si>
  <si>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</si>
  <si>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</si>
  <si>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</si>
  <si>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</si>
  <si>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</si>
  <si>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</si>
  <si>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</si>
  <si>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</si>
  <si>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</si>
  <si>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</si>
  <si>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</si>
  <si>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</si>
  <si>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</si>
  <si>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</si>
  <si>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</si>
  <si>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</si>
  <si>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</si>
  <si>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</si>
  <si>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</si>
  <si>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</si>
  <si>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</si>
  <si>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</si>
  <si>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</si>
  <si>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</si>
  <si>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</si>
  <si>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</si>
  <si>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</si>
  <si>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</si>
  <si>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</si>
  <si>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</si>
  <si>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</si>
  <si>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</si>
  <si>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</si>
  <si>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</si>
  <si>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</si>
  <si>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</si>
  <si>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</si>
  <si>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</si>
  <si>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</si>
  <si>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</si>
  <si>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</si>
  <si>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</si>
  <si>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</si>
  <si>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</si>
  <si>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</si>
  <si>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</si>
  <si>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</si>
  <si>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</si>
  <si>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</si>
  <si>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</si>
  <si>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</si>
  <si>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</si>
  <si>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</si>
  <si>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</si>
  <si>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</si>
  <si>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</si>
  <si>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</si>
  <si>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</si>
  <si>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</si>
  <si>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</si>
  <si>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</si>
  <si>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</si>
  <si>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</si>
  <si>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</si>
  <si>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</si>
  <si>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</si>
  <si>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</si>
  <si>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</si>
  <si>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</si>
  <si>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</si>
  <si>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</si>
  <si>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</si>
  <si>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</si>
  <si>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</si>
  <si>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</si>
  <si>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</si>
  <si>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</si>
  <si>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</si>
  <si>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</si>
  <si>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</si>
  <si>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</si>
  <si>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</si>
  <si>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</si>
  <si>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</si>
  <si>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</si>
  <si>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</si>
  <si>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</si>
  <si>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</si>
  <si>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</si>
  <si>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</si>
  <si>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</si>
  <si>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</si>
  <si>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</si>
  <si>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</si>
  <si>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</si>
  <si>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</si>
  <si>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</si>
  <si>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</si>
  <si>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</si>
  <si>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</si>
  <si>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</si>
  <si>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</si>
  <si>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</si>
  <si>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</si>
  <si>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</si>
  <si>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</si>
  <si>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</si>
  <si>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</si>
  <si>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</si>
  <si>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</si>
  <si>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</si>
  <si>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</si>
  <si>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</si>
  <si>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</si>
  <si>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</si>
  <si>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</si>
  <si>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</si>
  <si>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</si>
  <si>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</si>
  <si>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</si>
  <si>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</si>
  <si>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</si>
  <si>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</si>
  <si>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</si>
  <si>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</si>
  <si>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</si>
  <si>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</si>
  <si>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</si>
  <si>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</si>
  <si>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</si>
  <si>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</si>
  <si>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</si>
  <si>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</si>
  <si>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</si>
  <si>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</si>
  <si>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</si>
  <si>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</si>
  <si>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</si>
  <si>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</si>
  <si>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</si>
  <si>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</si>
  <si>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</si>
  <si>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</si>
  <si>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</si>
  <si>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</si>
  <si>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</si>
  <si>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</si>
  <si>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</si>
  <si>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</si>
  <si>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</si>
  <si>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</si>
  <si>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</si>
  <si>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</si>
  <si>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</si>
  <si>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</si>
  <si>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</si>
  <si>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</si>
  <si>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</si>
  <si>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</si>
  <si>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</si>
  <si>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</si>
  <si>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</si>
  <si>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</si>
  <si>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</si>
  <si>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</si>
  <si>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</si>
  <si>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</si>
  <si>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</si>
  <si>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</si>
  <si>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</si>
  <si>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</si>
  <si>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</si>
  <si>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</si>
  <si>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</si>
  <si>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</si>
  <si>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</si>
  <si>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</si>
  <si>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</si>
  <si>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</si>
  <si>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</si>
  <si>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</si>
  <si>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</si>
  <si>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</si>
  <si>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</si>
  <si>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</si>
  <si>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</si>
  <si>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</si>
  <si>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</si>
  <si>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</si>
  <si>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</si>
  <si>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</si>
  <si>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</si>
  <si>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</si>
  <si>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</si>
  <si>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</si>
  <si>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</si>
  <si>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</si>
  <si>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</si>
  <si>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</si>
  <si>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</si>
  <si>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</si>
  <si>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</si>
  <si>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</si>
  <si>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</si>
  <si>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</si>
  <si>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</si>
  <si>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</si>
  <si>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</si>
  <si>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</si>
  <si>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</si>
  <si>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</si>
  <si>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</si>
  <si>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</si>
  <si>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</si>
  <si>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</si>
  <si>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</si>
  <si>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</si>
  <si>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</si>
  <si>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</si>
  <si>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</si>
  <si>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</si>
  <si>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</si>
  <si>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</si>
  <si>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</si>
  <si>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</si>
  <si>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</si>
  <si>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</si>
  <si>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</si>
  <si>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</si>
  <si>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</si>
  <si>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</si>
  <si>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</si>
  <si>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</si>
  <si>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</si>
  <si>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</si>
  <si>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</si>
  <si>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</si>
  <si>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</si>
  <si>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</si>
  <si>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</si>
  <si>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</si>
  <si>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</si>
  <si>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</si>
  <si>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</si>
  <si>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</si>
  <si>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</si>
  <si>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</si>
  <si>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</si>
  <si>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</si>
  <si>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</si>
  <si>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</si>
  <si>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</si>
  <si>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</si>
  <si>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</si>
  <si>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</si>
  <si>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</si>
  <si>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</si>
  <si>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</si>
  <si>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</si>
  <si>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</si>
  <si>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</si>
  <si>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</si>
  <si>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</si>
  <si>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</si>
  <si>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</si>
  <si>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</si>
  <si>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</si>
  <si>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</si>
  <si>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</si>
  <si>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</si>
  <si>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</si>
  <si>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</si>
  <si>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</si>
  <si>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</si>
  <si>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</si>
  <si>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</si>
  <si>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</si>
  <si>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</si>
  <si>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</si>
  <si>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</si>
  <si>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</si>
  <si>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</si>
  <si>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</si>
  <si>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</si>
  <si>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</si>
  <si>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</si>
  <si>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</si>
  <si>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</si>
  <si>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</si>
  <si>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</si>
  <si>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</si>
  <si>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</si>
  <si>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</si>
  <si>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</si>
  <si>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</si>
  <si>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</si>
  <si>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</si>
  <si>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</si>
  <si>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</si>
  <si>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</si>
  <si>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</si>
  <si>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</si>
  <si>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</si>
  <si>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</si>
  <si>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</si>
  <si>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</si>
  <si>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</si>
  <si>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</si>
  <si>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</si>
  <si>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</si>
  <si>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</si>
  <si>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</si>
  <si>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</si>
  <si>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</si>
  <si>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</si>
  <si>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</si>
  <si>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</si>
  <si>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</si>
  <si>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</si>
  <si>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</si>
  <si>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</si>
  <si>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</si>
  <si>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</si>
  <si>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</si>
  <si>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</si>
  <si>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</si>
  <si>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</si>
  <si>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</si>
  <si>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</si>
  <si>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</si>
  <si>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</si>
  <si>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</si>
  <si>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</si>
  <si>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</si>
  <si>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</si>
  <si>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</si>
  <si>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</si>
  <si>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</si>
  <si>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</si>
  <si>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</si>
  <si>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</si>
  <si>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</si>
  <si>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</si>
  <si>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</si>
  <si>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</si>
  <si>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</si>
  <si>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</si>
  <si>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</si>
  <si>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</si>
  <si>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</si>
  <si>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</si>
  <si>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</si>
  <si>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</si>
  <si>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</si>
  <si>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</si>
  <si>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</si>
  <si>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</si>
  <si>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</si>
  <si>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</si>
  <si>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</si>
  <si>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</si>
  <si>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</si>
  <si>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</si>
  <si>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</si>
  <si>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</si>
  <si>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</si>
  <si>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</si>
  <si>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</si>
  <si>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</si>
  <si>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</si>
  <si>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</si>
  <si>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</si>
  <si>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</si>
  <si>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</si>
  <si>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</si>
  <si>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</si>
  <si>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</si>
  <si>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</si>
  <si>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</si>
  <si>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</si>
  <si>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</si>
  <si>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</si>
  <si>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</si>
  <si>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</si>
  <si>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</si>
  <si>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</si>
  <si>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</si>
  <si>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</si>
  <si>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</si>
  <si>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</si>
  <si>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</si>
  <si>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</si>
  <si>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</si>
  <si>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</si>
  <si>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</si>
  <si>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</si>
  <si>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</si>
  <si>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</si>
  <si>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</si>
  <si>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</si>
  <si>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</si>
  <si>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</si>
  <si>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</si>
  <si>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</si>
  <si>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</si>
  <si>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</si>
  <si>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</si>
  <si>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</si>
  <si>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</si>
  <si>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</si>
  <si>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</si>
  <si>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</si>
  <si>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</si>
  <si>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</si>
  <si>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</si>
  <si>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</si>
  <si>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</si>
  <si>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</si>
  <si>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</si>
  <si>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</si>
  <si>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</si>
  <si>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</si>
  <si>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</si>
  <si>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</si>
  <si>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</si>
  <si>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</si>
  <si>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</si>
  <si>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</si>
  <si>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</si>
  <si>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</si>
  <si>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</si>
  <si>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</si>
  <si>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</si>
  <si>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</si>
  <si>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</si>
  <si>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</si>
  <si>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</si>
  <si>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</si>
  <si>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</si>
  <si>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</si>
  <si>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</si>
  <si>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</si>
  <si>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</si>
  <si>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</si>
  <si>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</si>
  <si>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</si>
  <si>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</si>
  <si>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</si>
  <si>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</si>
  <si>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</si>
  <si>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</si>
  <si>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</si>
  <si>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</si>
  <si>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</si>
  <si>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</si>
  <si>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</si>
  <si>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</si>
  <si>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</si>
  <si>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</si>
  <si>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</si>
  <si>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</si>
  <si>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</si>
  <si>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</si>
  <si>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</si>
  <si>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</si>
  <si>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</si>
  <si>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</si>
  <si>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</si>
  <si>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</si>
  <si>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</si>
  <si>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</si>
  <si>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</si>
  <si>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</si>
  <si>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</si>
  <si>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</si>
  <si>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</si>
  <si>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</si>
  <si>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</si>
  <si>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</si>
  <si>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</si>
  <si>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</si>
  <si>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</si>
  <si>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</si>
  <si>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</si>
  <si>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</si>
  <si>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</si>
  <si>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</si>
  <si>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</si>
  <si>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</si>
  <si>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</si>
  <si>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</si>
  <si>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</si>
  <si>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</si>
  <si>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</si>
  <si>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</si>
  <si>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</si>
  <si>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</si>
  <si>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</si>
  <si>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</si>
  <si>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</si>
  <si>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</si>
  <si>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</si>
  <si>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</si>
  <si>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</si>
  <si>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</si>
  <si>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</si>
  <si>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</si>
  <si>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</si>
  <si>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</si>
  <si>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</si>
  <si>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</si>
  <si>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</si>
  <si>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</si>
  <si>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</si>
  <si>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</si>
  <si>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</si>
  <si>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</si>
  <si>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</si>
  <si>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</si>
  <si>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</si>
  <si>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</si>
  <si>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</si>
  <si>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</si>
  <si>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</si>
  <si>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</si>
  <si>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</si>
  <si>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</si>
  <si>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</si>
  <si>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</si>
  <si>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</si>
  <si>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</si>
  <si>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</si>
  <si>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</si>
  <si>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</si>
  <si>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</si>
  <si>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</si>
  <si>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</si>
  <si>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</si>
  <si>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</si>
  <si>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</si>
  <si>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</si>
  <si>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</si>
  <si>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</si>
  <si>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</si>
  <si>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</si>
  <si>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</si>
  <si>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</si>
  <si>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</si>
  <si>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</si>
  <si>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</si>
  <si>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</si>
  <si>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</si>
  <si>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</si>
  <si>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</si>
  <si>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</si>
  <si>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</si>
  <si>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</si>
  <si>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</si>
  <si>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</si>
  <si>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</si>
  <si>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</si>
  <si>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</si>
  <si>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</si>
  <si>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</si>
  <si>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</si>
  <si>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</si>
  <si>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</si>
  <si>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</si>
  <si>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</si>
  <si>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</si>
  <si>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</si>
  <si>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</si>
  <si>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</si>
  <si>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</si>
  <si>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</si>
  <si>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</si>
  <si>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</si>
  <si>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</si>
  <si>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</si>
  <si>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</si>
  <si>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</si>
  <si>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</si>
  <si>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</si>
  <si>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</si>
  <si>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</si>
  <si>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</si>
  <si>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</si>
  <si>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</si>
  <si>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</si>
  <si>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</si>
  <si>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</si>
  <si>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</si>
  <si>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</si>
  <si>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</si>
  <si>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</si>
  <si>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</si>
  <si>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</si>
  <si>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</si>
  <si>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</si>
  <si>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</si>
  <si>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</si>
  <si>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</si>
  <si>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</si>
  <si>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</si>
  <si>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</si>
  <si>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</si>
  <si>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</si>
  <si>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</si>
  <si>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</si>
  <si>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</si>
  <si>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</si>
  <si>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</si>
  <si>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</si>
  <si>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</si>
  <si>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</si>
  <si>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</si>
  <si>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</si>
  <si>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</si>
  <si>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</si>
  <si>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</si>
  <si>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</si>
  <si>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</si>
  <si>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</si>
  <si>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</si>
  <si>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</si>
  <si>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</si>
  <si>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</si>
  <si>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</si>
  <si>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</si>
  <si>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</si>
  <si>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</si>
  <si>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</si>
  <si>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</si>
  <si>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</si>
  <si>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</si>
  <si>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</si>
  <si>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</si>
  <si>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</si>
  <si>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</si>
  <si>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</si>
  <si>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</si>
  <si>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</si>
  <si>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</si>
  <si>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</si>
  <si>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</si>
  <si>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</si>
  <si>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</si>
  <si>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</si>
  <si>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</si>
  <si>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</si>
  <si>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</si>
  <si>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</si>
  <si>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</si>
  <si>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</si>
  <si>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</si>
  <si>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</si>
  <si>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</si>
  <si>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</si>
  <si>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</si>
  <si>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</si>
  <si>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</si>
  <si>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</si>
  <si>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</si>
  <si>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</si>
  <si>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</si>
  <si>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</si>
  <si>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</si>
  <si>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</si>
  <si>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</si>
  <si>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</si>
  <si>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</si>
  <si>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</si>
  <si>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</si>
  <si>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</si>
  <si>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</si>
  <si>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</si>
  <si>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</si>
  <si>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</si>
  <si>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</si>
  <si>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</si>
  <si>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</si>
  <si>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</si>
  <si>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</si>
  <si>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</si>
  <si>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</si>
  <si>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</si>
  <si>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</si>
  <si>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</si>
  <si>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</si>
  <si>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</si>
  <si>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</si>
  <si>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</si>
  <si>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</si>
  <si>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</si>
  <si>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</si>
  <si>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</si>
  <si>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</si>
  <si>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</si>
  <si>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</si>
  <si>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</si>
  <si>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</si>
  <si>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</si>
  <si>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</si>
  <si>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</si>
  <si>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</si>
  <si>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</si>
  <si>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</si>
  <si>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</si>
  <si>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</si>
  <si>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</si>
  <si>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</si>
  <si>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</si>
  <si>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</si>
  <si>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</si>
  <si>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</si>
  <si>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</si>
  <si>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</si>
  <si>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</si>
  <si>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</si>
  <si>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</si>
  <si>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</si>
  <si>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</si>
  <si>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</si>
  <si>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</si>
  <si>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</si>
  <si>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</si>
  <si>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</si>
  <si>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</si>
  <si>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</si>
  <si>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</si>
  <si>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</si>
  <si>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</si>
  <si>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</si>
  <si>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</si>
  <si>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</si>
  <si>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</si>
  <si>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</si>
  <si>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</si>
  <si>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</si>
  <si>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</si>
  <si>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</si>
  <si>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</si>
  <si>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</si>
  <si>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</si>
  <si>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</si>
  <si>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</si>
  <si>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</si>
  <si>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</si>
  <si>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</si>
  <si>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</si>
  <si>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</si>
  <si>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</si>
  <si>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</si>
  <si>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</si>
  <si>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</si>
  <si>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</si>
  <si>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</si>
  <si>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</si>
  <si>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</si>
  <si>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</si>
  <si>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</si>
  <si>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</si>
  <si>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</si>
  <si>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</si>
  <si>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</si>
  <si>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</si>
  <si>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</si>
  <si>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</si>
  <si>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</si>
  <si>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</si>
  <si>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</si>
  <si>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</si>
  <si>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</si>
  <si>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</si>
  <si>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</si>
  <si>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</si>
  <si>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</si>
  <si>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</si>
  <si>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</si>
  <si>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</si>
  <si>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</si>
  <si>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</si>
  <si>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</si>
  <si>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</si>
  <si>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</si>
  <si>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</si>
  <si>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</si>
  <si>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</si>
  <si>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</si>
  <si>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</si>
  <si>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</si>
  <si>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</si>
  <si>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</si>
  <si>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</si>
  <si>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</si>
  <si>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</si>
  <si>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</si>
  <si>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</si>
  <si>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</si>
  <si>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</si>
  <si>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</si>
  <si>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</si>
  <si>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</si>
  <si>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</si>
  <si>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</si>
  <si>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</si>
  <si>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</si>
  <si>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</si>
  <si>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</si>
  <si>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</si>
  <si>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</si>
  <si>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</si>
  <si>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</si>
  <si>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</si>
  <si>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</si>
  <si>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</si>
  <si>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</si>
  <si>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</si>
  <si>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</si>
  <si>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</si>
  <si>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</si>
  <si>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</si>
  <si>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</si>
  <si>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</si>
  <si>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</si>
  <si>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</si>
  <si>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</si>
  <si>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</si>
  <si>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</si>
  <si>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</si>
  <si>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</si>
  <si>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</si>
  <si>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</si>
  <si>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</si>
  <si>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</si>
  <si>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</si>
  <si>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</si>
  <si>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</si>
  <si>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</si>
  <si>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</si>
  <si>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</si>
  <si>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</si>
  <si>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</si>
  <si>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</si>
  <si>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</si>
  <si>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</si>
  <si>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</si>
  <si>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</si>
  <si>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</si>
  <si>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</si>
  <si>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</si>
  <si>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</si>
  <si>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</si>
  <si>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</si>
  <si>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</si>
  <si>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</si>
  <si>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</si>
  <si>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</si>
  <si>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</si>
  <si>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</si>
  <si>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</si>
  <si>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</si>
  <si>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</si>
  <si>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</si>
  <si>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</si>
  <si>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</si>
  <si>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</si>
  <si>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</si>
  <si>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</si>
  <si>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</si>
  <si>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</si>
  <si>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</si>
  <si>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</si>
  <si>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</si>
  <si>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</si>
  <si>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</si>
  <si>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</si>
  <si>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</si>
  <si>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</si>
  <si>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</si>
  <si>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</si>
  <si>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</si>
  <si>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</si>
  <si>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</si>
  <si>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</si>
  <si>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</si>
  <si>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</si>
  <si>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</si>
  <si>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</si>
  <si>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</si>
  <si>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</si>
  <si>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</si>
  <si>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</si>
  <si>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</si>
  <si>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</si>
  <si>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</si>
  <si>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</si>
  <si>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</si>
  <si>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</si>
  <si>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</si>
  <si>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</si>
  <si>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</si>
  <si>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</si>
  <si>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</si>
  <si>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</si>
  <si>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</si>
  <si>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</si>
  <si>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</si>
  <si>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</si>
  <si>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</si>
  <si>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</si>
  <si>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</si>
  <si>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</si>
  <si>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</si>
  <si>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</si>
  <si>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</si>
  <si>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</si>
  <si>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</si>
  <si>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</si>
  <si>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</si>
  <si>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</si>
  <si>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</si>
  <si>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</si>
  <si>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</si>
  <si>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</si>
  <si>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</si>
  <si>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</si>
  <si>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</si>
  <si>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</si>
  <si>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</si>
  <si>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</si>
  <si>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</si>
  <si>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</si>
  <si>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</si>
  <si>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</si>
  <si>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</si>
  <si>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</si>
  <si>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</si>
  <si>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</si>
  <si>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</si>
  <si>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</si>
  <si>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</si>
  <si>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</si>
  <si>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</si>
  <si>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</si>
  <si>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</si>
  <si>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</si>
  <si>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</si>
  <si>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</si>
  <si>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</si>
  <si>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Cheryl</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</si>
  <si>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</si>
  <si>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</si>
  <si>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</si>
  <si>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</si>
  <si>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</si>
  <si>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</si>
  <si>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</si>
  <si>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</si>
  <si>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8/1/2021</t>
  </si>
  <si>
    <t>1/1/2010</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</si>
  <si>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</si>
  <si>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</si>
  <si>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</si>
  <si>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</si>
  <si>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</si>
  <si>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</si>
  <si>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</si>
  <si>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</si>
  <si>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</si>
  <si>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</si>
  <si>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</si>
  <si>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</si>
  <si>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</si>
  <si>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</si>
  <si>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Manager/Finance Officer</t>
  </si>
  <si>
    <t>Date the FO signed the Data Input worksheet</t>
  </si>
  <si>
    <t>11/15/2021</t>
  </si>
  <si>
    <t>12/1/2021</t>
  </si>
  <si>
    <t>10/29/2021</t>
  </si>
  <si>
    <t>10/26/2021</t>
  </si>
  <si>
    <t>11/16/2021</t>
  </si>
  <si>
    <t>11/22/2021</t>
  </si>
  <si>
    <t>1/31/2022</t>
  </si>
  <si>
    <t>11/19/2021</t>
  </si>
  <si>
    <t>11/29/2021</t>
  </si>
  <si>
    <t>11/10/2021</t>
  </si>
  <si>
    <t>11/30/2021</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</si>
  <si>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</si>
  <si>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</si>
  <si>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</si>
  <si>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</si>
  <si>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</si>
  <si>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</si>
  <si>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</si>
  <si>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</si>
  <si>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</si>
  <si>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3/14/2022</t>
  </si>
  <si>
    <t>12/6/2021</t>
  </si>
  <si>
    <t>12/14/2021</t>
  </si>
  <si>
    <t>12/21/2021</t>
  </si>
  <si>
    <t>1/11/2022</t>
  </si>
  <si>
    <t>1/24/2022</t>
  </si>
  <si>
    <t>12/13/2021</t>
  </si>
  <si>
    <t>1/13/2022</t>
  </si>
  <si>
    <t>12/7/2021</t>
  </si>
  <si>
    <t>1/4/2022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</si>
  <si>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</si>
  <si>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</si>
  <si>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</si>
  <si>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</si>
  <si>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</si>
  <si>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</si>
  <si>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</si>
  <si>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</si>
  <si>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</si>
  <si>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</si>
  <si>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</si>
  <si>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</si>
  <si>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</si>
  <si>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</si>
  <si>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</si>
  <si>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</si>
  <si>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</si>
  <si>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</si>
  <si>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</si>
  <si>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</si>
  <si>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</si>
  <si>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</si>
  <si>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</si>
  <si>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</si>
  <si>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</si>
  <si>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</si>
  <si>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</si>
  <si>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</si>
  <si>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</si>
  <si>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</si>
  <si>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</si>
  <si>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</si>
  <si>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</si>
  <si>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</si>
  <si>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</si>
  <si>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</si>
  <si>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</si>
  <si>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</si>
  <si>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</si>
  <si>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</si>
  <si>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</si>
  <si>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</si>
  <si>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</si>
  <si>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</si>
  <si>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</si>
  <si>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</si>
  <si>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</si>
  <si>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</si>
  <si>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</si>
  <si>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</si>
  <si>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</si>
  <si>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</si>
  <si>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</si>
  <si>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</si>
  <si>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</si>
  <si>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</si>
  <si>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</si>
  <si>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</si>
  <si>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</si>
  <si>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</si>
  <si>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</si>
  <si>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</si>
  <si>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</si>
  <si>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</si>
  <si>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</si>
  <si>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</si>
  <si>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</si>
  <si>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</si>
  <si>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</si>
  <si>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</si>
  <si>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</si>
  <si>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</si>
  <si>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</si>
  <si>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</si>
  <si>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</si>
  <si>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</si>
  <si>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</si>
  <si>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</si>
  <si>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</si>
  <si>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</si>
  <si>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</si>
  <si>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</si>
  <si>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</si>
  <si>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</si>
  <si>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</si>
  <si>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</si>
  <si>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</si>
  <si>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</si>
  <si>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</si>
  <si>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</si>
  <si>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</si>
  <si>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</si>
  <si>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</si>
  <si>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</si>
  <si>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</si>
  <si>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</si>
  <si>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</si>
  <si>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</si>
  <si>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</si>
  <si>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</si>
  <si>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</si>
  <si>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</si>
  <si>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</si>
  <si>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</si>
  <si>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</si>
  <si>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</si>
  <si>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</si>
  <si>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</si>
  <si>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</si>
  <si>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</si>
  <si>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</si>
  <si>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</si>
  <si>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</si>
  <si>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</si>
  <si>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</si>
  <si>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</si>
  <si>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</si>
  <si>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</si>
  <si>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Tony</t>
  </si>
  <si>
    <t>Steve</t>
  </si>
  <si>
    <t>Linda</t>
  </si>
  <si>
    <t>7/1/2019</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</si>
  <si>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</si>
  <si>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</si>
  <si>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</si>
  <si>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</si>
  <si>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</si>
  <si>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</si>
  <si>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</si>
  <si>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</si>
  <si>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</si>
  <si>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</si>
  <si>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</si>
  <si>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</si>
  <si>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</si>
  <si>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</si>
  <si>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</si>
  <si>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</si>
  <si>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</si>
  <si>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</si>
  <si>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</si>
  <si>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</si>
  <si>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</si>
  <si>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</si>
  <si>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</si>
  <si>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</si>
  <si>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</si>
  <si>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</si>
  <si>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</si>
  <si>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</si>
  <si>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</si>
  <si>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</si>
  <si>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</si>
  <si>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</si>
  <si>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</si>
  <si>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</si>
  <si>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</si>
  <si>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</si>
  <si>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</si>
  <si>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</si>
  <si>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</si>
  <si>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</si>
  <si>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</si>
  <si>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</si>
  <si>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</si>
  <si>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</si>
  <si>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</si>
  <si>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</si>
  <si>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</si>
  <si>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</si>
  <si>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</si>
  <si>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</si>
  <si>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</si>
  <si>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</si>
  <si>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</si>
  <si>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</si>
  <si>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</si>
  <si>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</si>
  <si>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</si>
  <si>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</si>
  <si>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</si>
  <si>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</si>
  <si>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</si>
  <si>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</si>
  <si>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</si>
  <si>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</si>
  <si>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</si>
  <si>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</si>
  <si>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</si>
  <si>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</si>
  <si>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</si>
  <si>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</si>
  <si>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</si>
  <si>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</si>
  <si>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</si>
  <si>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</si>
  <si>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</si>
  <si>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</si>
  <si>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</si>
  <si>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</si>
  <si>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</si>
  <si>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</si>
  <si>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</si>
  <si>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</si>
  <si>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</si>
  <si>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</si>
  <si>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</si>
  <si>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</si>
  <si>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</si>
  <si>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</si>
  <si>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</si>
  <si>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</si>
  <si>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</si>
  <si>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</si>
  <si>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</si>
  <si>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</si>
  <si>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</si>
  <si>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</si>
  <si>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</si>
  <si>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</si>
  <si>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</si>
  <si>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</si>
  <si>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</si>
  <si>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</si>
  <si>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</si>
  <si>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</si>
  <si>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</si>
  <si>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</si>
  <si>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</si>
  <si>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</si>
  <si>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</si>
  <si>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</si>
  <si>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</si>
  <si>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</si>
  <si>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</si>
  <si>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</si>
  <si>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</si>
  <si>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</si>
  <si>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</si>
  <si>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</si>
  <si>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</si>
  <si>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</si>
  <si>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</si>
  <si>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</si>
  <si>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</si>
  <si>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</si>
  <si>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</si>
  <si>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</si>
  <si>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</si>
  <si>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</si>
  <si>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</si>
  <si>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</si>
  <si>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</si>
  <si>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</si>
  <si>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</si>
  <si>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</si>
  <si>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</si>
  <si>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</si>
  <si>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</si>
  <si>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</si>
  <si>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</si>
  <si>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</si>
  <si>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</si>
  <si>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</si>
  <si>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</si>
  <si>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</si>
  <si>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</si>
  <si>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</si>
  <si>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</si>
  <si>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</si>
  <si>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</si>
  <si>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</si>
  <si>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</si>
  <si>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</si>
  <si>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</si>
  <si>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</si>
  <si>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</si>
  <si>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</si>
  <si>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</si>
  <si>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</si>
  <si>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</si>
  <si>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</si>
  <si>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</si>
  <si>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</si>
  <si>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</si>
  <si>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</si>
  <si>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</si>
  <si>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</si>
  <si>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</si>
  <si>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</si>
  <si>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</si>
  <si>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</si>
  <si>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</si>
  <si>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</si>
  <si>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</si>
  <si>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</si>
  <si>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</si>
  <si>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</si>
  <si>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</si>
  <si>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</si>
  <si>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</si>
  <si>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</si>
  <si>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</si>
  <si>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</si>
  <si>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</si>
  <si>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</si>
  <si>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</si>
  <si>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</si>
  <si>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</si>
  <si>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</si>
  <si>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</si>
  <si>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</si>
  <si>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</si>
  <si>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</si>
  <si>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</si>
  <si>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</si>
  <si>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</si>
  <si>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</si>
  <si>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</si>
  <si>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</si>
  <si>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</si>
  <si>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</si>
  <si>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</si>
  <si>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</si>
  <si>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</si>
  <si>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</si>
  <si>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</si>
  <si>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</si>
  <si>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</si>
  <si>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</si>
  <si>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</si>
  <si>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</si>
  <si>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</si>
  <si>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</si>
  <si>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</si>
  <si>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</si>
  <si>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</si>
  <si>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</si>
  <si>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</si>
  <si>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</si>
  <si>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</si>
  <si>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</si>
  <si>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</si>
  <si>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</si>
  <si>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</si>
  <si>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</si>
  <si>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</si>
  <si>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</si>
  <si>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</si>
  <si>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</si>
  <si>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</si>
  <si>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</si>
  <si>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</si>
  <si>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</si>
  <si>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</si>
  <si>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</si>
  <si>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</si>
  <si>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</si>
  <si>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</si>
  <si>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</si>
  <si>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</si>
  <si>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</si>
  <si>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</si>
  <si>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</si>
  <si>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</si>
  <si>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</si>
  <si>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</si>
  <si>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</si>
  <si>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</si>
  <si>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</si>
  <si>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</si>
  <si>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</si>
  <si>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</si>
  <si>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</si>
  <si>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</si>
  <si>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</si>
  <si>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</si>
  <si>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</si>
  <si>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</si>
  <si>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</si>
  <si>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</si>
  <si>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</si>
  <si>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</si>
  <si>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</si>
  <si>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</si>
  <si>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</si>
  <si>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</si>
  <si>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</si>
  <si>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</si>
  <si>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</si>
  <si>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</si>
  <si>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</si>
  <si>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</si>
  <si>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</si>
  <si>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</si>
  <si>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</si>
  <si>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</si>
  <si>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</si>
  <si>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</si>
  <si>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</si>
  <si>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</si>
  <si>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</si>
  <si>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</si>
  <si>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</si>
  <si>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</si>
  <si>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</si>
  <si>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</si>
  <si>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</si>
  <si>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</si>
  <si>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</si>
  <si>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</si>
  <si>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</si>
  <si>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</si>
  <si>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</si>
  <si>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</si>
  <si>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</si>
  <si>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</si>
  <si>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</si>
  <si>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</si>
  <si>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</si>
  <si>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</si>
  <si>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</si>
  <si>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</si>
  <si>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</si>
  <si>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</si>
  <si>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</si>
  <si>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</si>
  <si>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</si>
  <si>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</si>
  <si>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</si>
  <si>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</si>
  <si>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</si>
  <si>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</si>
  <si>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</si>
  <si>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</si>
  <si>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</si>
  <si>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</si>
  <si>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</si>
  <si>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</si>
  <si>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</si>
  <si>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</si>
  <si>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</si>
  <si>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</si>
  <si>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</si>
  <si>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</si>
  <si>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</si>
  <si>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</si>
  <si>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</si>
  <si>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</si>
  <si>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</si>
  <si>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</si>
  <si>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</si>
  <si>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</si>
  <si>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</si>
  <si>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</si>
  <si>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</si>
  <si>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</si>
  <si>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</si>
  <si>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</si>
  <si>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</si>
  <si>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</si>
  <si>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</si>
  <si>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</si>
  <si>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</si>
  <si>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</si>
  <si>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</si>
  <si>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</si>
  <si>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</si>
  <si>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</si>
  <si>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</si>
  <si>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</si>
  <si>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</si>
  <si>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</si>
  <si>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</si>
  <si>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</si>
  <si>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</si>
  <si>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</si>
  <si>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</si>
  <si>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</si>
  <si>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</si>
  <si>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</si>
  <si>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</si>
  <si>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</si>
  <si>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</si>
  <si>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</si>
  <si>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</si>
  <si>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</si>
  <si>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</si>
  <si>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</si>
  <si>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</si>
  <si>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</si>
  <si>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</si>
  <si>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</si>
  <si>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</si>
  <si>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</si>
  <si>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</si>
  <si>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</si>
  <si>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</si>
  <si>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</si>
  <si>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</si>
  <si>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</si>
  <si>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</si>
  <si>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</si>
  <si>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</si>
  <si>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</si>
  <si>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</si>
  <si>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</si>
  <si>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</si>
  <si>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</si>
  <si>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</si>
  <si>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</si>
  <si>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</si>
  <si>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</si>
  <si>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</si>
  <si>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</si>
  <si>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</si>
  <si>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</si>
  <si>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</si>
  <si>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</si>
  <si>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</si>
  <si>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</si>
  <si>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</si>
  <si>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</si>
  <si>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</si>
  <si>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</si>
  <si>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</si>
  <si>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</si>
  <si>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</si>
  <si>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</si>
  <si>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</si>
  <si>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</si>
  <si>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</si>
  <si>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</si>
  <si>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</si>
  <si>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</si>
  <si>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</si>
  <si>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</si>
  <si>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</si>
  <si>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</si>
  <si>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</si>
  <si>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</si>
  <si>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</si>
  <si>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</si>
  <si>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</si>
  <si>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</si>
  <si>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</si>
  <si>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</si>
  <si>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</si>
  <si>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</si>
  <si>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</si>
  <si>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</si>
  <si>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</si>
  <si>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</si>
  <si>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</si>
  <si>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</si>
  <si>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</si>
  <si>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</si>
  <si>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</si>
  <si>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</si>
  <si>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</si>
  <si>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</si>
  <si>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</si>
  <si>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</si>
  <si>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</si>
  <si>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</si>
  <si>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</si>
  <si>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</si>
  <si>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</si>
  <si>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</si>
  <si>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</si>
  <si>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</si>
  <si>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</si>
  <si>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</si>
  <si>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</si>
  <si>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</si>
  <si>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</si>
  <si>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</si>
  <si>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</si>
  <si>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</si>
  <si>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</si>
  <si>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</si>
  <si>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</si>
  <si>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</si>
  <si>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</si>
  <si>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</si>
  <si>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</si>
  <si>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</si>
  <si>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</si>
  <si>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</si>
  <si>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</si>
  <si>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</si>
  <si>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</si>
  <si>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</si>
  <si>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</si>
  <si>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</si>
  <si>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</si>
  <si>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</si>
  <si>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</si>
  <si>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</si>
  <si>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</si>
  <si>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</si>
  <si>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</si>
  <si>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</si>
  <si>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</si>
  <si>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</si>
  <si>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</si>
  <si>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</si>
  <si>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</si>
  <si>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Lori</t>
  </si>
  <si>
    <t>WENDY</t>
  </si>
  <si>
    <t>Ellen</t>
  </si>
  <si>
    <t>Andrew</t>
  </si>
  <si>
    <t>Laura</t>
  </si>
  <si>
    <t>Tammy</t>
  </si>
  <si>
    <t>Barbara</t>
  </si>
  <si>
    <t>Regina</t>
  </si>
  <si>
    <t>Smith</t>
  </si>
  <si>
    <t>Williams</t>
  </si>
  <si>
    <t>Jenkins</t>
  </si>
  <si>
    <t>12/1/2019</t>
  </si>
  <si>
    <t>11/24/2021</t>
  </si>
  <si>
    <t>2/24/2022</t>
  </si>
  <si>
    <t>11/26/2021</t>
  </si>
  <si>
    <t>9/29/2021</t>
  </si>
  <si>
    <t>1/28/2022</t>
  </si>
  <si>
    <t>11/3/2021</t>
  </si>
  <si>
    <t>11/18/2021</t>
  </si>
  <si>
    <t>10/25/2021</t>
  </si>
  <si>
    <t>3/31/2022</t>
  </si>
  <si>
    <t>11/9/2021</t>
  </si>
  <si>
    <t>3/15/2022</t>
  </si>
  <si>
    <t>3/1/2022</t>
  </si>
  <si>
    <t>Pamela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</si>
  <si>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</si>
  <si>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</si>
  <si>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</si>
  <si>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</si>
  <si>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</si>
  <si>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</si>
  <si>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</si>
  <si>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</si>
  <si>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</si>
  <si>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</si>
  <si>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</si>
  <si>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</si>
  <si>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</si>
  <si>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</si>
  <si>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</si>
  <si>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</si>
  <si>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</si>
  <si>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</si>
  <si>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</si>
  <si>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</si>
  <si>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</si>
  <si>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</si>
  <si>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</si>
  <si>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</si>
  <si>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</si>
  <si>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</si>
  <si>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</si>
  <si>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</si>
  <si>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</si>
  <si>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</si>
  <si>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</si>
  <si>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</si>
  <si>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</si>
  <si>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</si>
  <si>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</si>
  <si>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</si>
  <si>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</si>
  <si>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</si>
  <si>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</si>
  <si>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Operations -</t>
  </si>
  <si>
    <t>Capital - Powell Bill</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</si>
  <si>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</si>
  <si>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</si>
  <si>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</si>
  <si>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</si>
  <si>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</si>
  <si>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</si>
  <si>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</si>
  <si>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</si>
  <si>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</si>
  <si>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David</t>
  </si>
  <si>
    <t>Walker</t>
  </si>
  <si>
    <t>Jones</t>
  </si>
  <si>
    <t>Bell</t>
  </si>
  <si>
    <t>7/1/2022</t>
  </si>
  <si>
    <t>9/13/2022</t>
  </si>
  <si>
    <t>yes</t>
  </si>
  <si>
    <t>10/26/2022</t>
  </si>
  <si>
    <t>10/27/2022</t>
  </si>
  <si>
    <t>11/14/2022</t>
  </si>
  <si>
    <t>11/30/2022</t>
  </si>
  <si>
    <t>10/7/2022</t>
  </si>
  <si>
    <t>10/20/2022</t>
  </si>
  <si>
    <t>10/14/2022</t>
  </si>
  <si>
    <t>10/31/2022</t>
  </si>
  <si>
    <t>12/20/2022</t>
  </si>
  <si>
    <t>11/3/2022</t>
  </si>
  <si>
    <t>11/10/2022</t>
  </si>
  <si>
    <t>11/28/2022</t>
  </si>
  <si>
    <t>9/30/2022</t>
  </si>
  <si>
    <t>10/18/2022</t>
  </si>
  <si>
    <t>12/1/2022</t>
  </si>
  <si>
    <t>10/28/2022</t>
  </si>
  <si>
    <t>11/29/2022</t>
  </si>
  <si>
    <t>2/27/2023</t>
  </si>
  <si>
    <t>11/17/2022</t>
  </si>
  <si>
    <t>10/11/2022</t>
  </si>
  <si>
    <t>12/8/2022</t>
  </si>
  <si>
    <t>12/21/2022</t>
  </si>
  <si>
    <t>Number of other matters that auditor asked the unit to respond to.</t>
  </si>
  <si>
    <t>3/14/2023</t>
  </si>
  <si>
    <t>3/6/2023</t>
  </si>
  <si>
    <t>12/13/2022</t>
  </si>
  <si>
    <t>1/17/2023</t>
  </si>
  <si>
    <t>1/10/2023</t>
  </si>
  <si>
    <t>11/15/2022</t>
  </si>
  <si>
    <t>12/12/2022</t>
  </si>
  <si>
    <t>1/31/2023</t>
  </si>
  <si>
    <t>1/3/2023</t>
  </si>
  <si>
    <t>4/10/2023</t>
  </si>
  <si>
    <t>12/5/2022</t>
  </si>
  <si>
    <t>12/6/2022</t>
  </si>
  <si>
    <t>2/8/2023</t>
  </si>
  <si>
    <t>3/7/2023</t>
  </si>
  <si>
    <t>1/16/2023</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</si>
  <si>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</si>
  <si>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</si>
  <si>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</si>
  <si>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</si>
  <si>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</si>
  <si>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</si>
  <si>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</si>
  <si>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</si>
  <si>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</si>
  <si>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</si>
  <si>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</si>
  <si>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</si>
  <si>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</si>
  <si>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</si>
  <si>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</si>
  <si>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2023-02-28</t>
  </si>
  <si>
    <t>2022-11-29</t>
  </si>
  <si>
    <t>2022-11-23</t>
  </si>
  <si>
    <t>2022-11-30</t>
  </si>
  <si>
    <t>2022-10-14</t>
  </si>
  <si>
    <t>2022-10-31</t>
  </si>
  <si>
    <t>2022-11-07</t>
  </si>
  <si>
    <t>2022-11-28</t>
  </si>
  <si>
    <t>2022-09-30</t>
  </si>
  <si>
    <t>2022-12-01</t>
  </si>
  <si>
    <t>2023-01-20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</si>
  <si>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</si>
  <si>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</si>
  <si>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</si>
  <si>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</si>
  <si>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</si>
  <si>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</si>
  <si>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</si>
  <si>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</si>
  <si>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</si>
  <si>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</si>
  <si>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</si>
  <si>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8/30/2022</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</si>
  <si>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</si>
  <si>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</si>
  <si>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</si>
  <si>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</si>
  <si>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</si>
  <si>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</si>
  <si>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</si>
  <si>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</si>
  <si>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</si>
  <si>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</si>
  <si>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</si>
  <si>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</si>
  <si>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</si>
  <si>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</si>
  <si>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</si>
  <si>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</si>
  <si>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</si>
  <si>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</si>
  <si>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</si>
  <si>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</si>
  <si>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</si>
  <si>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</si>
  <si>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</si>
  <si>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</si>
  <si>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</si>
  <si>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</si>
  <si>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</si>
  <si>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</si>
  <si>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</si>
  <si>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</si>
  <si>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</si>
  <si>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</si>
  <si>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</si>
  <si>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</si>
  <si>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</si>
  <si>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</si>
  <si>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</si>
  <si>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</si>
  <si>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</si>
  <si>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</si>
  <si>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</si>
  <si>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</si>
  <si>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</si>
  <si>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</si>
  <si>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</si>
  <si>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</si>
  <si>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</si>
  <si>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</si>
  <si>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</si>
  <si>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</si>
  <si>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</si>
  <si>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</si>
  <si>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</si>
  <si>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</si>
  <si>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</si>
  <si>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</si>
  <si>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</si>
  <si>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</si>
  <si>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</si>
  <si>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</si>
  <si>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</si>
  <si>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</si>
  <si>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</si>
  <si>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</si>
  <si>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</si>
  <si>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</si>
  <si>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</si>
  <si>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</si>
  <si>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</si>
  <si>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</si>
  <si>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</si>
  <si>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</si>
  <si>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</si>
  <si>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</si>
  <si>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</si>
  <si>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</si>
  <si>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</si>
  <si>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</si>
  <si>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</si>
  <si>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</si>
  <si>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</si>
  <si>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</si>
  <si>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</si>
  <si>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</si>
  <si>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</si>
  <si>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</si>
  <si>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</si>
  <si>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</si>
  <si>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</si>
  <si>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</si>
  <si>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</si>
  <si>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</si>
  <si>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</si>
  <si>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</si>
  <si>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</si>
  <si>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</si>
  <si>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</si>
  <si>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</si>
  <si>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</si>
  <si>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</si>
  <si>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</si>
  <si>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</si>
  <si>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</si>
  <si>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</si>
  <si>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</si>
  <si>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</si>
  <si>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</si>
  <si>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</si>
  <si>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</si>
  <si>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</si>
  <si>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</si>
  <si>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</si>
  <si>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</si>
  <si>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</si>
  <si>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</si>
  <si>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</si>
  <si>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</si>
  <si>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</si>
  <si>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</si>
  <si>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</si>
  <si>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</si>
  <si>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</si>
  <si>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</si>
  <si>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</si>
  <si>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</si>
  <si>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</si>
  <si>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</si>
  <si>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</si>
  <si>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</si>
  <si>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</si>
  <si>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</si>
  <si>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</si>
  <si>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</si>
  <si>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</si>
  <si>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</si>
  <si>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</si>
  <si>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</si>
  <si>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</si>
  <si>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</si>
  <si>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</si>
  <si>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</si>
  <si>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</si>
  <si>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</si>
  <si>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</si>
  <si>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</si>
  <si>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</si>
  <si>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</si>
  <si>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</si>
  <si>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</si>
  <si>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</si>
  <si>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</si>
  <si>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</si>
  <si>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</si>
  <si>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</si>
  <si>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</si>
  <si>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</si>
  <si>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</si>
  <si>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</si>
  <si>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</si>
  <si>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</si>
  <si>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</si>
  <si>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</si>
  <si>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</si>
  <si>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</si>
  <si>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</si>
  <si>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</si>
  <si>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</si>
  <si>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</si>
  <si>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</si>
  <si>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</si>
  <si>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</si>
  <si>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</si>
  <si>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</si>
  <si>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</si>
  <si>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</si>
  <si>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</si>
  <si>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</si>
  <si>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</si>
  <si>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</si>
  <si>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</si>
  <si>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</si>
  <si>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</si>
  <si>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</si>
  <si>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</si>
  <si>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</si>
  <si>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</si>
  <si>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</si>
  <si>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</si>
  <si>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</si>
  <si>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</si>
  <si>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</si>
  <si>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</si>
  <si>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</si>
  <si>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</si>
  <si>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</si>
  <si>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</si>
  <si>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</si>
  <si>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</si>
  <si>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</si>
  <si>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</si>
  <si>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</si>
  <si>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</si>
  <si>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</si>
  <si>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</si>
  <si>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</si>
  <si>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</si>
  <si>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</si>
  <si>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</si>
  <si>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</si>
  <si>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</si>
  <si>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</si>
  <si>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</si>
  <si>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</si>
  <si>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</si>
  <si>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</si>
  <si>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</si>
  <si>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</si>
  <si>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</si>
  <si>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</si>
  <si>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</si>
  <si>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</si>
  <si>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</si>
  <si>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</si>
  <si>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</si>
  <si>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</si>
  <si>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</si>
  <si>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</si>
  <si>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</si>
  <si>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</si>
  <si>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</si>
  <si>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</si>
  <si>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</si>
  <si>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</si>
  <si>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</si>
  <si>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</si>
  <si>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</si>
  <si>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</si>
  <si>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</si>
  <si>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</si>
  <si>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</si>
  <si>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</si>
  <si>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</si>
  <si>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</si>
  <si>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</si>
  <si>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</si>
  <si>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</si>
  <si>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</si>
  <si>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</si>
  <si>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</si>
  <si>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</si>
  <si>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</si>
  <si>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</si>
  <si>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</si>
  <si>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</si>
  <si>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</si>
  <si>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</si>
  <si>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</si>
  <si>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8/20/2021</t>
  </si>
  <si>
    <t>FPIC graph</t>
  </si>
  <si>
    <t>Randy</t>
  </si>
  <si>
    <t>Michael</t>
  </si>
  <si>
    <t>RUBYLENE</t>
  </si>
  <si>
    <t>VACANT</t>
  </si>
  <si>
    <t>Natalie</t>
  </si>
  <si>
    <t>Sandra</t>
  </si>
  <si>
    <t>Debbie</t>
  </si>
  <si>
    <t>Arche</t>
  </si>
  <si>
    <t>Kesha</t>
  </si>
  <si>
    <t>Karen</t>
  </si>
  <si>
    <t>Carrie</t>
  </si>
  <si>
    <t>James</t>
  </si>
  <si>
    <t>JEFF</t>
  </si>
  <si>
    <t>Howard</t>
  </si>
  <si>
    <t>Brandi</t>
  </si>
  <si>
    <t>Pat</t>
  </si>
  <si>
    <t>Teresa</t>
  </si>
  <si>
    <t>Dixie</t>
  </si>
  <si>
    <t>Stephen</t>
  </si>
  <si>
    <t>Tara</t>
  </si>
  <si>
    <t>Joy</t>
  </si>
  <si>
    <t>Valerie</t>
  </si>
  <si>
    <t>KENTRINA</t>
  </si>
  <si>
    <t>Robert</t>
  </si>
  <si>
    <t>Ann</t>
  </si>
  <si>
    <t>Kathy</t>
  </si>
  <si>
    <t>Kristen</t>
  </si>
  <si>
    <t>Andrea</t>
  </si>
  <si>
    <t>Latoria</t>
  </si>
  <si>
    <t>William</t>
  </si>
  <si>
    <t>Timothy</t>
  </si>
  <si>
    <t>Jessica</t>
  </si>
  <si>
    <t>Gerry</t>
  </si>
  <si>
    <t>Kurt</t>
  </si>
  <si>
    <t>NANCY</t>
  </si>
  <si>
    <t>Aaron</t>
  </si>
  <si>
    <t>Julie</t>
  </si>
  <si>
    <t>Joel</t>
  </si>
  <si>
    <t>Sonal</t>
  </si>
  <si>
    <t>Penny</t>
  </si>
  <si>
    <t>Joelle</t>
  </si>
  <si>
    <t>Jonathan</t>
  </si>
  <si>
    <t>Dianne</t>
  </si>
  <si>
    <t>Pieter</t>
  </si>
  <si>
    <t>Angel</t>
  </si>
  <si>
    <t>Marlene</t>
  </si>
  <si>
    <t>Nancy</t>
  </si>
  <si>
    <t>Sherri</t>
  </si>
  <si>
    <t>ASHLEY</t>
  </si>
  <si>
    <t>Drew</t>
  </si>
  <si>
    <t>Emily</t>
  </si>
  <si>
    <t>Maxie</t>
  </si>
  <si>
    <t>Josephine</t>
  </si>
  <si>
    <t>Vickie</t>
  </si>
  <si>
    <t>Elizabeth</t>
  </si>
  <si>
    <t>Tammie</t>
  </si>
  <si>
    <t>Virginia</t>
  </si>
  <si>
    <t>Alicia</t>
  </si>
  <si>
    <t>SHARON</t>
  </si>
  <si>
    <t>Dina</t>
  </si>
  <si>
    <t>Jane</t>
  </si>
  <si>
    <t>Shameshia</t>
  </si>
  <si>
    <t>Misty</t>
  </si>
  <si>
    <t>Patricia</t>
  </si>
  <si>
    <t>Feierabend</t>
  </si>
  <si>
    <t>Price</t>
  </si>
  <si>
    <t>LAMBERT</t>
  </si>
  <si>
    <t>Kellis</t>
  </si>
  <si>
    <t>Favreau</t>
  </si>
  <si>
    <t>Hall</t>
  </si>
  <si>
    <t>Frye</t>
  </si>
  <si>
    <t>McAdoo</t>
  </si>
  <si>
    <t>Mills</t>
  </si>
  <si>
    <t>Cook</t>
  </si>
  <si>
    <t>Alston</t>
  </si>
  <si>
    <t>GRIFFIN</t>
  </si>
  <si>
    <t>Rief</t>
  </si>
  <si>
    <t>Edwards</t>
  </si>
  <si>
    <t>Strickland</t>
  </si>
  <si>
    <t>Garrell</t>
  </si>
  <si>
    <t>Oland</t>
  </si>
  <si>
    <t>Wall</t>
  </si>
  <si>
    <t>Duncan</t>
  </si>
  <si>
    <t>Dropp</t>
  </si>
  <si>
    <t>McRoy</t>
  </si>
  <si>
    <t>McKenna</t>
  </si>
  <si>
    <t>WOODS</t>
  </si>
  <si>
    <t>McKie</t>
  </si>
  <si>
    <t>Stroud</t>
  </si>
  <si>
    <t>Payne</t>
  </si>
  <si>
    <t>Stafford</t>
  </si>
  <si>
    <t>Wooten</t>
  </si>
  <si>
    <t>Harrell</t>
  </si>
  <si>
    <t>Barth</t>
  </si>
  <si>
    <t>Lynch</t>
  </si>
  <si>
    <t>Smart</t>
  </si>
  <si>
    <t>Beal</t>
  </si>
  <si>
    <t>JENKINS</t>
  </si>
  <si>
    <t>Thies</t>
  </si>
  <si>
    <t>Niswonger</t>
  </si>
  <si>
    <t>Lineberger</t>
  </si>
  <si>
    <t>Mehta</t>
  </si>
  <si>
    <t>Chapman</t>
  </si>
  <si>
    <t>Poore</t>
  </si>
  <si>
    <t>Starnes</t>
  </si>
  <si>
    <t>Swart</t>
  </si>
  <si>
    <t>Coffey</t>
  </si>
  <si>
    <t>Lopez</t>
  </si>
  <si>
    <t>Nixon</t>
  </si>
  <si>
    <t>Creek</t>
  </si>
  <si>
    <t>Bradshaw</t>
  </si>
  <si>
    <t>MATTHEWS</t>
  </si>
  <si>
    <t>Havens</t>
  </si>
  <si>
    <t>Roberts</t>
  </si>
  <si>
    <t>Desiderio</t>
  </si>
  <si>
    <t>Deaver</t>
  </si>
  <si>
    <t>Douglas</t>
  </si>
  <si>
    <t>Bass</t>
  </si>
  <si>
    <t>McMichael</t>
  </si>
  <si>
    <t>Steward</t>
  </si>
  <si>
    <t>PENNY</t>
  </si>
  <si>
    <t>Eller</t>
  </si>
  <si>
    <t>Reavis</t>
  </si>
  <si>
    <t>Panther</t>
  </si>
  <si>
    <t>Fennell</t>
  </si>
  <si>
    <t>Hagood</t>
  </si>
  <si>
    <t>Rotchford</t>
  </si>
  <si>
    <t>Whitaker</t>
  </si>
  <si>
    <t>Hardison</t>
  </si>
  <si>
    <t>INTERIM</t>
  </si>
  <si>
    <t>permanent</t>
  </si>
  <si>
    <t>10/1/2019</t>
  </si>
  <si>
    <t>12/12/2017</t>
  </si>
  <si>
    <t>12/9/2018</t>
  </si>
  <si>
    <t>1/1/2008</t>
  </si>
  <si>
    <t>1/1/2017</t>
  </si>
  <si>
    <t>9/1/2018</t>
  </si>
  <si>
    <t>9/9/2014</t>
  </si>
  <si>
    <t>7/26/2010</t>
  </si>
  <si>
    <t>12/3/2012</t>
  </si>
  <si>
    <t>5/13/1991</t>
  </si>
  <si>
    <t>7/1/2017</t>
  </si>
  <si>
    <t>1/1/2019</t>
  </si>
  <si>
    <t>2/4/2020</t>
  </si>
  <si>
    <t>12/13/2010</t>
  </si>
  <si>
    <t>2/11/2019</t>
  </si>
  <si>
    <t>7/10/2021</t>
  </si>
  <si>
    <t>4/2/2012</t>
  </si>
  <si>
    <t>12/28/1998</t>
  </si>
  <si>
    <t>9/6/2019</t>
  </si>
  <si>
    <t>9/17/2007</t>
  </si>
  <si>
    <t>1/7/1992</t>
  </si>
  <si>
    <t>1/1/2013</t>
  </si>
  <si>
    <t>4/20/2011</t>
  </si>
  <si>
    <t>12/28/2020</t>
  </si>
  <si>
    <t>1/1/2002</t>
  </si>
  <si>
    <t>1/1/2014</t>
  </si>
  <si>
    <t>2/22/2021</t>
  </si>
  <si>
    <t>1/1/2018</t>
  </si>
  <si>
    <t>7/5/2021</t>
  </si>
  <si>
    <t>4/11/2016</t>
  </si>
  <si>
    <t>7/1/2021</t>
  </si>
  <si>
    <t>5/11/2000</t>
  </si>
  <si>
    <t>1/24/2004</t>
  </si>
  <si>
    <t>9/5/2017</t>
  </si>
  <si>
    <t>5/14/1998</t>
  </si>
  <si>
    <t>10/4/2010</t>
  </si>
  <si>
    <t>6/1/2020</t>
  </si>
  <si>
    <t>11/17/2020</t>
  </si>
  <si>
    <t>11/1/2012</t>
  </si>
  <si>
    <t>6/7/2018</t>
  </si>
  <si>
    <t>2/17/2021</t>
  </si>
  <si>
    <t>11/16/2020</t>
  </si>
  <si>
    <t>1/1/2006</t>
  </si>
  <si>
    <t>5/22/2014</t>
  </si>
  <si>
    <t>8/1/2019</t>
  </si>
  <si>
    <t>10/10/2005</t>
  </si>
  <si>
    <t>12/18/2017</t>
  </si>
  <si>
    <t>12/1/2005</t>
  </si>
  <si>
    <t>4/12/2012</t>
  </si>
  <si>
    <t>12/1/2014</t>
  </si>
  <si>
    <t>12/31/2011</t>
  </si>
  <si>
    <t>8/5/2020</t>
  </si>
  <si>
    <t>1/1/1996</t>
  </si>
  <si>
    <t>YES</t>
  </si>
  <si>
    <t>Randy Feierabend</t>
  </si>
  <si>
    <t>Michael Price</t>
  </si>
  <si>
    <t>RUBYLENE LAMBERT</t>
  </si>
  <si>
    <t>Tammy Kellis</t>
  </si>
  <si>
    <t>Natalie Walker</t>
  </si>
  <si>
    <t>Sandra Favreau</t>
  </si>
  <si>
    <t>Debbie Hall</t>
  </si>
  <si>
    <t>Lori Frye</t>
  </si>
  <si>
    <t>Arche McAdoo</t>
  </si>
  <si>
    <t>Kesha Matthews</t>
  </si>
  <si>
    <t>Karen Mills</t>
  </si>
  <si>
    <t>Carrie Cook</t>
  </si>
  <si>
    <t>James Alston</t>
  </si>
  <si>
    <t>Jeffrey D. Griffin</t>
  </si>
  <si>
    <t>Sandra Jones</t>
  </si>
  <si>
    <t>David Rieff</t>
  </si>
  <si>
    <t>Howard Edwards</t>
  </si>
  <si>
    <t>Brandi Strickland</t>
  </si>
  <si>
    <t>Pat Garrell</t>
  </si>
  <si>
    <t>Amy Oland</t>
  </si>
  <si>
    <t>Teresa Smith</t>
  </si>
  <si>
    <t>Dixie Wall</t>
  </si>
  <si>
    <t>Stephen Duncan</t>
  </si>
  <si>
    <t>Tara Dropp</t>
  </si>
  <si>
    <t>Joy McRoy</t>
  </si>
  <si>
    <t>Valerie McKenna</t>
  </si>
  <si>
    <t>KENTRINA WOODS</t>
  </si>
  <si>
    <t>Robert McKie</t>
  </si>
  <si>
    <t>K. Ann Stroud</t>
  </si>
  <si>
    <t>Kathy Payne</t>
  </si>
  <si>
    <t>Kristen Stafford</t>
  </si>
  <si>
    <t>Andrea Garland</t>
  </si>
  <si>
    <t>Karen Wooten</t>
  </si>
  <si>
    <t>Latoria Harrell</t>
  </si>
  <si>
    <t>William Harrell</t>
  </si>
  <si>
    <t>Ellen Bell</t>
  </si>
  <si>
    <t>Timothy J. Barth</t>
  </si>
  <si>
    <t>Susan Kennington</t>
  </si>
  <si>
    <t>Jessica Jones</t>
  </si>
  <si>
    <t>Gerry Lynch</t>
  </si>
  <si>
    <t>Steve Smart</t>
  </si>
  <si>
    <t>Kurt Beal</t>
  </si>
  <si>
    <t>NANCY JENKINS</t>
  </si>
  <si>
    <t>Aaron Thies</t>
  </si>
  <si>
    <t>Julie Niswonger</t>
  </si>
  <si>
    <t>Barbara H. Jones</t>
  </si>
  <si>
    <t>Joel F. Lineberger, CPA</t>
  </si>
  <si>
    <t>Sonal Mehta</t>
  </si>
  <si>
    <t>Penny Chapman</t>
  </si>
  <si>
    <t>Joelle Poore</t>
  </si>
  <si>
    <t>Jonathan Newton</t>
  </si>
  <si>
    <t>Dianne Starnes</t>
  </si>
  <si>
    <t>Pieter W. Swart</t>
  </si>
  <si>
    <t>Angel Jenkins</t>
  </si>
  <si>
    <t>Debbie Coffey</t>
  </si>
  <si>
    <t>Regina Hamilton</t>
  </si>
  <si>
    <t>Marlene Lopez</t>
  </si>
  <si>
    <t>Nancy Nixon</t>
  </si>
  <si>
    <t>Pamela Creek</t>
  </si>
  <si>
    <t>Sherri B. Bradshaw</t>
  </si>
  <si>
    <t>ASHLEY MATTHEWS</t>
  </si>
  <si>
    <t>Drew Havens</t>
  </si>
  <si>
    <t>James Roberts</t>
  </si>
  <si>
    <t>Emily Desiderio</t>
  </si>
  <si>
    <t>Maxie Deaver</t>
  </si>
  <si>
    <t>Josephine Smith</t>
  </si>
  <si>
    <t>Vickie Matthews</t>
  </si>
  <si>
    <t>Michael Douglas</t>
  </si>
  <si>
    <t>Elizabeth S. Bass</t>
  </si>
  <si>
    <t>Tammie McMichael</t>
  </si>
  <si>
    <t>Virginia Smith</t>
  </si>
  <si>
    <t>Alicia Steward</t>
  </si>
  <si>
    <t>Sharon Penny</t>
  </si>
  <si>
    <t>Tony Eller</t>
  </si>
  <si>
    <t>Dina S. Reavis</t>
  </si>
  <si>
    <t>Teresa Panther</t>
  </si>
  <si>
    <t>Jane Smith</t>
  </si>
  <si>
    <t>Shameshia Fennell</t>
  </si>
  <si>
    <t>Misty Hagood</t>
  </si>
  <si>
    <t>Laura Rotchford</t>
  </si>
  <si>
    <t>Patricia Whitaker</t>
  </si>
  <si>
    <t>Linda Williams</t>
  </si>
  <si>
    <t>Nancy Hardison</t>
  </si>
  <si>
    <t>Commissioner/Finance Officer</t>
  </si>
  <si>
    <t>Finance Oficer</t>
  </si>
  <si>
    <t>Chief Financial Officer</t>
  </si>
  <si>
    <t>Mayor</t>
  </si>
  <si>
    <t>Finance Office</t>
  </si>
  <si>
    <t>Business Management Director/Finance Officer</t>
  </si>
  <si>
    <t>FINANCE OFFICE</t>
  </si>
  <si>
    <t>Town Adminstrator</t>
  </si>
  <si>
    <t>Town Manager/Finance Director</t>
  </si>
  <si>
    <t>Finace Officer</t>
  </si>
  <si>
    <t>Town Clerk / Fianance Officer</t>
  </si>
  <si>
    <t>Clerk</t>
  </si>
  <si>
    <t>Town Clerk/ Finance Officer</t>
  </si>
  <si>
    <t>Finance Officer/Town Clerk</t>
  </si>
  <si>
    <t>Finance Officer/Town Administrator</t>
  </si>
  <si>
    <t>Town Manager/Finance Officer</t>
  </si>
  <si>
    <t>Interim Finance Director</t>
  </si>
  <si>
    <t>Finance Officer/Clerk</t>
  </si>
  <si>
    <t>Director of Finance and Personnel</t>
  </si>
  <si>
    <t>11/23/2021</t>
  </si>
  <si>
    <t>2/11/2022</t>
  </si>
  <si>
    <t>10/14/2021</t>
  </si>
  <si>
    <t>1/12/2022</t>
  </si>
  <si>
    <t>11/1/2021</t>
  </si>
  <si>
    <t>11/17/2021</t>
  </si>
  <si>
    <t>11/12/2021</t>
  </si>
  <si>
    <t>1/25/2022</t>
  </si>
  <si>
    <t>11/18/2022</t>
  </si>
  <si>
    <t>9/7/2021</t>
  </si>
  <si>
    <t>11/5/2021</t>
  </si>
  <si>
    <t>9/8/2021</t>
  </si>
  <si>
    <t>9/16/2021</t>
  </si>
  <si>
    <t>5/25/2022</t>
  </si>
  <si>
    <t>5/13/2022</t>
  </si>
  <si>
    <t>1/25/2021</t>
  </si>
  <si>
    <t>9/6/2022</t>
  </si>
  <si>
    <t>6/30/2021</t>
  </si>
  <si>
    <t>10/22/2021</t>
  </si>
  <si>
    <t>3/30/2022</t>
  </si>
  <si>
    <t>9/27/2021</t>
  </si>
  <si>
    <t>3/3/2022</t>
  </si>
  <si>
    <t>8/30/2021</t>
  </si>
  <si>
    <t>12/30/2021</t>
  </si>
  <si>
    <t>2/15/2022</t>
  </si>
  <si>
    <t>11/8/2021</t>
  </si>
  <si>
    <t>828-728-5053</t>
  </si>
  <si>
    <t>910-279-4043</t>
  </si>
  <si>
    <t>919-658-9221</t>
  </si>
  <si>
    <t>910-245-3212</t>
  </si>
  <si>
    <t>910-974-4221</t>
  </si>
  <si>
    <t>828-648-2363</t>
  </si>
  <si>
    <t>252-393-8483</t>
  </si>
  <si>
    <t>910-458-5495</t>
  </si>
  <si>
    <t>910-575-4877</t>
  </si>
  <si>
    <t>919-918-7439</t>
  </si>
  <si>
    <t>910-947-2331</t>
  </si>
  <si>
    <t>919-469-4110</t>
  </si>
  <si>
    <t>704-472-1369</t>
  </si>
  <si>
    <t>252-459-3668</t>
  </si>
  <si>
    <t>910-278-5471</t>
  </si>
  <si>
    <t>828-485-4243</t>
  </si>
  <si>
    <t>252-393-7898</t>
  </si>
  <si>
    <t>828-726-4026</t>
  </si>
  <si>
    <t>910-654-5387</t>
  </si>
  <si>
    <t>910-654-4148</t>
  </si>
  <si>
    <t>919-969-5017</t>
  </si>
  <si>
    <t>704-336-7906</t>
  </si>
  <si>
    <t>704-435-1703</t>
  </si>
  <si>
    <t>828-777-5718</t>
  </si>
  <si>
    <t>704-857-2466</t>
  </si>
  <si>
    <t>252-946-6568</t>
  </si>
  <si>
    <t>828-466-7255</t>
  </si>
  <si>
    <t>910-647-3661</t>
  </si>
  <si>
    <t>919-553-5002</t>
  </si>
  <si>
    <t>336-712-4039</t>
  </si>
  <si>
    <t>704-278-4777</t>
  </si>
  <si>
    <t>910-299-4900 ext.3022</t>
  </si>
  <si>
    <t>828-627-2566</t>
  </si>
  <si>
    <t>910-591-4133</t>
  </si>
  <si>
    <t>252-358-8611</t>
  </si>
  <si>
    <t>252-356-2124</t>
  </si>
  <si>
    <t>252-796-2781</t>
  </si>
  <si>
    <t>828-894-8236</t>
  </si>
  <si>
    <t>252-398-3855</t>
  </si>
  <si>
    <t>704-920-5222</t>
  </si>
  <si>
    <t>252-823-0349</t>
  </si>
  <si>
    <t>828-879-2321</t>
  </si>
  <si>
    <t>828-464-1191</t>
  </si>
  <si>
    <t>252-585-0488</t>
  </si>
  <si>
    <t>336-284-2141</t>
  </si>
  <si>
    <t>704-892-6031</t>
  </si>
  <si>
    <t>252-474-8020</t>
  </si>
  <si>
    <t>704-824-4337</t>
  </si>
  <si>
    <t>919-764-1011</t>
  </si>
  <si>
    <t>252-797-4852</t>
  </si>
  <si>
    <t>828-733-0360</t>
  </si>
  <si>
    <t>704-922-3176</t>
  </si>
  <si>
    <t>336-593-2002</t>
  </si>
  <si>
    <t>704-940-9648</t>
  </si>
  <si>
    <t>336-859-4231</t>
  </si>
  <si>
    <t>828-586-1439</t>
  </si>
  <si>
    <t>910-582-6002</t>
  </si>
  <si>
    <t>336-356-8962</t>
  </si>
  <si>
    <t>252-443-9131</t>
  </si>
  <si>
    <t>252-523-9610</t>
  </si>
  <si>
    <t>828-437-7421</t>
  </si>
  <si>
    <t>910-862-4301</t>
  </si>
  <si>
    <t>252-255-1234</t>
  </si>
  <si>
    <t>910-230-3515</t>
  </si>
  <si>
    <t>919-560-4455</t>
  </si>
  <si>
    <t>704-481-1500</t>
  </si>
  <si>
    <t>910-655-4388</t>
  </si>
  <si>
    <t>336-699-8560</t>
  </si>
  <si>
    <t>704-636-7111</t>
  </si>
  <si>
    <t>910-323-0770</t>
  </si>
  <si>
    <t>336-623-2110</t>
  </si>
  <si>
    <t>252-482-2155</t>
  </si>
  <si>
    <t>252-621-7318</t>
  </si>
  <si>
    <t>910-862-2066</t>
  </si>
  <si>
    <t>828-733-9573</t>
  </si>
  <si>
    <t>336-258-8902</t>
  </si>
  <si>
    <t>828-453-8611</t>
  </si>
  <si>
    <t>910-652-6251</t>
  </si>
  <si>
    <t>252-236-4917</t>
  </si>
  <si>
    <t>336-584-9654</t>
  </si>
  <si>
    <t>252-354-3424</t>
  </si>
  <si>
    <t>252-445-3146</t>
  </si>
  <si>
    <t>910-591-4203</t>
  </si>
  <si>
    <t>252-792-3394</t>
  </si>
  <si>
    <t>manager@cajahsmtn.com</t>
  </si>
  <si>
    <t>Mp79930@icloud.com</t>
  </si>
  <si>
    <t>CALYPSOCITYOF@BELLSOUTH.NET</t>
  </si>
  <si>
    <t>cameronnc@townofcameron.com</t>
  </si>
  <si>
    <t>townclerk@townofcandornc.com</t>
  </si>
  <si>
    <t>nwalker@cantonnc.com</t>
  </si>
  <si>
    <t>sfavreau@capecarteret.org</t>
  </si>
  <si>
    <t>debbie.hall@carolinabeach.org</t>
  </si>
  <si>
    <t>csth@atmc.net</t>
  </si>
  <si>
    <t>AMcAdoo@townofcarrboro.org</t>
  </si>
  <si>
    <t>ktmatthews.admin@townofcarthage.org</t>
  </si>
  <si>
    <t>karen.mills@townofcary.org</t>
  </si>
  <si>
    <t>townofcasarnc@gmail.com</t>
  </si>
  <si>
    <t>townofcastalia@centurylink.net</t>
  </si>
  <si>
    <t>jgriffin@caswellbeach.org</t>
  </si>
  <si>
    <t>Sandy.jones@wpcog.org</t>
  </si>
  <si>
    <t>drief@cedarpointnc.org</t>
  </si>
  <si>
    <t>edwards_h@yahoo.com</t>
  </si>
  <si>
    <t>cgth@embarqmail.com</t>
  </si>
  <si>
    <t>pgarrell@townofchadbourn.com</t>
  </si>
  <si>
    <t>aoland@townofchapelhill.org</t>
  </si>
  <si>
    <t>teresa.smith@charlottenc.gov</t>
  </si>
  <si>
    <t>dwall@cityofcherryville.com</t>
  </si>
  <si>
    <t>tevierides@aol.com</t>
  </si>
  <si>
    <t>tdropp@chinagrovenc.gov</t>
  </si>
  <si>
    <t>jmcroy@chocowinitync.org</t>
  </si>
  <si>
    <t>vmckenna@cityofclaremont.org</t>
  </si>
  <si>
    <t>KWOODS@TOWNOFCLARKTONNC.COM</t>
  </si>
  <si>
    <t>rmckie@townofclaytonnc.org</t>
  </si>
  <si>
    <t>astroud@clemmons.org</t>
  </si>
  <si>
    <t>clevelandclerk@clevelandnc.org</t>
  </si>
  <si>
    <t>kstafford@cityofclintonnc.com</t>
  </si>
  <si>
    <t>joy.garland@townofclyde.com</t>
  </si>
  <si>
    <t>kwooten@coatsnc.org</t>
  </si>
  <si>
    <t>townofcofield@embarqmail.com</t>
  </si>
  <si>
    <t>townofcolerain@mediacombb.net</t>
  </si>
  <si>
    <t>epbell@abstoy.com</t>
  </si>
  <si>
    <t>manager@columbusnc.com</t>
  </si>
  <si>
    <t>swk1028@yahoo.com</t>
  </si>
  <si>
    <t>jonesj@concordnc.gov</t>
  </si>
  <si>
    <t>townofconetoenc@gmail.com</t>
  </si>
  <si>
    <t>clerk@ci.connelly-springs.nc.us</t>
  </si>
  <si>
    <t>Kurt.beal@conovernc.gov</t>
  </si>
  <si>
    <t>conwaytownhall@mchsi.com</t>
  </si>
  <si>
    <t>athies@cooleemee.org</t>
  </si>
  <si>
    <t>jniswonger@cornelius.org</t>
  </si>
  <si>
    <t>msbarbarajones@gmail.com</t>
  </si>
  <si>
    <t>jlineberger@cramerton.org</t>
  </si>
  <si>
    <t>smehta@cityofcreedmoor.org</t>
  </si>
  <si>
    <t>creswellnc@centurylink.net</t>
  </si>
  <si>
    <t>townhall@townofcrossnore.com</t>
  </si>
  <si>
    <t>jnewton@dallasnc.net</t>
  </si>
  <si>
    <t>admin@townofdanbury1957.org</t>
  </si>
  <si>
    <t>pswart@townofdavidson.org</t>
  </si>
  <si>
    <t>angel.jenkins@townofdenton.com</t>
  </si>
  <si>
    <t>info1@dillsboronc.info</t>
  </si>
  <si>
    <t>dobbinsheights@bellsouth.net</t>
  </si>
  <si>
    <t>marlene.lopez@dobson-nc.org</t>
  </si>
  <si>
    <t>townofdortches@embarqmail.com</t>
  </si>
  <si>
    <t>townclerk@townofdovernc.com</t>
  </si>
  <si>
    <t>sbradshaw@townofdrexel.net</t>
  </si>
  <si>
    <t>dublintownhall@netscape.net</t>
  </si>
  <si>
    <t>dhavens@townofduck.com</t>
  </si>
  <si>
    <t>joroberts@dunn-nc.org</t>
  </si>
  <si>
    <t>emily.desiderio@durhamnc.gov</t>
  </si>
  <si>
    <t>clerk@townofearl.org</t>
  </si>
  <si>
    <t>earcadia@bellsouth.net</t>
  </si>
  <si>
    <t>eastbend@yadtel.net</t>
  </si>
  <si>
    <t>townadministrator@townofeastspencer.org</t>
  </si>
  <si>
    <t>townclek@eastovernc.com</t>
  </si>
  <si>
    <t>TMcMichael@eden.nc.us</t>
  </si>
  <si>
    <t>virginia.smith@edenton.nc.gov</t>
  </si>
  <si>
    <t>asteward@elizabethcitync.gov</t>
  </si>
  <si>
    <t>spenny@elizabethtownnc.org</t>
  </si>
  <si>
    <t>csguinn@townofelkpark.org</t>
  </si>
  <si>
    <t>dreavis@elkinnc.org</t>
  </si>
  <si>
    <t>tmp61@bellsouth.net</t>
  </si>
  <si>
    <t>janecsmith@rsnet.org</t>
  </si>
  <si>
    <t>sfennell@elmcitync.com</t>
  </si>
  <si>
    <t>Mhagood@elon.gov</t>
  </si>
  <si>
    <t>lrotchford@emeraldisle-nc.org</t>
  </si>
  <si>
    <t>pwhitaker@enfieldnc.org</t>
  </si>
  <si>
    <t>lpwilliams@erwin-nc.org</t>
  </si>
  <si>
    <t>Raydeans53@gmail.com</t>
  </si>
  <si>
    <t>2/6/2023</t>
  </si>
  <si>
    <t>10/12/2021</t>
  </si>
  <si>
    <t>2/14/2022</t>
  </si>
  <si>
    <t>2/1/2022</t>
  </si>
  <si>
    <t>12/16/2021</t>
  </si>
  <si>
    <t>11/2/2021</t>
  </si>
  <si>
    <t>12/8/2021</t>
  </si>
  <si>
    <t>5/3/2022</t>
  </si>
  <si>
    <t>9/13/2021</t>
  </si>
  <si>
    <t>9/9/2021</t>
  </si>
  <si>
    <t>10/6/2021</t>
  </si>
  <si>
    <t>7/11/2022</t>
  </si>
  <si>
    <t>6/7/2022</t>
  </si>
  <si>
    <t>2/17/2022</t>
  </si>
  <si>
    <t>12/9/2021</t>
  </si>
  <si>
    <t>10/5/2022</t>
  </si>
  <si>
    <t>2/7/2022</t>
  </si>
  <si>
    <t>12/3/2021</t>
  </si>
  <si>
    <t>5/2/2022</t>
  </si>
  <si>
    <t>1/7/2022</t>
  </si>
  <si>
    <t>9/22/2021</t>
  </si>
  <si>
    <t>11/1/2022</t>
  </si>
  <si>
    <t>4/25/2022</t>
  </si>
  <si>
    <t>1/2/2022</t>
  </si>
  <si>
    <t>1/15/2022</t>
  </si>
  <si>
    <t>1/18/2022</t>
  </si>
  <si>
    <t>4/18/2023</t>
  </si>
  <si>
    <t>3/25/2022</t>
  </si>
  <si>
    <t>12/2/2021</t>
  </si>
  <si>
    <t>10/4/2022</t>
  </si>
  <si>
    <t>Capital - Various Items - vehicles, street signs, building painting, carpet, building street signs, dumptruck, streets</t>
  </si>
  <si>
    <t>Capital - Town Hall Renovations</t>
  </si>
  <si>
    <t>Capital - Transportation</t>
  </si>
  <si>
    <t>- n/a</t>
  </si>
  <si>
    <t>Operations - Paid off additional debt</t>
  </si>
  <si>
    <t>Operations - Landfill cleanup</t>
  </si>
  <si>
    <t>Rubylene</t>
  </si>
  <si>
    <t>Kimberly</t>
  </si>
  <si>
    <t>Kathryn</t>
  </si>
  <si>
    <t>Sandy</t>
  </si>
  <si>
    <t>Bill</t>
  </si>
  <si>
    <t>Kentrina</t>
  </si>
  <si>
    <t>ROBERT</t>
  </si>
  <si>
    <t>Kristin</t>
  </si>
  <si>
    <t>Connie</t>
  </si>
  <si>
    <t>Radasia</t>
  </si>
  <si>
    <t>Monica</t>
  </si>
  <si>
    <t>Kelly</t>
  </si>
  <si>
    <t>Jeff</t>
  </si>
  <si>
    <t>Candy</t>
  </si>
  <si>
    <t>Tim</t>
  </si>
  <si>
    <t>Darlene</t>
  </si>
  <si>
    <t>Pritchard</t>
  </si>
  <si>
    <t>Lambert</t>
  </si>
  <si>
    <t>BUTNER</t>
  </si>
  <si>
    <t>Branch</t>
  </si>
  <si>
    <t>Adams</t>
  </si>
  <si>
    <t>Griffin</t>
  </si>
  <si>
    <t>Nichols</t>
  </si>
  <si>
    <t>Woods</t>
  </si>
  <si>
    <t>MCKIE</t>
  </si>
  <si>
    <t>Lassiter</t>
  </si>
  <si>
    <t>Sessoms</t>
  </si>
  <si>
    <t>Mauffray</t>
  </si>
  <si>
    <t>Kennington</t>
  </si>
  <si>
    <t>Hunter</t>
  </si>
  <si>
    <t>Wilkins</t>
  </si>
  <si>
    <t>Bowman</t>
  </si>
  <si>
    <t>McNallan</t>
  </si>
  <si>
    <t>Flora</t>
  </si>
  <si>
    <t>Hicks</t>
  </si>
  <si>
    <t>Barham</t>
  </si>
  <si>
    <t>3/21/2022</t>
  </si>
  <si>
    <t>9/19/2017</t>
  </si>
  <si>
    <t>8/5/2019</t>
  </si>
  <si>
    <t>2/13/2023</t>
  </si>
  <si>
    <t>5/31/2022</t>
  </si>
  <si>
    <t>1/1/2022</t>
  </si>
  <si>
    <t>6/1/2022</t>
  </si>
  <si>
    <t>11/6/2022</t>
  </si>
  <si>
    <t>3/7/2022</t>
  </si>
  <si>
    <t>12/7/2015</t>
  </si>
  <si>
    <t>11/8/2022</t>
  </si>
  <si>
    <t>Cheryl Pritchard</t>
  </si>
  <si>
    <t>Amanda Monk</t>
  </si>
  <si>
    <t>WENDY BUTNER</t>
  </si>
  <si>
    <t>Kimberly Branch</t>
  </si>
  <si>
    <t>James E Alston</t>
  </si>
  <si>
    <t>Kathryn Adams</t>
  </si>
  <si>
    <t>Sandy Jones</t>
  </si>
  <si>
    <t>David Rief</t>
  </si>
  <si>
    <t>Bill Griffin</t>
  </si>
  <si>
    <t>Tara Nichols</t>
  </si>
  <si>
    <t>Kentrina Woods</t>
  </si>
  <si>
    <t>ROBERT MCKIE</t>
  </si>
  <si>
    <t>Ann Stroud</t>
  </si>
  <si>
    <t>Kristin Stafford</t>
  </si>
  <si>
    <t>Connie Lassiter</t>
  </si>
  <si>
    <t>Radasis Sessoms</t>
  </si>
  <si>
    <t>MONICA MAUFFRAY</t>
  </si>
  <si>
    <t>Kelly Hunter</t>
  </si>
  <si>
    <t>Barbara Jones</t>
  </si>
  <si>
    <t>Jeff Wilkins</t>
  </si>
  <si>
    <t>Candy Bowman</t>
  </si>
  <si>
    <t>Pieter Swart</t>
  </si>
  <si>
    <t>Misty Marion</t>
  </si>
  <si>
    <t>Sherri Bradshaw</t>
  </si>
  <si>
    <t>Cary McNallan</t>
  </si>
  <si>
    <t>Tim Flora</t>
  </si>
  <si>
    <t>SHARON PENNY</t>
  </si>
  <si>
    <t>Darlene Hicks</t>
  </si>
  <si>
    <t>Kathy Barham</t>
  </si>
  <si>
    <t>Laura Rocthford</t>
  </si>
  <si>
    <t>Fiannce Officer</t>
  </si>
  <si>
    <t>Finance Officer/Mayor</t>
  </si>
  <si>
    <t>Finance officer</t>
  </si>
  <si>
    <t>Business Management Director</t>
  </si>
  <si>
    <t>FINANCE DIRECTOR</t>
  </si>
  <si>
    <t>Town Clerk / Finance Officer</t>
  </si>
  <si>
    <t>Finance Officer/Asst. Town Manager</t>
  </si>
  <si>
    <t>9/29/2022</t>
  </si>
  <si>
    <t>10/25/2022</t>
  </si>
  <si>
    <t>10/19/2022</t>
  </si>
  <si>
    <t>2/2/2023</t>
  </si>
  <si>
    <t>1/26/2023</t>
  </si>
  <si>
    <t>12/15/2022</t>
  </si>
  <si>
    <t>12/23/2022</t>
  </si>
  <si>
    <t>10/3/2022</t>
  </si>
  <si>
    <t>11/23/2022</t>
  </si>
  <si>
    <t>2/21/2023</t>
  </si>
  <si>
    <t>1/30/2023</t>
  </si>
  <si>
    <t>9/23/2022</t>
  </si>
  <si>
    <t>10/12/2022</t>
  </si>
  <si>
    <t>6/15/2023</t>
  </si>
  <si>
    <t>7/17/2072</t>
  </si>
  <si>
    <t>10/24/2022</t>
  </si>
  <si>
    <t>10/13/2022</t>
  </si>
  <si>
    <t>1/12/2023</t>
  </si>
  <si>
    <t>5/31/2023</t>
  </si>
  <si>
    <t>1/19/2023</t>
  </si>
  <si>
    <t>9/27/2022</t>
  </si>
  <si>
    <t>11/16/2022</t>
  </si>
  <si>
    <t>1/9/2023</t>
  </si>
  <si>
    <t>11/25/2022</t>
  </si>
  <si>
    <t>2/16/2023</t>
  </si>
  <si>
    <t>7/31/2023</t>
  </si>
  <si>
    <t>910-279-4043 ext.9105796747</t>
  </si>
  <si>
    <t>919-469-4048</t>
  </si>
  <si>
    <t>828-312-3779</t>
  </si>
  <si>
    <t>704-336-8567</t>
  </si>
  <si>
    <t>252-398-3016</t>
  </si>
  <si>
    <t>828-464-1191 ext.2903</t>
  </si>
  <si>
    <t>704-892-6031 ext.123</t>
  </si>
  <si>
    <t>704-922-3176 ext.263</t>
  </si>
  <si>
    <t>919-560-4455 ext.18229</t>
  </si>
  <si>
    <t>910-323-0707</t>
  </si>
  <si>
    <t>336-584-3601</t>
  </si>
  <si>
    <t>calypsocityof@bellsouth.net</t>
  </si>
  <si>
    <t>kimberly.branch@townofcary.org</t>
  </si>
  <si>
    <t>financeofficer@caswellbeach.org</t>
  </si>
  <si>
    <t>Sandy.Jones@wpcog.org</t>
  </si>
  <si>
    <t>bigriffincrcc@gmail.com</t>
  </si>
  <si>
    <t>tnichols@chinagrovenc.gov</t>
  </si>
  <si>
    <t>kwoods@townofclarktonnc.org</t>
  </si>
  <si>
    <t>classiter@coatsnc.org</t>
  </si>
  <si>
    <t>rjsessomstownofcofield@gmail.com</t>
  </si>
  <si>
    <t>monicamauffray@yahoo.com</t>
  </si>
  <si>
    <t>clerk@ci.connellysprings.nc.us</t>
  </si>
  <si>
    <t>kurt.beal@conovernc.gov</t>
  </si>
  <si>
    <t>conwaytownhall@mchis.com</t>
  </si>
  <si>
    <t>finance@cramerton.org</t>
  </si>
  <si>
    <t>cbowman@cityofcreedmoor.org</t>
  </si>
  <si>
    <t>misty.marion@dobson-nc.com</t>
  </si>
  <si>
    <t>cmcnallan@dunn-nc.org</t>
  </si>
  <si>
    <t>Tim.Flora@DurhamNC.gov</t>
  </si>
  <si>
    <t>townclerk@eastovernc.com</t>
  </si>
  <si>
    <t>KBarham@elon.gov</t>
  </si>
  <si>
    <t>raydeans53@gmail.com</t>
  </si>
  <si>
    <t>3/13/2023</t>
  </si>
  <si>
    <t>12/18/2022</t>
  </si>
  <si>
    <t>2/7/2023</t>
  </si>
  <si>
    <t>12/26/2022</t>
  </si>
  <si>
    <t>7/10/2023</t>
  </si>
  <si>
    <t>2/28/2023</t>
  </si>
  <si>
    <t>4/6/2023</t>
  </si>
  <si>
    <t>8/7/2023</t>
  </si>
  <si>
    <t>9/28/2022</t>
  </si>
  <si>
    <t>6/22/2023</t>
  </si>
  <si>
    <t>3/20/2023</t>
  </si>
  <si>
    <t>9/7/2023</t>
  </si>
  <si>
    <t>2022-11-11</t>
  </si>
  <si>
    <t>2022-09-29</t>
  </si>
  <si>
    <t>2022-11-01</t>
  </si>
  <si>
    <t>2022-10-20</t>
  </si>
  <si>
    <t>2023-02-03</t>
  </si>
  <si>
    <t>2023-02-22</t>
  </si>
  <si>
    <t>2022-12-15</t>
  </si>
  <si>
    <t>2022-12-31</t>
  </si>
  <si>
    <t>2022-11-16</t>
  </si>
  <si>
    <t>2023-01-03</t>
  </si>
  <si>
    <t>2022-11-17</t>
  </si>
  <si>
    <t>2023-02-23</t>
  </si>
  <si>
    <t>2023-01-30</t>
  </si>
  <si>
    <t>2022-10-06</t>
  </si>
  <si>
    <t>2022-10-12</t>
  </si>
  <si>
    <t>2022-09-13</t>
  </si>
  <si>
    <t>2023-06-19</t>
  </si>
  <si>
    <t>2023-01-18</t>
  </si>
  <si>
    <t>2022-10-21</t>
  </si>
  <si>
    <t>2022-10-25</t>
  </si>
  <si>
    <t>2023-06-15</t>
  </si>
  <si>
    <t>2023-01-27</t>
  </si>
  <si>
    <t>2023-01-12</t>
  </si>
  <si>
    <t>2023-02-12</t>
  </si>
  <si>
    <t>2022-10-18</t>
  </si>
  <si>
    <t>2022-09-09</t>
  </si>
  <si>
    <t>2022-11-09</t>
  </si>
  <si>
    <t>2023-05-31</t>
  </si>
  <si>
    <t>2023-04-05</t>
  </si>
  <si>
    <t>2022-11-18</t>
  </si>
  <si>
    <t>2023-08-11</t>
  </si>
  <si>
    <t>2022-11-21</t>
  </si>
  <si>
    <t>2022-12-30</t>
  </si>
  <si>
    <t>2023-01-09</t>
  </si>
  <si>
    <t>2023-02-16</t>
  </si>
  <si>
    <t>2023-01-31</t>
  </si>
  <si>
    <t>2023-07-31</t>
  </si>
  <si>
    <t>Amount of ARPA funds expended in total for fiscal year for non-capital purposes</t>
  </si>
  <si>
    <t>Data documenting the unit's compliance with General Statue 159-25 is captured in account numbers 947, 948, 949, 950, and 952</t>
  </si>
  <si>
    <t>If the answer to 1059 is "No," then was the unit without a board-appointed interim or permanent finance officer for more than 2 weeks at any time in the fiscal year</t>
  </si>
  <si>
    <t>Was the board-appointed permanent finance officer or board appointed interim finance officer bonded pursuant to G.S. 159-29 (Yes or No)</t>
  </si>
  <si>
    <t>TD Info Completed by Auditor tab: CCH acct # 1079</t>
  </si>
  <si>
    <t>Did your audit disclose any budget violations at the adopted ordinance level (Yes or No)</t>
  </si>
  <si>
    <t>Is there is a going concern noted in the audit report</t>
  </si>
  <si>
    <t>Does the Performance Indicator Print worksheet in this workbook have a red shaded cell</t>
  </si>
  <si>
    <t>Please do not answer this question unless the unit has a  water and/or sewer fund</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</si>
  <si>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</si>
  <si>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Water and Sewer Capital Assets Condition Ratio</t>
  </si>
  <si>
    <t xml:space="preserve">This capital assets condition ratio formula calculates the remaining useful life. A remaining useful asset value less than 0.50  may signal the need to replace the assets in the near future. </t>
  </si>
  <si>
    <t>Remaining useful life of asset greater than or equal to 0.50</t>
  </si>
  <si>
    <t>The indicator is to determine if any time during the fiscal year, the unit was without a board-appointed finance officer.</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</si>
  <si>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</si>
  <si>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</si>
  <si>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</si>
  <si>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</si>
  <si>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C31</t>
  </si>
  <si>
    <t>C30</t>
  </si>
  <si>
    <t xml:space="preserve">What date was the audit report submitted to the LGC? </t>
  </si>
  <si>
    <t>Amount transferred from the Water and Sewer Fund to Water and Sewer Capital Project Funds</t>
  </si>
  <si>
    <t>Does the Unit have a non-state administered pension plan</t>
  </si>
  <si>
    <t>Must be linked to unit number on Unit Data from Audit Worksheet tab</t>
  </si>
  <si>
    <t>Fiscal Review, UAL Determination, Financial Performance Indicator</t>
  </si>
  <si>
    <t>What date was the audit report submitted to the LGC?  (Note audit reports are due four months after fiscal year end regardless of the contract submission date.)  Enter as "MM/DD/YYYY"</t>
  </si>
  <si>
    <t>a</t>
  </si>
  <si>
    <t>Capital Assets for Water and Sewer Activity</t>
  </si>
  <si>
    <t>Danny</t>
  </si>
  <si>
    <t>Moore</t>
  </si>
  <si>
    <t>Danny Moore</t>
  </si>
  <si>
    <t>8/14/2023</t>
  </si>
  <si>
    <t>fotownofdover@gmail.com</t>
  </si>
  <si>
    <t>9/5/2023</t>
  </si>
  <si>
    <t>2023-08-17</t>
  </si>
  <si>
    <t>Manger</t>
  </si>
  <si>
    <t>8/11/2023</t>
  </si>
  <si>
    <t>townmanager@eastspencer.gov</t>
  </si>
  <si>
    <t>10/31/2023</t>
  </si>
  <si>
    <t>Fiscal 2023 -  Data Input Workbook incorporates the
Unit Data from Audit Worksheet, TD Info Completed by Auditor Worksheet, Performance Indicators Print Worksheet</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</si>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</sst>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86">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0" fontId="0" fillId="0" borderId="10" xfId="0" applyFill="1" applyBorder="1" applyAlignment="1">
      <alignment vertical="center"/>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68" fillId="34" borderId="10" xfId="0" applyFont="1" applyFill="1" applyBorder="1" applyAlignment="1">
      <alignmen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69" fillId="20" borderId="0" xfId="0" applyFont="1" applyFill="1" applyAlignment="1">
      <alignment vertical="center" wrapText="1"/>
    </xf>
    <xf numFmtId="38" fontId="68" fillId="20" borderId="0" xfId="0" applyNumberFormat="1" applyFont="1" applyFill="1" applyAlignment="1" applyProtection="1">
      <alignment vertical="center" wrapText="1"/>
      <protection locked="0"/>
    </xf>
    <xf numFmtId="0" fontId="0" fillId="36" borderId="0" xfId="0" applyNumberFormat="1" applyFont="1" applyFill="1" applyAlignment="1" applyProtection="1">
      <alignment horizontal="left" vertical="center" wrapText="1"/>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68" fillId="20" borderId="0" xfId="0" applyFont="1" applyFill="1" applyAlignment="1">
      <alignment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0" fillId="24" borderId="0" xfId="4688" applyNumberFormat="1" applyFont="1" applyFill="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0" fontId="57" fillId="78" borderId="57" xfId="0" applyFont="1" applyFill="1" applyBorder="1" applyAlignment="1" applyProtection="1">
      <alignment horizontal="left"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0" fontId="0" fillId="78" borderId="57" xfId="0" applyFill="1" applyBorder="1" applyAlignment="1" applyProtection="1">
      <alignment horizontal="lef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9" fillId="78" borderId="67" xfId="0" applyFont="1" applyFill="1" applyBorder="1" applyAlignment="1" applyProtection="1">
      <alignment horizontal="left"/>
    </xf>
    <xf numFmtId="0" fontId="37" fillId="78" borderId="57" xfId="0" applyFont="1" applyFill="1" applyBorder="1" applyAlignment="1" applyProtection="1">
      <alignment horizontal="justify" vertical="center"/>
    </xf>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0" fontId="0" fillId="78" borderId="87" xfId="0" applyFill="1" applyBorder="1" applyAlignment="1" applyProtection="1">
      <alignment horizontal="left"/>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10" fontId="44" fillId="73" borderId="0" xfId="0" applyNumberFormat="1" applyFont="1" applyFill="1" applyAlignment="1" applyProtection="1">
      <alignment horizont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0" fontId="39" fillId="85" borderId="0" xfId="0" applyFont="1" applyFill="1" applyAlignment="1" applyProtection="1">
      <alignment horizontal="center" vertical="center" wrapText="1"/>
      <protection locked="0"/>
    </xf>
    <xf numFmtId="181" fontId="0" fillId="36" borderId="0" xfId="0" applyNumberFormat="1" applyFill="1" applyAlignment="1">
      <alignment vertical="center"/>
    </xf>
    <xf numFmtId="0" fontId="0" fillId="36" borderId="0" xfId="0" applyFill="1" applyAlignment="1">
      <alignment vertical="center"/>
    </xf>
    <xf numFmtId="171" fontId="0" fillId="0" borderId="0" xfId="0" applyNumberFormat="1" applyFont="1" applyFill="1" applyAlignment="1" applyProtection="1">
      <alignment vertical="center" wrapText="1"/>
    </xf>
    <xf numFmtId="0" fontId="45" fillId="34" borderId="13" xfId="0" applyFont="1" applyFill="1" applyBorder="1" applyAlignment="1" applyProtection="1">
      <alignment horizontal="center" vertical="center" wrapText="1"/>
    </xf>
    <xf numFmtId="0" fontId="0" fillId="34" borderId="0" xfId="0" applyFont="1" applyFill="1" applyAlignment="1" applyProtection="1">
      <alignment vertical="center" wrapText="1"/>
      <protection locked="0"/>
    </xf>
    <xf numFmtId="37" fontId="0" fillId="34" borderId="29" xfId="439" applyNumberFormat="1" applyFont="1" applyFill="1" applyBorder="1" applyAlignment="1" applyProtection="1">
      <alignment horizontal="right" vertical="center"/>
    </xf>
    <xf numFmtId="49" fontId="0" fillId="34" borderId="29" xfId="439" applyNumberFormat="1" applyFont="1" applyFill="1" applyBorder="1" applyAlignment="1" applyProtection="1">
      <alignment horizontal="right" vertical="center" wrapText="1"/>
    </xf>
    <xf numFmtId="37" fontId="0" fillId="78" borderId="28" xfId="439" applyNumberFormat="1" applyFont="1" applyFill="1" applyBorder="1" applyAlignment="1" applyProtection="1">
      <alignment horizontal="right" vertical="center"/>
    </xf>
    <xf numFmtId="39" fontId="0" fillId="75" borderId="28" xfId="439" applyNumberFormat="1" applyFont="1" applyFill="1" applyBorder="1" applyAlignment="1" applyProtection="1">
      <alignment horizontal="right" vertical="center"/>
    </xf>
    <xf numFmtId="0" fontId="39" fillId="34" borderId="16" xfId="0" applyFont="1" applyFill="1" applyBorder="1" applyAlignment="1">
      <alignment horizontal="justify" vertical="center" wrapText="1"/>
    </xf>
    <xf numFmtId="190" fontId="0" fillId="34" borderId="57" xfId="4688" applyNumberFormat="1" applyFont="1" applyFill="1" applyBorder="1" applyAlignment="1" applyProtection="1">
      <alignment horizontal="center" vertical="center" wrapText="1"/>
    </xf>
    <xf numFmtId="190" fontId="0" fillId="34" borderId="16" xfId="0" applyNumberFormat="1" applyFill="1" applyBorder="1" applyAlignment="1" applyProtection="1">
      <alignment horizontal="center" vertical="center" wrapText="1"/>
    </xf>
    <xf numFmtId="0" fontId="37" fillId="34" borderId="16" xfId="0" applyFont="1" applyFill="1" applyBorder="1" applyAlignment="1" applyProtection="1">
      <alignment horizontal="justify" vertical="center" wrapText="1"/>
    </xf>
    <xf numFmtId="0" fontId="37" fillId="34" borderId="57" xfId="0" applyFont="1" applyFill="1" applyBorder="1" applyAlignment="1" applyProtection="1">
      <alignment vertical="center" wrapText="1"/>
    </xf>
    <xf numFmtId="0" fontId="186" fillId="34" borderId="57" xfId="0" applyFont="1" applyFill="1" applyBorder="1" applyAlignment="1" applyProtection="1">
      <alignment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0" fillId="1" borderId="57" xfId="0" applyFill="1" applyBorder="1" applyAlignment="1">
      <alignment horizontal="center" vertical="center" wrapText="1"/>
    </xf>
    <xf numFmtId="14" fontId="0" fillId="0" borderId="57" xfId="0" applyNumberFormat="1" applyBorder="1" applyAlignment="1" applyProtection="1">
      <alignment horizontal="center" vertical="center" wrapText="1"/>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0" xfId="0" applyFont="1" applyBorder="1"/>
    <xf numFmtId="0" fontId="44" fillId="0" borderId="56" xfId="0" applyFont="1" applyBorder="1"/>
    <xf numFmtId="0" fontId="44" fillId="0" borderId="22" xfId="0" applyFont="1" applyBorder="1" applyProtection="1"/>
    <xf numFmtId="14" fontId="44" fillId="34" borderId="0" xfId="0" applyNumberFormat="1" applyFont="1" applyFill="1" applyBorder="1"/>
    <xf numFmtId="14" fontId="44" fillId="34" borderId="56" xfId="0" applyNumberFormat="1" applyFont="1" applyFill="1" applyBorder="1"/>
    <xf numFmtId="0" fontId="44" fillId="0" borderId="72" xfId="0" applyFont="1" applyBorder="1" applyProtection="1"/>
    <xf numFmtId="14" fontId="44" fillId="34" borderId="17" xfId="0" applyNumberFormat="1" applyFont="1" applyFill="1" applyBorder="1"/>
    <xf numFmtId="14" fontId="44" fillId="34" borderId="73" xfId="0" applyNumberFormat="1" applyFont="1" applyFill="1" applyBorder="1"/>
    <xf numFmtId="0" fontId="68" fillId="0" borderId="76" xfId="0" applyFont="1" applyBorder="1" applyAlignment="1">
      <alignment vertical="center" wrapText="1"/>
    </xf>
    <xf numFmtId="14" fontId="0" fillId="78" borderId="64" xfId="439" applyNumberFormat="1" applyFont="1" applyFill="1" applyBorder="1" applyAlignment="1" applyProtection="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39" fillId="0" borderId="57" xfId="0" quotePrefix="1" applyFont="1" applyBorder="1" applyAlignment="1">
      <alignment horizontal="center" vertical="center"/>
    </xf>
    <xf numFmtId="0" fontId="39" fillId="0" borderId="57" xfId="0" quotePrefix="1" applyFont="1" applyBorder="1" applyAlignment="1">
      <alignment horizontal="center"/>
    </xf>
    <xf numFmtId="0" fontId="39" fillId="0" borderId="57" xfId="0" applyFont="1" applyBorder="1" applyAlignment="1">
      <alignment horizontal="center"/>
    </xf>
    <xf numFmtId="0" fontId="39" fillId="34" borderId="57" xfId="0" quotePrefix="1" applyFont="1" applyFill="1" applyBorder="1" applyAlignment="1">
      <alignment horizontal="center" vertical="center"/>
    </xf>
    <xf numFmtId="0" fontId="0" fillId="0" borderId="75" xfId="0" applyBorder="1"/>
    <xf numFmtId="0" fontId="0" fillId="0" borderId="57" xfId="0" applyBorder="1"/>
    <xf numFmtId="49" fontId="39" fillId="0" borderId="57" xfId="0" quotePrefix="1" applyNumberFormat="1" applyFont="1" applyBorder="1" applyAlignment="1">
      <alignment horizontal="center" vertical="center"/>
    </xf>
    <xf numFmtId="0" fontId="0" fillId="0" borderId="57" xfId="0" quotePrefix="1" applyBorder="1"/>
    <xf numFmtId="0" fontId="39" fillId="0" borderId="57" xfId="0" applyFont="1" applyBorder="1" applyAlignment="1">
      <alignment horizontal="center" vertical="center"/>
    </xf>
    <xf numFmtId="0" fontId="0" fillId="78" borderId="68" xfId="0" applyFill="1" applyBorder="1" applyAlignment="1" applyProtection="1">
      <alignment horizontal="left" vertical="center" wrapText="1"/>
      <protection locked="0"/>
    </xf>
    <xf numFmtId="0" fontId="45" fillId="78" borderId="57" xfId="0" quotePrefix="1" applyFont="1" applyFill="1" applyBorder="1" applyAlignment="1" applyProtection="1">
      <alignment horizontal="left" vertical="center" wrapText="1"/>
      <protection locked="0"/>
    </xf>
    <xf numFmtId="0" fontId="57" fillId="78" borderId="57" xfId="0" applyFont="1" applyFill="1" applyBorder="1" applyAlignment="1" applyProtection="1">
      <alignment horizontal="left" vertical="center" wrapText="1"/>
      <protection locked="0"/>
    </xf>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0" borderId="0" xfId="0" applyProtection="1">
      <protection locked="0"/>
    </xf>
    <xf numFmtId="0" fontId="0" fillId="0" borderId="0" xfId="0" applyFont="1" applyFill="1" applyAlignment="1" applyProtection="1">
      <alignment horizontal="center" vertical="center" wrapText="1"/>
      <protection locked="0"/>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0" fillId="0" borderId="77" xfId="0" applyFill="1" applyBorder="1" applyAlignment="1">
      <alignment horizontal="center" vertical="center"/>
    </xf>
    <xf numFmtId="0" fontId="0" fillId="0" borderId="77" xfId="0" applyFill="1" applyBorder="1" applyAlignment="1">
      <alignment vertical="center" wrapText="1"/>
    </xf>
    <xf numFmtId="0" fontId="0" fillId="29" borderId="77" xfId="0" applyFill="1" applyBorder="1" applyAlignment="1" applyProtection="1">
      <alignment horizontal="center" vertical="center"/>
      <protection locked="0"/>
    </xf>
    <xf numFmtId="0" fontId="68" fillId="0" borderId="69"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68" fillId="34" borderId="12" xfId="0" applyFont="1" applyFill="1" applyBorder="1" applyAlignment="1">
      <alignment vertical="center" wrapText="1"/>
    </xf>
    <xf numFmtId="0" fontId="39" fillId="78" borderId="76" xfId="0" applyFont="1" applyFill="1" applyBorder="1" applyAlignment="1">
      <alignment horizontal="left" vertical="center"/>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68" fillId="78" borderId="21" xfId="0" applyFont="1" applyFill="1" applyBorder="1" applyAlignment="1">
      <alignment vertical="center" wrapText="1"/>
    </xf>
    <xf numFmtId="0" fontId="0" fillId="29" borderId="10" xfId="0" applyFill="1" applyBorder="1" applyAlignment="1" applyProtection="1">
      <alignment horizontal="left" vertical="center" wrapText="1"/>
      <protection locked="0"/>
    </xf>
    <xf numFmtId="0" fontId="0" fillId="0" borderId="10" xfId="0" applyFill="1" applyBorder="1" applyAlignment="1">
      <alignment horizontal="left"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69" fillId="34" borderId="67" xfId="0" applyFont="1" applyFill="1" applyBorder="1" applyAlignment="1" applyProtection="1">
      <alignment horizontal="center" wrapText="1"/>
      <protection locked="0"/>
    </xf>
    <xf numFmtId="0" fontId="69" fillId="34" borderId="87" xfId="0" applyFont="1" applyFill="1" applyBorder="1" applyAlignment="1" applyProtection="1">
      <alignment horizontal="center" wrapText="1"/>
      <protection locked="0"/>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protection locked="0"/>
    </xf>
    <xf numFmtId="0" fontId="57" fillId="78" borderId="87" xfId="0" applyFont="1" applyFill="1" applyBorder="1" applyAlignment="1" applyProtection="1">
      <alignment horizontal="center" vertical="center" wrapText="1"/>
      <protection locked="0"/>
    </xf>
    <xf numFmtId="0" fontId="57" fillId="78" borderId="68" xfId="0" applyFont="1" applyFill="1" applyBorder="1" applyAlignment="1" applyProtection="1">
      <alignment horizontal="center" vertical="center" wrapText="1"/>
      <protection locked="0"/>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39" fillId="78" borderId="16" xfId="0" applyFont="1" applyFill="1" applyBorder="1" applyAlignment="1" applyProtection="1">
      <alignment horizontal="justify" vertical="center" wrapText="1"/>
    </xf>
    <xf numFmtId="0" fontId="39" fillId="78" borderId="11"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78" borderId="16" xfId="0" applyFont="1" applyFill="1" applyBorder="1" applyAlignment="1" applyProtection="1">
      <alignment horizontal="left"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78" borderId="90" xfId="0" applyFont="1" applyFill="1" applyBorder="1" applyAlignment="1" applyProtection="1">
      <alignment horizontal="left" wrapText="1"/>
    </xf>
    <xf numFmtId="0" fontId="39" fillId="78" borderId="57" xfId="0" applyFont="1" applyFill="1" applyBorder="1" applyAlignment="1" applyProtection="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2">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1"/>
      <tableStyleElement type="headerRow" dxfId="120"/>
      <tableStyleElement type="firstRowStripe" dxfId="119"/>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175260</xdr:colOff>
          <xdr:row>7</xdr:row>
          <xdr:rowOff>99060</xdr:rowOff>
        </xdr:from>
        <xdr:to>
          <xdr:col>6</xdr:col>
          <xdr:colOff>830580</xdr:colOff>
          <xdr:row>8</xdr:row>
          <xdr:rowOff>1546860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3" t="s">
        <v>2808</v>
      </c>
      <c r="E2"/>
    </row>
    <row r="3" spans="2:14" ht="76.2" customHeight="1" thickBot="1" x14ac:dyDescent="0.35">
      <c r="B3" s="982" t="s">
        <v>2050</v>
      </c>
      <c r="C3" s="173"/>
      <c r="D3" s="173"/>
      <c r="E3"/>
      <c r="F3"/>
    </row>
    <row r="4" spans="2:14" ht="58.95" customHeight="1" thickBot="1" x14ac:dyDescent="0.35">
      <c r="B4" s="982" t="s">
        <v>2051</v>
      </c>
      <c r="C4" s="173"/>
      <c r="D4" s="173"/>
    </row>
    <row r="5" spans="2:14" ht="61.2" customHeight="1" x14ac:dyDescent="0.3">
      <c r="B5" s="173" t="s">
        <v>2014</v>
      </c>
    </row>
    <row r="6" spans="2:14" ht="83.4" customHeight="1" x14ac:dyDescent="0.4">
      <c r="B6" s="173" t="s">
        <v>878</v>
      </c>
      <c r="F6" s="534"/>
      <c r="G6" s="534"/>
      <c r="H6" s="534"/>
      <c r="I6" s="534"/>
      <c r="J6" s="534"/>
      <c r="K6" s="534"/>
      <c r="L6" s="534"/>
      <c r="M6" s="534"/>
      <c r="N6" s="534"/>
    </row>
    <row r="7" spans="2:14" ht="58.2" customHeight="1" x14ac:dyDescent="0.3">
      <c r="B7" s="173" t="s">
        <v>879</v>
      </c>
    </row>
    <row r="8" spans="2:14" ht="117.6" customHeight="1" x14ac:dyDescent="0.3">
      <c r="B8" s="163" t="s">
        <v>880</v>
      </c>
    </row>
    <row r="9" spans="2:14" ht="25.95" customHeight="1" x14ac:dyDescent="0.3">
      <c r="B9" s="175" t="s">
        <v>455</v>
      </c>
    </row>
    <row r="10" spans="2:14" ht="49.2" customHeight="1" x14ac:dyDescent="0.3">
      <c r="B10" s="535" t="s">
        <v>881</v>
      </c>
    </row>
    <row r="11" spans="2:14" ht="42.6" customHeight="1" x14ac:dyDescent="0.3">
      <c r="B11" s="535" t="s">
        <v>456</v>
      </c>
    </row>
    <row r="12" spans="2:14" s="537" customFormat="1" ht="34.200000000000003" customHeight="1" x14ac:dyDescent="0.3">
      <c r="B12" s="536" t="s">
        <v>2770</v>
      </c>
    </row>
    <row r="13" spans="2:14" s="537" customFormat="1" ht="55.95" customHeight="1" x14ac:dyDescent="0.3">
      <c r="B13" s="538" t="s">
        <v>882</v>
      </c>
    </row>
    <row r="14" spans="2:14" ht="36" customHeight="1" x14ac:dyDescent="0.3">
      <c r="B14" s="538" t="s">
        <v>883</v>
      </c>
    </row>
    <row r="15" spans="2:14" ht="39" customHeight="1" x14ac:dyDescent="0.3">
      <c r="B15" s="539" t="s">
        <v>884</v>
      </c>
    </row>
    <row r="16" spans="2:14" ht="25.95" customHeight="1" x14ac:dyDescent="0.3">
      <c r="B16" s="175" t="s">
        <v>457</v>
      </c>
    </row>
    <row r="17" spans="2:2" x14ac:dyDescent="0.3">
      <c r="B17" s="162"/>
    </row>
    <row r="18" spans="2:2" x14ac:dyDescent="0.3">
      <c r="B18" s="540" t="s">
        <v>36</v>
      </c>
    </row>
    <row r="19" spans="2:2" ht="15.6" customHeight="1" x14ac:dyDescent="0.3">
      <c r="B19" s="541" t="s">
        <v>885</v>
      </c>
    </row>
    <row r="20" spans="2:2" x14ac:dyDescent="0.3">
      <c r="B20" s="542"/>
    </row>
    <row r="21" spans="2:2" x14ac:dyDescent="0.3">
      <c r="B21" s="540" t="s">
        <v>37</v>
      </c>
    </row>
    <row r="22" spans="2:2" ht="15.6" customHeight="1" x14ac:dyDescent="0.3">
      <c r="B22" s="543" t="s">
        <v>337</v>
      </c>
    </row>
    <row r="23" spans="2:2" ht="13.2" customHeight="1" x14ac:dyDescent="0.3">
      <c r="B23" s="162"/>
    </row>
    <row r="24" spans="2:2" ht="25.95" customHeight="1" x14ac:dyDescent="0.3">
      <c r="B24" s="175" t="s">
        <v>458</v>
      </c>
    </row>
    <row r="25" spans="2:2" s="537" customFormat="1" ht="72.599999999999994" customHeight="1" x14ac:dyDescent="0.3">
      <c r="B25" s="535" t="s">
        <v>1580</v>
      </c>
    </row>
    <row r="26" spans="2:2" s="537" customFormat="1" ht="84.6" customHeight="1" x14ac:dyDescent="0.3">
      <c r="B26" s="535" t="s">
        <v>886</v>
      </c>
    </row>
    <row r="27" spans="2:2" s="537" customFormat="1" ht="78.599999999999994" customHeight="1" x14ac:dyDescent="0.3">
      <c r="B27" s="535" t="s">
        <v>459</v>
      </c>
    </row>
    <row r="28" spans="2:2" ht="15" x14ac:dyDescent="0.3">
      <c r="B28" s="165" t="s">
        <v>887</v>
      </c>
    </row>
    <row r="29" spans="2:2" ht="8.4" customHeight="1" x14ac:dyDescent="0.3">
      <c r="B29" s="164"/>
    </row>
    <row r="30" spans="2:2" ht="25.95" customHeight="1" x14ac:dyDescent="0.3">
      <c r="B30" s="175" t="s">
        <v>888</v>
      </c>
    </row>
    <row r="31" spans="2:2" ht="28.95" customHeight="1" x14ac:dyDescent="0.3">
      <c r="B31" s="176" t="s">
        <v>1676</v>
      </c>
    </row>
    <row r="32" spans="2:2" ht="31.95" customHeight="1" x14ac:dyDescent="0.3">
      <c r="B32" s="176" t="s">
        <v>1679</v>
      </c>
    </row>
    <row r="33" spans="2:7" ht="30.6" customHeight="1" x14ac:dyDescent="0.3">
      <c r="B33" s="544" t="s">
        <v>1678</v>
      </c>
    </row>
    <row r="34" spans="2:7" ht="25.2" customHeight="1" x14ac:dyDescent="0.3">
      <c r="B34" s="544" t="s">
        <v>2013</v>
      </c>
    </row>
    <row r="35" spans="2:7" ht="27.6" customHeight="1" x14ac:dyDescent="0.3">
      <c r="B35" s="544" t="s">
        <v>1677</v>
      </c>
    </row>
    <row r="36" spans="2:7" ht="31.95" customHeight="1" x14ac:dyDescent="0.3">
      <c r="B36" s="545" t="s">
        <v>889</v>
      </c>
    </row>
    <row r="37" spans="2:7" ht="60" customHeight="1" x14ac:dyDescent="0.3">
      <c r="B37" s="176" t="s">
        <v>1682</v>
      </c>
    </row>
    <row r="38" spans="2:7" ht="60" customHeight="1" x14ac:dyDescent="0.3">
      <c r="B38" s="669" t="s">
        <v>1683</v>
      </c>
    </row>
    <row r="39" spans="2:7" ht="25.95" customHeight="1" x14ac:dyDescent="0.3">
      <c r="B39" s="176" t="s">
        <v>890</v>
      </c>
    </row>
    <row r="40" spans="2:7" ht="12" customHeight="1" x14ac:dyDescent="0.3">
      <c r="B40" s="176"/>
    </row>
    <row r="41" spans="2:7" ht="25.95" customHeight="1" x14ac:dyDescent="0.3">
      <c r="B41" s="175" t="s">
        <v>1680</v>
      </c>
    </row>
    <row r="42" spans="2:7" x14ac:dyDescent="0.3">
      <c r="B42" s="174"/>
      <c r="G42" s="546"/>
    </row>
    <row r="43" spans="2:7" ht="43.2" customHeight="1" x14ac:dyDescent="0.3">
      <c r="B43" s="547" t="s">
        <v>891</v>
      </c>
    </row>
    <row r="44" spans="2:7" ht="19.95" customHeight="1" x14ac:dyDescent="0.3">
      <c r="B44" s="548" t="s">
        <v>884</v>
      </c>
    </row>
    <row r="45" spans="2:7" ht="11.4" customHeight="1" x14ac:dyDescent="0.3">
      <c r="B45" s="177"/>
    </row>
    <row r="46" spans="2:7" ht="15" x14ac:dyDescent="0.3">
      <c r="B46" s="178"/>
    </row>
    <row r="47" spans="2:7" ht="7.2" customHeight="1" x14ac:dyDescent="0.3">
      <c r="B47" s="176"/>
    </row>
    <row r="48" spans="2:7" ht="25.95" customHeight="1" x14ac:dyDescent="0.3">
      <c r="B48" s="175" t="s">
        <v>1681</v>
      </c>
    </row>
    <row r="49" spans="2:2" ht="35.4" customHeight="1" x14ac:dyDescent="0.3">
      <c r="B49" s="547" t="s">
        <v>1698</v>
      </c>
    </row>
    <row r="50" spans="2:2" ht="15" x14ac:dyDescent="0.3">
      <c r="B50" s="178"/>
    </row>
    <row r="61" spans="2:2" ht="44.25" customHeight="1" x14ac:dyDescent="0.3"/>
  </sheetData>
  <sheetProtection algorithmName="SHA-512" hashValue="HsLKEr0LiBeoTU1QqjBzUyucKMTYZHtAoCmfTfa3S8rKxQ8Mwryt9cwTTw2zWDL1ZE6R8VrRPPJ++RjDx1luvQ==" saltValue="zMXv67rog5wn0Gr/s7YfkA=="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H27" sqref="H27"/>
    </sheetView>
  </sheetViews>
  <sheetFormatPr defaultColWidth="9.109375" defaultRowHeight="14.4" x14ac:dyDescent="0.3"/>
  <cols>
    <col min="1" max="1" width="45.109375" style="583" customWidth="1"/>
    <col min="2" max="2" width="36.44140625" style="583" customWidth="1"/>
    <col min="3" max="3" width="12.33203125" style="583" customWidth="1"/>
    <col min="4" max="4" width="1.33203125" style="583" customWidth="1"/>
    <col min="5" max="5" width="42.44140625" style="583" customWidth="1"/>
    <col min="6" max="6" width="19.88671875" style="583" customWidth="1"/>
    <col min="7" max="7" width="21.6640625" style="583" customWidth="1"/>
    <col min="8" max="8" width="6.6640625" style="583" customWidth="1"/>
    <col min="9" max="9" width="6.33203125" style="612" customWidth="1"/>
    <col min="10" max="10" width="11.6640625" style="612" hidden="1" customWidth="1"/>
    <col min="11" max="11" width="12" style="612" hidden="1" customWidth="1"/>
    <col min="12" max="12" width="17.109375" style="612" hidden="1" customWidth="1"/>
    <col min="13" max="13" width="15.109375" style="612" hidden="1" customWidth="1"/>
    <col min="14" max="14" width="15.5546875" style="612" hidden="1" customWidth="1"/>
    <col min="15" max="15" width="37.88671875" style="621" hidden="1" customWidth="1"/>
    <col min="16" max="16" width="15.109375" style="621" hidden="1" customWidth="1"/>
    <col min="17" max="17" width="26.6640625" style="612" customWidth="1"/>
    <col min="18" max="18" width="9.109375" style="612"/>
    <col min="19" max="19" width="11.44140625" style="612" customWidth="1"/>
    <col min="20" max="47" width="9.109375" style="612"/>
    <col min="48" max="16384" width="9.109375" style="583"/>
  </cols>
  <sheetData>
    <row r="1" spans="1:569" x14ac:dyDescent="0.3">
      <c r="A1" s="581"/>
      <c r="B1" s="595" t="str">
        <f>+'Unit Data from Audit Worksheet'!D2</f>
        <v>Select Unit Name from Drop Down List</v>
      </c>
      <c r="C1" s="582"/>
      <c r="D1" s="582"/>
      <c r="E1" s="638" t="s">
        <v>1548</v>
      </c>
      <c r="H1" s="582"/>
      <c r="J1" s="612" t="s">
        <v>1520</v>
      </c>
      <c r="K1" s="612" t="s">
        <v>1521</v>
      </c>
      <c r="M1" s="617" t="s">
        <v>1523</v>
      </c>
      <c r="N1" s="617" t="s">
        <v>1523</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1" t="s">
        <v>1542</v>
      </c>
      <c r="B2" s="581" t="e">
        <f>+'Unit Data from Audit Worksheet'!D3</f>
        <v>#N/A</v>
      </c>
      <c r="C2" s="582"/>
      <c r="D2" s="582"/>
      <c r="E2" s="639" t="s">
        <v>1547</v>
      </c>
      <c r="H2" s="582"/>
      <c r="M2" s="618" t="s">
        <v>1524</v>
      </c>
      <c r="N2" s="618" t="s">
        <v>1528</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1" t="e">
        <f>IF(LEN(VLOOKUP(B1,$L$4:$O$555,4,FALSE))=0,"",(VLOOKUP(B1,$L$4:$O$555,4,FALSE)))</f>
        <v>#N/A</v>
      </c>
      <c r="B3" s="581" t="s">
        <v>1543</v>
      </c>
      <c r="C3" s="582"/>
      <c r="D3" s="582"/>
      <c r="H3" s="582"/>
      <c r="J3" s="612" t="s">
        <v>385</v>
      </c>
      <c r="K3" s="612" t="s">
        <v>385</v>
      </c>
      <c r="M3" s="619" t="s">
        <v>1525</v>
      </c>
      <c r="N3" s="619" t="s">
        <v>1527</v>
      </c>
    </row>
    <row r="4" spans="1:569" x14ac:dyDescent="0.3">
      <c r="A4" s="1173" t="s">
        <v>565</v>
      </c>
      <c r="B4" s="1173"/>
      <c r="C4" s="1173"/>
      <c r="D4" s="582"/>
      <c r="E4" s="1174" t="s">
        <v>566</v>
      </c>
      <c r="F4" s="1174"/>
      <c r="G4" s="582"/>
      <c r="H4" s="582"/>
      <c r="L4" s="612" t="s">
        <v>476</v>
      </c>
      <c r="M4" s="612" t="s">
        <v>464</v>
      </c>
      <c r="N4" s="612" t="s">
        <v>464</v>
      </c>
      <c r="O4" s="612"/>
    </row>
    <row r="5" spans="1:569" ht="15" thickBot="1" x14ac:dyDescent="0.35">
      <c r="A5" s="584"/>
      <c r="B5" s="585"/>
      <c r="C5" s="584"/>
      <c r="D5" s="586"/>
      <c r="E5" s="584"/>
      <c r="F5" s="585"/>
      <c r="G5" s="585"/>
      <c r="H5" s="582"/>
      <c r="K5" s="621"/>
      <c r="L5" s="612" t="s">
        <v>1176</v>
      </c>
      <c r="M5" s="612" t="s">
        <v>464</v>
      </c>
      <c r="N5" s="612" t="s">
        <v>464</v>
      </c>
      <c r="O5" s="612"/>
    </row>
    <row r="6" spans="1:569" ht="15" thickBot="1" x14ac:dyDescent="0.35">
      <c r="A6" s="587" t="s">
        <v>567</v>
      </c>
      <c r="B6" s="588" t="e">
        <f>VLOOKUP(B1,$L$4:$M$555,2,FALSE)</f>
        <v>#N/A</v>
      </c>
      <c r="C6" s="588"/>
      <c r="D6" s="588"/>
      <c r="H6" s="588"/>
      <c r="L6" s="612" t="s">
        <v>1177</v>
      </c>
      <c r="M6" s="612" t="s">
        <v>464</v>
      </c>
      <c r="N6" s="612" t="s">
        <v>464</v>
      </c>
      <c r="O6" s="612"/>
    </row>
    <row r="7" spans="1:569" ht="15" thickBot="1" x14ac:dyDescent="0.35">
      <c r="A7" s="582" t="s">
        <v>665</v>
      </c>
      <c r="B7" s="254" t="e">
        <f>HLOOKUP(B1,'PY1 Data(H)'!D1:CZ282,127,FALSE)+HLOOKUP(B1,'PY1 Data(H)'!D1:CZ282,70,FALSE)</f>
        <v>#N/A</v>
      </c>
      <c r="C7" s="255"/>
      <c r="D7" s="255"/>
      <c r="E7" s="582" t="s">
        <v>571</v>
      </c>
      <c r="F7" s="641">
        <f>Import!L135</f>
        <v>0</v>
      </c>
      <c r="G7" s="588"/>
      <c r="H7" s="582"/>
      <c r="J7" s="612">
        <v>527</v>
      </c>
      <c r="K7" s="621">
        <v>366</v>
      </c>
      <c r="L7" s="615" t="s">
        <v>1178</v>
      </c>
      <c r="M7" s="615" t="s">
        <v>464</v>
      </c>
      <c r="N7" s="615">
        <v>0.05</v>
      </c>
      <c r="O7" s="612" t="s">
        <v>1544</v>
      </c>
    </row>
    <row r="8" spans="1:569" ht="15" thickBot="1" x14ac:dyDescent="0.35">
      <c r="A8" s="582" t="s">
        <v>569</v>
      </c>
      <c r="B8" s="635" t="e">
        <f>IF(B6="N/A","N/A",B6*B7)</f>
        <v>#N/A</v>
      </c>
      <c r="C8" s="256"/>
      <c r="D8" s="256"/>
      <c r="E8" s="637" t="s">
        <v>1180</v>
      </c>
      <c r="F8" s="641">
        <f>Import!L195</f>
        <v>0</v>
      </c>
      <c r="G8" s="581"/>
      <c r="H8" s="582"/>
      <c r="J8" s="620">
        <v>356</v>
      </c>
      <c r="K8" s="612">
        <v>1051</v>
      </c>
      <c r="L8" s="612" t="s">
        <v>1179</v>
      </c>
      <c r="M8" s="612" t="s">
        <v>464</v>
      </c>
      <c r="N8" s="612" t="s">
        <v>464</v>
      </c>
      <c r="O8" s="612"/>
    </row>
    <row r="9" spans="1:569" ht="15" thickBot="1" x14ac:dyDescent="0.35">
      <c r="A9" s="582"/>
      <c r="B9" s="582"/>
      <c r="C9" s="582"/>
      <c r="D9" s="582"/>
      <c r="E9" s="582"/>
      <c r="F9" s="582"/>
      <c r="G9" s="582"/>
      <c r="H9" s="582"/>
      <c r="L9" s="612" t="s">
        <v>477</v>
      </c>
      <c r="M9" s="612" t="s">
        <v>464</v>
      </c>
      <c r="N9" s="612" t="s">
        <v>464</v>
      </c>
      <c r="O9" s="612"/>
    </row>
    <row r="10" spans="1:569" ht="15" thickBot="1" x14ac:dyDescent="0.35">
      <c r="A10" s="587" t="s">
        <v>570</v>
      </c>
      <c r="B10" s="588" t="e">
        <f>VLOOKUP(B1,$L$4:$N$555,3,FALSE)</f>
        <v>#N/A</v>
      </c>
      <c r="C10" s="588"/>
      <c r="D10" s="588"/>
      <c r="E10" s="588"/>
      <c r="F10" s="588"/>
      <c r="G10" s="588"/>
      <c r="H10" s="588"/>
      <c r="L10" s="612" t="s">
        <v>1181</v>
      </c>
      <c r="M10" s="612" t="s">
        <v>464</v>
      </c>
      <c r="N10" s="612" t="s">
        <v>464</v>
      </c>
      <c r="O10" s="612"/>
    </row>
    <row r="11" spans="1:569" ht="15" thickBot="1" x14ac:dyDescent="0.35">
      <c r="A11" s="582" t="s">
        <v>666</v>
      </c>
      <c r="B11" s="589" t="e">
        <f>HLOOKUP(B1,'PY1 Data(H)'!D1:CZ282,35,FALSE)</f>
        <v>#N/A</v>
      </c>
      <c r="C11" s="590"/>
      <c r="D11" s="590"/>
      <c r="E11" s="636" t="s">
        <v>1546</v>
      </c>
      <c r="F11" s="635">
        <f>F7-F8</f>
        <v>0</v>
      </c>
      <c r="G11" s="582"/>
      <c r="H11" s="582"/>
      <c r="J11" s="612">
        <v>93</v>
      </c>
      <c r="L11" s="612" t="s">
        <v>1182</v>
      </c>
      <c r="M11" s="612" t="s">
        <v>464</v>
      </c>
      <c r="N11" s="612" t="s">
        <v>464</v>
      </c>
      <c r="O11" s="612"/>
    </row>
    <row r="12" spans="1:569" ht="15" thickBot="1" x14ac:dyDescent="0.35">
      <c r="A12" s="582" t="s">
        <v>569</v>
      </c>
      <c r="B12" s="635" t="e">
        <f>IF(B10="N/A","N/A",B10*B11)</f>
        <v>#N/A</v>
      </c>
      <c r="C12" s="256"/>
      <c r="D12" s="256"/>
      <c r="G12" s="582"/>
      <c r="H12" s="582"/>
      <c r="L12" s="614" t="s">
        <v>1183</v>
      </c>
      <c r="M12" s="614">
        <v>0.03</v>
      </c>
      <c r="N12" s="614">
        <v>0.05</v>
      </c>
      <c r="O12" s="612" t="s">
        <v>1549</v>
      </c>
      <c r="P12" s="621" t="s">
        <v>1545</v>
      </c>
    </row>
    <row r="13" spans="1:569" x14ac:dyDescent="0.3">
      <c r="A13" s="582"/>
      <c r="B13" s="591"/>
      <c r="C13" s="582"/>
      <c r="D13" s="582"/>
      <c r="E13" s="582"/>
      <c r="F13" s="582"/>
      <c r="G13" s="582"/>
      <c r="H13" s="582"/>
      <c r="L13" s="612" t="s">
        <v>1184</v>
      </c>
      <c r="M13" s="612" t="s">
        <v>464</v>
      </c>
      <c r="N13" s="612" t="s">
        <v>464</v>
      </c>
      <c r="O13" s="612"/>
    </row>
    <row r="14" spans="1:569" x14ac:dyDescent="0.3">
      <c r="A14" s="584"/>
      <c r="B14" s="585"/>
      <c r="C14" s="584"/>
      <c r="D14" s="586"/>
      <c r="E14" s="584"/>
      <c r="F14" s="585"/>
      <c r="G14" s="585"/>
      <c r="H14" s="257"/>
      <c r="L14" s="612" t="s">
        <v>1185</v>
      </c>
      <c r="M14" s="612" t="s">
        <v>464</v>
      </c>
      <c r="N14" s="612" t="s">
        <v>464</v>
      </c>
      <c r="O14" s="612"/>
    </row>
    <row r="15" spans="1:569" ht="15" thickBot="1" x14ac:dyDescent="0.35">
      <c r="A15" s="592" t="s">
        <v>572</v>
      </c>
      <c r="B15" s="582"/>
      <c r="C15" s="582"/>
      <c r="D15" s="582"/>
      <c r="E15" s="592" t="s">
        <v>572</v>
      </c>
      <c r="F15" s="581" t="s">
        <v>573</v>
      </c>
      <c r="G15" s="581" t="s">
        <v>574</v>
      </c>
      <c r="H15" s="582"/>
      <c r="L15" s="612" t="s">
        <v>1186</v>
      </c>
      <c r="M15" s="612" t="s">
        <v>464</v>
      </c>
      <c r="N15" s="612" t="s">
        <v>464</v>
      </c>
      <c r="O15" s="612"/>
    </row>
    <row r="16" spans="1:569" ht="15" thickBot="1" x14ac:dyDescent="0.35">
      <c r="A16" s="582" t="s">
        <v>568</v>
      </c>
      <c r="B16" s="254" t="e">
        <f>+B7</f>
        <v>#N/A</v>
      </c>
      <c r="C16" s="255"/>
      <c r="D16" s="255"/>
      <c r="E16" s="582" t="s">
        <v>575</v>
      </c>
      <c r="F16" s="642">
        <f>Import!L194</f>
        <v>0</v>
      </c>
      <c r="G16" s="600" t="e">
        <f>+B18</f>
        <v>#N/A</v>
      </c>
      <c r="H16" s="582"/>
      <c r="K16" s="612">
        <v>990</v>
      </c>
      <c r="L16" s="612" t="s">
        <v>1187</v>
      </c>
      <c r="M16" s="612" t="s">
        <v>464</v>
      </c>
      <c r="N16" s="612" t="s">
        <v>464</v>
      </c>
      <c r="O16" s="612"/>
    </row>
    <row r="17" spans="1:16" ht="15" thickBot="1" x14ac:dyDescent="0.35">
      <c r="A17" s="582" t="s">
        <v>576</v>
      </c>
      <c r="B17" s="670">
        <f>Import!L209</f>
        <v>0</v>
      </c>
      <c r="C17" s="582"/>
      <c r="D17" s="582"/>
      <c r="E17" s="582"/>
      <c r="F17" s="601"/>
      <c r="G17" s="601"/>
      <c r="H17" s="582"/>
      <c r="J17" s="612">
        <v>648</v>
      </c>
      <c r="L17" s="612" t="s">
        <v>1188</v>
      </c>
      <c r="M17" s="612" t="s">
        <v>464</v>
      </c>
      <c r="N17" s="612" t="s">
        <v>464</v>
      </c>
      <c r="O17" s="612"/>
    </row>
    <row r="18" spans="1:16" ht="29.4" thickBot="1" x14ac:dyDescent="0.35">
      <c r="A18" s="582" t="s">
        <v>569</v>
      </c>
      <c r="B18" s="599" t="e">
        <f>ROUND((B16/100)*B17,0)</f>
        <v>#N/A</v>
      </c>
      <c r="C18" s="258"/>
      <c r="D18" s="256"/>
      <c r="E18" s="593" t="s">
        <v>1190</v>
      </c>
      <c r="F18" s="599">
        <f>IF(F16=0,F11-F16,F11-MAX(F16,G16))</f>
        <v>0</v>
      </c>
      <c r="G18" s="601"/>
      <c r="H18" s="582"/>
      <c r="L18" s="612" t="s">
        <v>479</v>
      </c>
      <c r="M18" s="612" t="s">
        <v>464</v>
      </c>
      <c r="N18" s="612" t="s">
        <v>464</v>
      </c>
      <c r="O18" s="612"/>
    </row>
    <row r="19" spans="1:16" x14ac:dyDescent="0.3">
      <c r="A19" s="582"/>
      <c r="B19" s="582"/>
      <c r="C19" s="582"/>
      <c r="D19" s="594"/>
      <c r="E19" s="582"/>
      <c r="F19" s="528"/>
      <c r="G19" s="258"/>
      <c r="H19" s="582"/>
      <c r="L19" s="612" t="s">
        <v>1189</v>
      </c>
      <c r="M19" s="612" t="s">
        <v>464</v>
      </c>
      <c r="N19" s="612" t="s">
        <v>464</v>
      </c>
      <c r="O19" s="612"/>
    </row>
    <row r="20" spans="1:16" x14ac:dyDescent="0.3">
      <c r="A20" s="584"/>
      <c r="B20" s="585"/>
      <c r="C20" s="584"/>
      <c r="D20" s="582"/>
      <c r="E20" s="584"/>
      <c r="F20" s="585"/>
      <c r="G20" s="585"/>
      <c r="H20" s="582"/>
      <c r="L20" s="612" t="s">
        <v>1191</v>
      </c>
      <c r="M20" s="612" t="s">
        <v>464</v>
      </c>
      <c r="N20" s="612" t="s">
        <v>464</v>
      </c>
      <c r="O20" s="612"/>
    </row>
    <row r="21" spans="1:16" ht="15" thickBot="1" x14ac:dyDescent="0.35">
      <c r="A21" s="582"/>
      <c r="B21" s="582"/>
      <c r="C21" s="582"/>
      <c r="D21" s="582"/>
      <c r="E21" s="592" t="s">
        <v>577</v>
      </c>
      <c r="F21" s="592"/>
      <c r="G21" s="592"/>
      <c r="H21" s="582"/>
      <c r="L21" s="612" t="s">
        <v>816</v>
      </c>
      <c r="M21" s="612" t="s">
        <v>464</v>
      </c>
      <c r="N21" s="612" t="s">
        <v>464</v>
      </c>
      <c r="O21" s="612"/>
    </row>
    <row r="22" spans="1:16" ht="15" thickBot="1" x14ac:dyDescent="0.35">
      <c r="A22" s="582"/>
      <c r="B22" s="643"/>
      <c r="C22" s="582"/>
      <c r="D22" s="586"/>
      <c r="E22" s="582" t="s">
        <v>578</v>
      </c>
      <c r="F22" s="602" t="e">
        <f>MAX(B8,B12)</f>
        <v>#N/A</v>
      </c>
      <c r="G22" s="594"/>
      <c r="H22" s="256"/>
      <c r="L22" s="612" t="s">
        <v>1192</v>
      </c>
      <c r="M22" s="612" t="s">
        <v>464</v>
      </c>
      <c r="N22" s="612" t="s">
        <v>464</v>
      </c>
      <c r="O22" s="612"/>
    </row>
    <row r="23" spans="1:16" ht="15" thickBot="1" x14ac:dyDescent="0.35">
      <c r="A23" s="582"/>
      <c r="B23" s="643"/>
      <c r="C23" s="582"/>
      <c r="D23" s="592"/>
      <c r="E23" s="582"/>
      <c r="F23" s="656"/>
      <c r="G23" s="594"/>
      <c r="H23" s="256"/>
      <c r="L23" s="612" t="s">
        <v>1193</v>
      </c>
      <c r="M23" s="612" t="s">
        <v>464</v>
      </c>
      <c r="N23" s="612" t="s">
        <v>464</v>
      </c>
      <c r="O23" s="612"/>
    </row>
    <row r="24" spans="1:16" ht="15" thickBot="1" x14ac:dyDescent="0.35">
      <c r="B24" s="640"/>
      <c r="D24" s="594"/>
      <c r="E24" s="582" t="s">
        <v>579</v>
      </c>
      <c r="F24" s="603">
        <f>IF(F7=0,0,IF(F18&lt;=F22,"Yes", "No, unit exceeds limit by:"))</f>
        <v>0</v>
      </c>
      <c r="G24" s="582"/>
      <c r="H24" s="582"/>
      <c r="L24" s="614" t="s">
        <v>817</v>
      </c>
      <c r="M24" s="614">
        <v>0.03</v>
      </c>
      <c r="N24" s="614">
        <v>0.05</v>
      </c>
      <c r="O24" s="612" t="s">
        <v>1549</v>
      </c>
      <c r="P24" s="621" t="s">
        <v>1545</v>
      </c>
    </row>
    <row r="25" spans="1:16" ht="15" thickBot="1" x14ac:dyDescent="0.35">
      <c r="B25" s="640"/>
      <c r="C25" s="582"/>
      <c r="D25" s="594"/>
      <c r="E25" s="582"/>
      <c r="F25" s="603" t="e">
        <f>IF(F18-F22&lt;=0,0,F18-F22)</f>
        <v>#N/A</v>
      </c>
      <c r="G25" s="259"/>
      <c r="H25" s="592"/>
      <c r="L25" s="612" t="s">
        <v>480</v>
      </c>
      <c r="M25" s="612" t="s">
        <v>464</v>
      </c>
      <c r="N25" s="612" t="s">
        <v>464</v>
      </c>
      <c r="O25" s="612"/>
    </row>
    <row r="26" spans="1:16" ht="15" thickBot="1" x14ac:dyDescent="0.35">
      <c r="B26" s="640"/>
      <c r="C26" s="582"/>
      <c r="D26" s="595"/>
      <c r="E26" s="582"/>
      <c r="F26" s="601"/>
      <c r="G26" s="582"/>
      <c r="H26" s="582"/>
      <c r="L26" s="612" t="s">
        <v>818</v>
      </c>
      <c r="M26" s="612" t="s">
        <v>464</v>
      </c>
      <c r="N26" s="612" t="s">
        <v>464</v>
      </c>
      <c r="O26" s="612"/>
    </row>
    <row r="27" spans="1:16" x14ac:dyDescent="0.3">
      <c r="A27" s="582"/>
      <c r="B27" s="643"/>
      <c r="C27" s="582"/>
      <c r="D27" s="595"/>
      <c r="E27" s="596" t="s">
        <v>580</v>
      </c>
      <c r="F27" s="604">
        <f>IF(F16=0,0,F16-G16)</f>
        <v>0</v>
      </c>
      <c r="G27" s="582"/>
      <c r="H27" s="582"/>
      <c r="L27" s="612" t="s">
        <v>1194</v>
      </c>
      <c r="M27" s="612" t="s">
        <v>464</v>
      </c>
      <c r="N27" s="612" t="s">
        <v>464</v>
      </c>
      <c r="O27" s="612"/>
    </row>
    <row r="28" spans="1:16" ht="33.75" customHeight="1" thickBot="1" x14ac:dyDescent="0.35">
      <c r="A28" s="582"/>
      <c r="B28" s="643"/>
      <c r="C28" s="582"/>
      <c r="D28" s="582"/>
      <c r="E28" s="582"/>
      <c r="F28" s="260" t="str">
        <f>IF(F27=0,"","Investigate")</f>
        <v/>
      </c>
      <c r="G28" s="582"/>
      <c r="H28" s="582"/>
      <c r="L28" s="612" t="s">
        <v>1195</v>
      </c>
      <c r="M28" s="612" t="s">
        <v>464</v>
      </c>
      <c r="N28" s="612" t="s">
        <v>464</v>
      </c>
      <c r="O28" s="612"/>
    </row>
    <row r="29" spans="1:16" x14ac:dyDescent="0.3">
      <c r="A29" s="586"/>
      <c r="B29" s="582"/>
      <c r="C29" s="582"/>
      <c r="D29" s="582"/>
      <c r="E29" s="586" t="s">
        <v>581</v>
      </c>
      <c r="F29" s="582"/>
      <c r="G29" s="582"/>
      <c r="H29" s="582"/>
      <c r="L29" s="612" t="s">
        <v>1196</v>
      </c>
      <c r="M29" s="612" t="s">
        <v>464</v>
      </c>
      <c r="N29" s="612" t="s">
        <v>464</v>
      </c>
      <c r="O29" s="612"/>
    </row>
    <row r="30" spans="1:16" ht="14.4" customHeight="1" x14ac:dyDescent="0.3">
      <c r="A30" s="597"/>
      <c r="B30" s="597"/>
      <c r="C30" s="597"/>
      <c r="D30" s="582"/>
      <c r="E30" s="1175" t="s">
        <v>1581</v>
      </c>
      <c r="F30" s="1176"/>
      <c r="G30" s="1177"/>
      <c r="H30" s="582"/>
      <c r="L30" s="612" t="s">
        <v>481</v>
      </c>
      <c r="M30" s="612" t="s">
        <v>464</v>
      </c>
      <c r="N30" s="612" t="s">
        <v>464</v>
      </c>
      <c r="O30" s="612"/>
    </row>
    <row r="31" spans="1:16" x14ac:dyDescent="0.3">
      <c r="A31" s="582"/>
      <c r="B31" s="582"/>
      <c r="C31" s="597"/>
      <c r="D31" s="582"/>
      <c r="E31" s="1178"/>
      <c r="F31" s="1179"/>
      <c r="G31" s="1180"/>
      <c r="H31" s="582"/>
      <c r="L31" s="612" t="s">
        <v>1197</v>
      </c>
      <c r="M31" s="612" t="s">
        <v>464</v>
      </c>
      <c r="N31" s="612" t="s">
        <v>464</v>
      </c>
      <c r="O31" s="612"/>
    </row>
    <row r="32" spans="1:16" x14ac:dyDescent="0.3">
      <c r="A32" s="597"/>
      <c r="B32" s="597"/>
      <c r="C32" s="597"/>
      <c r="D32" s="582"/>
      <c r="E32" s="1178"/>
      <c r="F32" s="1179"/>
      <c r="G32" s="1180"/>
      <c r="L32" s="612" t="s">
        <v>1198</v>
      </c>
      <c r="M32" s="612" t="s">
        <v>464</v>
      </c>
      <c r="N32" s="612" t="s">
        <v>464</v>
      </c>
      <c r="O32" s="612"/>
    </row>
    <row r="33" spans="1:16" ht="30" customHeight="1" x14ac:dyDescent="0.3">
      <c r="A33" s="597"/>
      <c r="B33" s="597"/>
      <c r="C33" s="597"/>
      <c r="D33" s="582"/>
      <c r="E33" s="1181"/>
      <c r="F33" s="1182"/>
      <c r="G33" s="1183"/>
      <c r="L33" s="612" t="s">
        <v>1199</v>
      </c>
      <c r="M33" s="612" t="s">
        <v>464</v>
      </c>
      <c r="N33" s="612" t="s">
        <v>464</v>
      </c>
      <c r="O33" s="612"/>
    </row>
    <row r="34" spans="1:16" x14ac:dyDescent="0.3">
      <c r="A34" s="597"/>
      <c r="B34" s="597"/>
      <c r="C34" s="597"/>
      <c r="D34" s="582"/>
      <c r="E34" s="598"/>
      <c r="F34" s="598"/>
      <c r="G34" s="598"/>
      <c r="L34" s="612" t="s">
        <v>1200</v>
      </c>
      <c r="M34" s="612" t="s">
        <v>464</v>
      </c>
      <c r="N34" s="612" t="s">
        <v>464</v>
      </c>
      <c r="O34" s="612"/>
    </row>
    <row r="35" spans="1:16" x14ac:dyDescent="0.3">
      <c r="A35" s="597"/>
      <c r="B35" s="597"/>
      <c r="C35" s="597"/>
      <c r="D35" s="582"/>
      <c r="E35" s="1175" t="s">
        <v>1512</v>
      </c>
      <c r="F35" s="1176"/>
      <c r="G35" s="1177"/>
      <c r="L35" s="614" t="s">
        <v>482</v>
      </c>
      <c r="M35" s="614">
        <v>0.03</v>
      </c>
      <c r="N35" s="614">
        <v>0.05</v>
      </c>
      <c r="O35" s="612" t="s">
        <v>1549</v>
      </c>
      <c r="P35" s="621" t="s">
        <v>1545</v>
      </c>
    </row>
    <row r="36" spans="1:16" x14ac:dyDescent="0.3">
      <c r="A36" s="582"/>
      <c r="B36" s="582"/>
      <c r="C36" s="582"/>
      <c r="D36" s="582"/>
      <c r="E36" s="1178"/>
      <c r="F36" s="1184"/>
      <c r="G36" s="1180"/>
      <c r="L36" s="612" t="s">
        <v>819</v>
      </c>
      <c r="M36" s="612" t="s">
        <v>464</v>
      </c>
      <c r="N36" s="612" t="s">
        <v>464</v>
      </c>
      <c r="O36" s="612"/>
    </row>
    <row r="37" spans="1:16" x14ac:dyDescent="0.3">
      <c r="A37" s="582"/>
      <c r="B37" s="582"/>
      <c r="C37" s="582"/>
      <c r="D37" s="582"/>
      <c r="E37" s="1181"/>
      <c r="F37" s="1182"/>
      <c r="G37" s="1183"/>
      <c r="L37" s="612" t="s">
        <v>483</v>
      </c>
      <c r="M37" s="612" t="s">
        <v>464</v>
      </c>
      <c r="N37" s="612" t="s">
        <v>464</v>
      </c>
      <c r="O37" s="612"/>
    </row>
    <row r="38" spans="1:16" x14ac:dyDescent="0.3">
      <c r="A38" s="582"/>
      <c r="B38" s="582"/>
      <c r="C38" s="582"/>
      <c r="D38" s="582"/>
      <c r="E38" s="582"/>
      <c r="F38" s="582"/>
      <c r="G38" s="582"/>
      <c r="L38" s="612" t="s">
        <v>1202</v>
      </c>
      <c r="M38" s="612" t="s">
        <v>464</v>
      </c>
      <c r="N38" s="612" t="s">
        <v>464</v>
      </c>
      <c r="O38" s="612"/>
    </row>
    <row r="39" spans="1:16" ht="15" thickBot="1" x14ac:dyDescent="0.35">
      <c r="C39" s="582"/>
      <c r="D39" s="582"/>
      <c r="E39" s="1185" t="s">
        <v>582</v>
      </c>
      <c r="F39" s="1185"/>
      <c r="G39" s="1185"/>
      <c r="L39" s="614" t="s">
        <v>1203</v>
      </c>
      <c r="M39" s="614">
        <v>0.03</v>
      </c>
      <c r="N39" s="614">
        <v>0.05</v>
      </c>
      <c r="O39" s="612" t="s">
        <v>1549</v>
      </c>
      <c r="P39" s="621" t="s">
        <v>1545</v>
      </c>
    </row>
    <row r="40" spans="1:16" x14ac:dyDescent="0.3">
      <c r="A40" s="582"/>
      <c r="B40" s="582"/>
      <c r="C40" s="582"/>
      <c r="D40" s="582"/>
      <c r="E40" s="1164"/>
      <c r="F40" s="1165"/>
      <c r="G40" s="1166"/>
      <c r="L40" s="612" t="s">
        <v>1204</v>
      </c>
      <c r="M40" s="612" t="s">
        <v>464</v>
      </c>
      <c r="N40" s="612" t="s">
        <v>464</v>
      </c>
      <c r="O40" s="612"/>
    </row>
    <row r="41" spans="1:16" x14ac:dyDescent="0.3">
      <c r="A41" s="582"/>
      <c r="B41" s="582"/>
      <c r="C41" s="582"/>
      <c r="D41" s="582"/>
      <c r="E41" s="1167"/>
      <c r="F41" s="1168"/>
      <c r="G41" s="1169"/>
      <c r="L41" s="612" t="s">
        <v>1205</v>
      </c>
      <c r="M41" s="612" t="s">
        <v>464</v>
      </c>
      <c r="N41" s="612" t="s">
        <v>464</v>
      </c>
      <c r="O41" s="612"/>
    </row>
    <row r="42" spans="1:16" x14ac:dyDescent="0.3">
      <c r="A42" s="582"/>
      <c r="B42" s="582"/>
      <c r="C42" s="582"/>
      <c r="D42" s="582"/>
      <c r="E42" s="1167"/>
      <c r="F42" s="1168"/>
      <c r="G42" s="1169"/>
      <c r="L42" s="612" t="s">
        <v>1201</v>
      </c>
      <c r="M42" s="612" t="s">
        <v>464</v>
      </c>
      <c r="N42" s="612" t="s">
        <v>464</v>
      </c>
      <c r="O42" s="612"/>
    </row>
    <row r="43" spans="1:16" x14ac:dyDescent="0.3">
      <c r="A43" s="582"/>
      <c r="B43" s="582"/>
      <c r="C43" s="582"/>
      <c r="D43" s="582"/>
      <c r="E43" s="1167"/>
      <c r="F43" s="1168"/>
      <c r="G43" s="1169"/>
      <c r="L43" s="612" t="s">
        <v>485</v>
      </c>
      <c r="M43" s="612" t="s">
        <v>464</v>
      </c>
      <c r="N43" s="612" t="s">
        <v>464</v>
      </c>
      <c r="O43" s="612"/>
    </row>
    <row r="44" spans="1:16" x14ac:dyDescent="0.3">
      <c r="D44" s="582"/>
      <c r="E44" s="1167"/>
      <c r="F44" s="1168"/>
      <c r="G44" s="1169"/>
      <c r="L44" s="612" t="s">
        <v>1206</v>
      </c>
      <c r="M44" s="612" t="s">
        <v>464</v>
      </c>
      <c r="N44" s="612" t="s">
        <v>464</v>
      </c>
      <c r="O44" s="612"/>
    </row>
    <row r="45" spans="1:16" x14ac:dyDescent="0.3">
      <c r="D45" s="582"/>
      <c r="E45" s="1167"/>
      <c r="F45" s="1168"/>
      <c r="G45" s="1169"/>
      <c r="L45" s="612" t="s">
        <v>1207</v>
      </c>
      <c r="M45" s="612" t="s">
        <v>464</v>
      </c>
      <c r="N45" s="612" t="s">
        <v>464</v>
      </c>
      <c r="O45" s="612"/>
    </row>
    <row r="46" spans="1:16" x14ac:dyDescent="0.3">
      <c r="E46" s="1167"/>
      <c r="F46" s="1168"/>
      <c r="G46" s="1169"/>
      <c r="L46" s="612" t="s">
        <v>1208</v>
      </c>
      <c r="M46" s="612" t="s">
        <v>464</v>
      </c>
      <c r="N46" s="612" t="s">
        <v>464</v>
      </c>
      <c r="O46" s="612"/>
    </row>
    <row r="47" spans="1:16" x14ac:dyDescent="0.3">
      <c r="E47" s="1167"/>
      <c r="F47" s="1168"/>
      <c r="G47" s="1169"/>
      <c r="L47" s="612" t="s">
        <v>486</v>
      </c>
      <c r="M47" s="612" t="s">
        <v>464</v>
      </c>
      <c r="N47" s="612" t="s">
        <v>464</v>
      </c>
      <c r="O47" s="612" t="s">
        <v>1643</v>
      </c>
    </row>
    <row r="48" spans="1:16" x14ac:dyDescent="0.3">
      <c r="E48" s="1167"/>
      <c r="F48" s="1168"/>
      <c r="G48" s="1169"/>
      <c r="L48" s="612" t="s">
        <v>1209</v>
      </c>
      <c r="M48" s="612" t="s">
        <v>464</v>
      </c>
      <c r="N48" s="612" t="s">
        <v>464</v>
      </c>
      <c r="O48" s="612"/>
    </row>
    <row r="49" spans="5:15" x14ac:dyDescent="0.3">
      <c r="E49" s="1167"/>
      <c r="F49" s="1168"/>
      <c r="G49" s="1169"/>
      <c r="L49" s="612" t="s">
        <v>1210</v>
      </c>
      <c r="M49" s="612" t="s">
        <v>464</v>
      </c>
      <c r="N49" s="612" t="s">
        <v>464</v>
      </c>
      <c r="O49" s="612"/>
    </row>
    <row r="50" spans="5:15" x14ac:dyDescent="0.3">
      <c r="E50" s="1167"/>
      <c r="F50" s="1168"/>
      <c r="G50" s="1169"/>
      <c r="L50" s="612" t="s">
        <v>1211</v>
      </c>
      <c r="M50" s="612" t="s">
        <v>464</v>
      </c>
      <c r="N50" s="612" t="s">
        <v>464</v>
      </c>
      <c r="O50" s="612"/>
    </row>
    <row r="51" spans="5:15" ht="15" thickBot="1" x14ac:dyDescent="0.35">
      <c r="E51" s="1170"/>
      <c r="F51" s="1171"/>
      <c r="G51" s="1172"/>
      <c r="L51" s="612" t="s">
        <v>487</v>
      </c>
      <c r="M51" s="612" t="s">
        <v>464</v>
      </c>
      <c r="N51" s="612" t="s">
        <v>464</v>
      </c>
      <c r="O51" s="612"/>
    </row>
    <row r="52" spans="5:15" x14ac:dyDescent="0.3">
      <c r="L52" s="612" t="s">
        <v>1212</v>
      </c>
      <c r="M52" s="612" t="s">
        <v>464</v>
      </c>
      <c r="N52" s="612" t="s">
        <v>464</v>
      </c>
      <c r="O52" s="612"/>
    </row>
    <row r="53" spans="5:15" x14ac:dyDescent="0.3">
      <c r="L53" s="612" t="s">
        <v>1214</v>
      </c>
      <c r="M53" s="612" t="s">
        <v>464</v>
      </c>
      <c r="N53" s="612" t="s">
        <v>464</v>
      </c>
      <c r="O53" s="612"/>
    </row>
    <row r="54" spans="5:15" x14ac:dyDescent="0.3">
      <c r="L54" s="612" t="s">
        <v>1213</v>
      </c>
      <c r="M54" s="612" t="s">
        <v>464</v>
      </c>
      <c r="N54" s="612" t="s">
        <v>464</v>
      </c>
      <c r="O54" s="612"/>
    </row>
    <row r="55" spans="5:15" x14ac:dyDescent="0.3">
      <c r="L55" s="612" t="s">
        <v>1215</v>
      </c>
      <c r="M55" s="612" t="s">
        <v>464</v>
      </c>
      <c r="N55" s="612" t="s">
        <v>464</v>
      </c>
      <c r="O55" s="612"/>
    </row>
    <row r="56" spans="5:15" x14ac:dyDescent="0.3">
      <c r="L56" s="612" t="s">
        <v>488</v>
      </c>
      <c r="M56" s="612" t="s">
        <v>464</v>
      </c>
      <c r="N56" s="612" t="s">
        <v>464</v>
      </c>
      <c r="O56" s="612"/>
    </row>
    <row r="57" spans="5:15" x14ac:dyDescent="0.3">
      <c r="L57" s="612" t="s">
        <v>1216</v>
      </c>
      <c r="M57" s="612" t="s">
        <v>464</v>
      </c>
      <c r="N57" s="612" t="s">
        <v>464</v>
      </c>
      <c r="O57" s="612"/>
    </row>
    <row r="58" spans="5:15" x14ac:dyDescent="0.3">
      <c r="L58" s="612" t="s">
        <v>1217</v>
      </c>
      <c r="M58" s="612" t="s">
        <v>464</v>
      </c>
      <c r="N58" s="612" t="s">
        <v>464</v>
      </c>
      <c r="O58" s="612"/>
    </row>
    <row r="59" spans="5:15" x14ac:dyDescent="0.3">
      <c r="L59" s="615" t="s">
        <v>1218</v>
      </c>
      <c r="M59" s="615">
        <v>0.15</v>
      </c>
      <c r="N59" s="615" t="s">
        <v>464</v>
      </c>
      <c r="O59" s="612" t="s">
        <v>1544</v>
      </c>
    </row>
    <row r="60" spans="5:15" x14ac:dyDescent="0.3">
      <c r="L60" s="612" t="s">
        <v>489</v>
      </c>
      <c r="M60" s="612" t="s">
        <v>464</v>
      </c>
      <c r="N60" s="612" t="s">
        <v>464</v>
      </c>
      <c r="O60" s="612"/>
    </row>
    <row r="61" spans="5:15" x14ac:dyDescent="0.3">
      <c r="L61" s="612" t="s">
        <v>1219</v>
      </c>
      <c r="M61" s="612" t="s">
        <v>464</v>
      </c>
      <c r="N61" s="612" t="s">
        <v>464</v>
      </c>
      <c r="O61" s="612"/>
    </row>
    <row r="62" spans="5:15" x14ac:dyDescent="0.3">
      <c r="L62" s="612" t="s">
        <v>1220</v>
      </c>
      <c r="M62" s="612" t="s">
        <v>464</v>
      </c>
      <c r="N62" s="612" t="s">
        <v>464</v>
      </c>
      <c r="O62" s="612"/>
    </row>
    <row r="63" spans="5:15" x14ac:dyDescent="0.3">
      <c r="L63" s="612" t="s">
        <v>1221</v>
      </c>
      <c r="M63" s="612" t="s">
        <v>464</v>
      </c>
      <c r="N63" s="612" t="s">
        <v>464</v>
      </c>
      <c r="O63" s="612"/>
    </row>
    <row r="64" spans="5:15" x14ac:dyDescent="0.3">
      <c r="L64" s="612" t="s">
        <v>1222</v>
      </c>
      <c r="M64" s="612" t="s">
        <v>464</v>
      </c>
      <c r="N64" s="612" t="s">
        <v>464</v>
      </c>
      <c r="O64" s="612"/>
    </row>
    <row r="65" spans="12:15" x14ac:dyDescent="0.3">
      <c r="L65" s="612" t="s">
        <v>1223</v>
      </c>
      <c r="M65" s="612" t="s">
        <v>464</v>
      </c>
      <c r="N65" s="612" t="s">
        <v>464</v>
      </c>
      <c r="O65" s="612"/>
    </row>
    <row r="66" spans="12:15" x14ac:dyDescent="0.3">
      <c r="L66" s="612" t="s">
        <v>820</v>
      </c>
      <c r="M66" s="612" t="s">
        <v>464</v>
      </c>
      <c r="N66" s="612" t="s">
        <v>464</v>
      </c>
      <c r="O66" s="612"/>
    </row>
    <row r="67" spans="12:15" x14ac:dyDescent="0.3">
      <c r="L67" s="612" t="s">
        <v>1224</v>
      </c>
      <c r="M67" s="612" t="s">
        <v>464</v>
      </c>
      <c r="N67" s="612" t="s">
        <v>464</v>
      </c>
      <c r="O67" s="612"/>
    </row>
    <row r="68" spans="12:15" x14ac:dyDescent="0.3">
      <c r="L68" s="612" t="s">
        <v>1225</v>
      </c>
      <c r="M68" s="612" t="s">
        <v>464</v>
      </c>
      <c r="N68" s="612" t="s">
        <v>464</v>
      </c>
      <c r="O68" s="612"/>
    </row>
    <row r="69" spans="12:15" x14ac:dyDescent="0.3">
      <c r="L69" s="612" t="s">
        <v>1226</v>
      </c>
      <c r="M69" s="612" t="s">
        <v>464</v>
      </c>
      <c r="N69" s="612" t="s">
        <v>464</v>
      </c>
      <c r="O69" s="612"/>
    </row>
    <row r="70" spans="12:15" x14ac:dyDescent="0.3">
      <c r="L70" s="612" t="s">
        <v>1227</v>
      </c>
      <c r="M70" s="612" t="s">
        <v>464</v>
      </c>
      <c r="N70" s="612" t="s">
        <v>464</v>
      </c>
      <c r="O70" s="612"/>
    </row>
    <row r="71" spans="12:15" x14ac:dyDescent="0.3">
      <c r="L71" s="612" t="s">
        <v>1228</v>
      </c>
      <c r="M71" s="612" t="s">
        <v>464</v>
      </c>
      <c r="N71" s="612" t="s">
        <v>464</v>
      </c>
      <c r="O71" s="612"/>
    </row>
    <row r="72" spans="12:15" x14ac:dyDescent="0.3">
      <c r="L72" s="612" t="s">
        <v>1229</v>
      </c>
      <c r="M72" s="612" t="s">
        <v>464</v>
      </c>
      <c r="N72" s="612" t="s">
        <v>464</v>
      </c>
      <c r="O72" s="612"/>
    </row>
    <row r="73" spans="12:15" x14ac:dyDescent="0.3">
      <c r="L73" s="612" t="s">
        <v>1230</v>
      </c>
      <c r="M73" s="612" t="s">
        <v>464</v>
      </c>
      <c r="N73" s="612" t="s">
        <v>464</v>
      </c>
      <c r="O73" s="612"/>
    </row>
    <row r="74" spans="12:15" x14ac:dyDescent="0.3">
      <c r="L74" s="612" t="s">
        <v>1231</v>
      </c>
      <c r="M74" s="612" t="s">
        <v>464</v>
      </c>
      <c r="N74" s="612" t="s">
        <v>464</v>
      </c>
      <c r="O74" s="612"/>
    </row>
    <row r="75" spans="12:15" x14ac:dyDescent="0.3">
      <c r="L75" s="612" t="s">
        <v>1232</v>
      </c>
      <c r="M75" s="612" t="s">
        <v>464</v>
      </c>
      <c r="N75" s="612" t="s">
        <v>464</v>
      </c>
      <c r="O75" s="612"/>
    </row>
    <row r="76" spans="12:15" x14ac:dyDescent="0.3">
      <c r="L76" s="612" t="s">
        <v>1233</v>
      </c>
      <c r="M76" s="612" t="s">
        <v>464</v>
      </c>
      <c r="N76" s="612" t="s">
        <v>464</v>
      </c>
      <c r="O76" s="612"/>
    </row>
    <row r="77" spans="12:15" x14ac:dyDescent="0.3">
      <c r="L77" s="612" t="s">
        <v>1234</v>
      </c>
      <c r="M77" s="612" t="s">
        <v>464</v>
      </c>
      <c r="N77" s="612" t="s">
        <v>464</v>
      </c>
      <c r="O77" s="612"/>
    </row>
    <row r="78" spans="12:15" x14ac:dyDescent="0.3">
      <c r="L78" s="612" t="s">
        <v>1235</v>
      </c>
      <c r="M78" s="612" t="s">
        <v>464</v>
      </c>
      <c r="N78" s="612" t="s">
        <v>464</v>
      </c>
      <c r="O78" s="612"/>
    </row>
    <row r="79" spans="12:15" x14ac:dyDescent="0.3">
      <c r="L79" s="612" t="s">
        <v>1236</v>
      </c>
      <c r="M79" s="612" t="s">
        <v>464</v>
      </c>
      <c r="N79" s="612" t="s">
        <v>464</v>
      </c>
      <c r="O79" s="612"/>
    </row>
    <row r="80" spans="12:15" x14ac:dyDescent="0.3">
      <c r="L80" s="612" t="s">
        <v>1237</v>
      </c>
      <c r="M80" s="612" t="s">
        <v>464</v>
      </c>
      <c r="N80" s="612" t="s">
        <v>464</v>
      </c>
      <c r="O80" s="612"/>
    </row>
    <row r="81" spans="12:15" x14ac:dyDescent="0.3">
      <c r="L81" s="612" t="s">
        <v>1238</v>
      </c>
      <c r="M81" s="612" t="s">
        <v>464</v>
      </c>
      <c r="N81" s="612" t="s">
        <v>464</v>
      </c>
      <c r="O81" s="612"/>
    </row>
    <row r="82" spans="12:15" x14ac:dyDescent="0.3">
      <c r="L82" s="612" t="s">
        <v>1239</v>
      </c>
      <c r="M82" s="612" t="s">
        <v>464</v>
      </c>
      <c r="N82" s="612" t="s">
        <v>464</v>
      </c>
      <c r="O82" s="612"/>
    </row>
    <row r="83" spans="12:15" x14ac:dyDescent="0.3">
      <c r="L83" s="612" t="s">
        <v>821</v>
      </c>
      <c r="M83" s="612" t="s">
        <v>464</v>
      </c>
      <c r="N83" s="612" t="s">
        <v>464</v>
      </c>
      <c r="O83" s="612"/>
    </row>
    <row r="84" spans="12:15" x14ac:dyDescent="0.3">
      <c r="L84" s="612" t="s">
        <v>490</v>
      </c>
      <c r="M84" s="612" t="s">
        <v>464</v>
      </c>
      <c r="N84" s="612" t="s">
        <v>464</v>
      </c>
      <c r="O84" s="612"/>
    </row>
    <row r="85" spans="12:15" x14ac:dyDescent="0.3">
      <c r="L85" s="612" t="s">
        <v>1240</v>
      </c>
      <c r="M85" s="612" t="s">
        <v>464</v>
      </c>
      <c r="N85" s="612" t="s">
        <v>464</v>
      </c>
      <c r="O85" s="612"/>
    </row>
    <row r="86" spans="12:15" x14ac:dyDescent="0.3">
      <c r="L86" s="612" t="s">
        <v>1241</v>
      </c>
      <c r="M86" s="612" t="s">
        <v>464</v>
      </c>
      <c r="N86" s="612" t="s">
        <v>464</v>
      </c>
      <c r="O86" s="612"/>
    </row>
    <row r="87" spans="12:15" x14ac:dyDescent="0.3">
      <c r="L87" s="612" t="s">
        <v>1242</v>
      </c>
      <c r="M87" s="612" t="s">
        <v>464</v>
      </c>
      <c r="N87" s="612" t="s">
        <v>464</v>
      </c>
      <c r="O87" s="612"/>
    </row>
    <row r="88" spans="12:15" x14ac:dyDescent="0.3">
      <c r="L88" s="612" t="s">
        <v>1243</v>
      </c>
      <c r="M88" s="612" t="s">
        <v>464</v>
      </c>
      <c r="N88" s="612" t="s">
        <v>464</v>
      </c>
      <c r="O88" s="612"/>
    </row>
    <row r="89" spans="12:15" x14ac:dyDescent="0.3">
      <c r="L89" s="612" t="s">
        <v>491</v>
      </c>
      <c r="M89" s="612" t="s">
        <v>464</v>
      </c>
      <c r="N89" s="612" t="s">
        <v>464</v>
      </c>
      <c r="O89" s="612"/>
    </row>
    <row r="90" spans="12:15" x14ac:dyDescent="0.3">
      <c r="L90" s="612" t="s">
        <v>1244</v>
      </c>
      <c r="M90" s="612" t="s">
        <v>464</v>
      </c>
      <c r="N90" s="612" t="s">
        <v>464</v>
      </c>
      <c r="O90" s="612"/>
    </row>
    <row r="91" spans="12:15" x14ac:dyDescent="0.3">
      <c r="L91" s="612" t="s">
        <v>394</v>
      </c>
      <c r="M91" s="612" t="s">
        <v>464</v>
      </c>
      <c r="N91" s="612" t="s">
        <v>464</v>
      </c>
      <c r="O91" s="612"/>
    </row>
    <row r="92" spans="12:15" x14ac:dyDescent="0.3">
      <c r="L92" s="612" t="s">
        <v>395</v>
      </c>
      <c r="M92" s="612" t="s">
        <v>464</v>
      </c>
      <c r="N92" s="612" t="s">
        <v>464</v>
      </c>
      <c r="O92" s="612"/>
    </row>
    <row r="93" spans="12:15" x14ac:dyDescent="0.3">
      <c r="L93" s="615" t="s">
        <v>1245</v>
      </c>
      <c r="M93" s="615">
        <v>0.05</v>
      </c>
      <c r="N93" s="615" t="s">
        <v>464</v>
      </c>
      <c r="O93" s="612" t="s">
        <v>1544</v>
      </c>
    </row>
    <row r="94" spans="12:15" x14ac:dyDescent="0.3">
      <c r="L94" s="612" t="s">
        <v>492</v>
      </c>
      <c r="M94" s="612" t="s">
        <v>464</v>
      </c>
      <c r="N94" s="612" t="s">
        <v>464</v>
      </c>
      <c r="O94" s="612"/>
    </row>
    <row r="95" spans="12:15" x14ac:dyDescent="0.3">
      <c r="L95" s="612" t="s">
        <v>1246</v>
      </c>
      <c r="M95" s="612" t="s">
        <v>464</v>
      </c>
      <c r="N95" s="612" t="s">
        <v>464</v>
      </c>
      <c r="O95" s="612"/>
    </row>
    <row r="96" spans="12:15" x14ac:dyDescent="0.3">
      <c r="L96" s="612" t="s">
        <v>822</v>
      </c>
      <c r="M96" s="612" t="s">
        <v>464</v>
      </c>
      <c r="N96" s="612" t="s">
        <v>464</v>
      </c>
      <c r="O96" s="612"/>
    </row>
    <row r="97" spans="12:16" x14ac:dyDescent="0.3">
      <c r="L97" s="612" t="s">
        <v>1247</v>
      </c>
      <c r="M97" s="612" t="s">
        <v>464</v>
      </c>
      <c r="N97" s="612" t="s">
        <v>464</v>
      </c>
      <c r="O97" s="612"/>
    </row>
    <row r="98" spans="12:16" x14ac:dyDescent="0.3">
      <c r="L98" s="612" t="s">
        <v>823</v>
      </c>
      <c r="M98" s="612" t="s">
        <v>464</v>
      </c>
      <c r="N98" s="612" t="s">
        <v>464</v>
      </c>
      <c r="O98" s="612"/>
    </row>
    <row r="99" spans="12:16" x14ac:dyDescent="0.3">
      <c r="L99" s="614" t="s">
        <v>1248</v>
      </c>
      <c r="M99" s="614">
        <v>0.03</v>
      </c>
      <c r="N99" s="614">
        <v>0.05</v>
      </c>
      <c r="O99" s="612" t="s">
        <v>1549</v>
      </c>
      <c r="P99" s="621" t="s">
        <v>1545</v>
      </c>
    </row>
    <row r="100" spans="12:16" x14ac:dyDescent="0.3">
      <c r="L100" s="612" t="s">
        <v>1249</v>
      </c>
      <c r="M100" s="612" t="s">
        <v>464</v>
      </c>
      <c r="N100" s="612" t="s">
        <v>464</v>
      </c>
      <c r="O100" s="612"/>
    </row>
    <row r="101" spans="12:16" x14ac:dyDescent="0.3">
      <c r="L101" s="612" t="s">
        <v>1250</v>
      </c>
      <c r="M101" s="612" t="s">
        <v>464</v>
      </c>
      <c r="N101" s="612" t="s">
        <v>464</v>
      </c>
      <c r="O101" s="612"/>
    </row>
    <row r="102" spans="12:16" x14ac:dyDescent="0.3">
      <c r="L102" s="612" t="s">
        <v>1251</v>
      </c>
      <c r="M102" s="612" t="s">
        <v>464</v>
      </c>
      <c r="N102" s="612" t="s">
        <v>464</v>
      </c>
      <c r="O102" s="612"/>
    </row>
    <row r="103" spans="12:16" x14ac:dyDescent="0.3">
      <c r="L103" s="612" t="s">
        <v>1252</v>
      </c>
      <c r="M103" s="612" t="s">
        <v>464</v>
      </c>
      <c r="N103" s="612" t="s">
        <v>464</v>
      </c>
      <c r="O103" s="612"/>
    </row>
    <row r="104" spans="12:16" x14ac:dyDescent="0.3">
      <c r="L104" s="612" t="s">
        <v>1253</v>
      </c>
      <c r="M104" s="612" t="s">
        <v>464</v>
      </c>
      <c r="N104" s="612" t="s">
        <v>464</v>
      </c>
      <c r="O104" s="612"/>
    </row>
    <row r="105" spans="12:16" x14ac:dyDescent="0.3">
      <c r="L105" s="612" t="s">
        <v>824</v>
      </c>
      <c r="M105" s="612" t="s">
        <v>464</v>
      </c>
      <c r="N105" s="612" t="s">
        <v>464</v>
      </c>
      <c r="O105" s="612"/>
    </row>
    <row r="106" spans="12:16" x14ac:dyDescent="0.3">
      <c r="L106" s="612" t="s">
        <v>494</v>
      </c>
      <c r="M106" s="612" t="s">
        <v>464</v>
      </c>
      <c r="N106" s="612" t="s">
        <v>464</v>
      </c>
      <c r="O106" s="612"/>
    </row>
    <row r="107" spans="12:16" x14ac:dyDescent="0.3">
      <c r="L107" s="612" t="s">
        <v>495</v>
      </c>
      <c r="M107" s="612" t="s">
        <v>464</v>
      </c>
      <c r="N107" s="612" t="s">
        <v>464</v>
      </c>
      <c r="O107" s="612"/>
    </row>
    <row r="108" spans="12:16" x14ac:dyDescent="0.3">
      <c r="L108" s="612" t="s">
        <v>1254</v>
      </c>
      <c r="M108" s="612" t="s">
        <v>464</v>
      </c>
      <c r="N108" s="612" t="s">
        <v>464</v>
      </c>
      <c r="O108" s="612"/>
    </row>
    <row r="109" spans="12:16" x14ac:dyDescent="0.3">
      <c r="L109" s="612" t="s">
        <v>1255</v>
      </c>
      <c r="M109" s="612" t="s">
        <v>464</v>
      </c>
      <c r="N109" s="612" t="s">
        <v>464</v>
      </c>
      <c r="O109" s="612"/>
    </row>
    <row r="110" spans="12:16" x14ac:dyDescent="0.3">
      <c r="L110" s="612" t="s">
        <v>1256</v>
      </c>
      <c r="M110" s="612" t="s">
        <v>464</v>
      </c>
      <c r="N110" s="612" t="s">
        <v>464</v>
      </c>
      <c r="O110" s="612" t="s">
        <v>1643</v>
      </c>
    </row>
    <row r="111" spans="12:16" x14ac:dyDescent="0.3">
      <c r="L111" s="612" t="s">
        <v>825</v>
      </c>
      <c r="M111" s="612" t="s">
        <v>464</v>
      </c>
      <c r="N111" s="612" t="s">
        <v>464</v>
      </c>
      <c r="O111" s="612"/>
    </row>
    <row r="112" spans="12:16" x14ac:dyDescent="0.3">
      <c r="L112" s="612" t="s">
        <v>1257</v>
      </c>
      <c r="M112" s="612" t="s">
        <v>464</v>
      </c>
      <c r="N112" s="612" t="s">
        <v>464</v>
      </c>
      <c r="O112" s="612"/>
    </row>
    <row r="113" spans="12:15" x14ac:dyDescent="0.3">
      <c r="L113" s="612" t="s">
        <v>1258</v>
      </c>
      <c r="M113" s="612" t="s">
        <v>464</v>
      </c>
      <c r="N113" s="612" t="s">
        <v>464</v>
      </c>
      <c r="O113" s="612"/>
    </row>
    <row r="114" spans="12:15" x14ac:dyDescent="0.3">
      <c r="L114" s="612" t="s">
        <v>1259</v>
      </c>
      <c r="M114" s="612" t="s">
        <v>464</v>
      </c>
      <c r="N114" s="612" t="s">
        <v>464</v>
      </c>
      <c r="O114" s="612"/>
    </row>
    <row r="115" spans="12:15" x14ac:dyDescent="0.3">
      <c r="L115" s="612" t="s">
        <v>1260</v>
      </c>
      <c r="M115" s="612" t="s">
        <v>464</v>
      </c>
      <c r="N115" s="612" t="s">
        <v>464</v>
      </c>
      <c r="O115" s="612"/>
    </row>
    <row r="116" spans="12:15" x14ac:dyDescent="0.3">
      <c r="L116" s="615" t="s">
        <v>1261</v>
      </c>
      <c r="M116" s="615">
        <v>0.03</v>
      </c>
      <c r="N116" s="615" t="s">
        <v>464</v>
      </c>
      <c r="O116" s="612" t="s">
        <v>1544</v>
      </c>
    </row>
    <row r="117" spans="12:15" x14ac:dyDescent="0.3">
      <c r="L117" s="612" t="s">
        <v>1262</v>
      </c>
      <c r="M117" s="612" t="s">
        <v>464</v>
      </c>
      <c r="N117" s="612" t="s">
        <v>464</v>
      </c>
      <c r="O117" s="612"/>
    </row>
    <row r="118" spans="12:15" x14ac:dyDescent="0.3">
      <c r="L118" s="612" t="s">
        <v>1263</v>
      </c>
      <c r="M118" s="612" t="s">
        <v>464</v>
      </c>
      <c r="N118" s="612" t="s">
        <v>464</v>
      </c>
      <c r="O118" s="612"/>
    </row>
    <row r="119" spans="12:15" x14ac:dyDescent="0.3">
      <c r="L119" s="612" t="s">
        <v>1264</v>
      </c>
      <c r="M119" s="612" t="s">
        <v>464</v>
      </c>
      <c r="N119" s="612" t="s">
        <v>464</v>
      </c>
      <c r="O119" s="612"/>
    </row>
    <row r="120" spans="12:15" x14ac:dyDescent="0.3">
      <c r="L120" s="612" t="s">
        <v>826</v>
      </c>
      <c r="M120" s="612" t="s">
        <v>464</v>
      </c>
      <c r="N120" s="612" t="s">
        <v>464</v>
      </c>
      <c r="O120" s="612"/>
    </row>
    <row r="121" spans="12:15" x14ac:dyDescent="0.3">
      <c r="L121" s="612" t="s">
        <v>1265</v>
      </c>
      <c r="M121" s="612" t="s">
        <v>464</v>
      </c>
      <c r="N121" s="612" t="s">
        <v>464</v>
      </c>
      <c r="O121" s="612"/>
    </row>
    <row r="122" spans="12:15" x14ac:dyDescent="0.3">
      <c r="L122" s="612" t="s">
        <v>827</v>
      </c>
      <c r="M122" s="612" t="s">
        <v>464</v>
      </c>
      <c r="N122" s="612" t="s">
        <v>464</v>
      </c>
      <c r="O122" s="612" t="s">
        <v>1643</v>
      </c>
    </row>
    <row r="123" spans="12:15" x14ac:dyDescent="0.3">
      <c r="L123" s="612" t="s">
        <v>1266</v>
      </c>
      <c r="M123" s="612" t="s">
        <v>464</v>
      </c>
      <c r="N123" s="612" t="s">
        <v>464</v>
      </c>
      <c r="O123" s="612"/>
    </row>
    <row r="124" spans="12:15" x14ac:dyDescent="0.3">
      <c r="L124" s="612" t="s">
        <v>1267</v>
      </c>
      <c r="M124" s="612" t="s">
        <v>464</v>
      </c>
      <c r="N124" s="612" t="s">
        <v>464</v>
      </c>
      <c r="O124" s="612"/>
    </row>
    <row r="125" spans="12:15" x14ac:dyDescent="0.3">
      <c r="L125" s="612" t="s">
        <v>1268</v>
      </c>
      <c r="M125" s="612" t="s">
        <v>464</v>
      </c>
      <c r="N125" s="612" t="s">
        <v>464</v>
      </c>
      <c r="O125" s="612"/>
    </row>
    <row r="126" spans="12:15" x14ac:dyDescent="0.3">
      <c r="L126" s="612" t="s">
        <v>1269</v>
      </c>
      <c r="M126" s="612" t="s">
        <v>464</v>
      </c>
      <c r="N126" s="612" t="s">
        <v>464</v>
      </c>
      <c r="O126" s="612"/>
    </row>
    <row r="127" spans="12:15" x14ac:dyDescent="0.3">
      <c r="L127" s="612" t="s">
        <v>496</v>
      </c>
      <c r="M127" s="612" t="s">
        <v>464</v>
      </c>
      <c r="N127" s="612" t="s">
        <v>464</v>
      </c>
      <c r="O127" s="612"/>
    </row>
    <row r="128" spans="12:15" x14ac:dyDescent="0.3">
      <c r="L128" s="612" t="s">
        <v>1270</v>
      </c>
      <c r="M128" s="612" t="s">
        <v>464</v>
      </c>
      <c r="N128" s="612" t="s">
        <v>464</v>
      </c>
      <c r="O128" s="612"/>
    </row>
    <row r="129" spans="12:16" x14ac:dyDescent="0.3">
      <c r="L129" s="612" t="s">
        <v>1271</v>
      </c>
      <c r="M129" s="612" t="s">
        <v>464</v>
      </c>
      <c r="N129" s="612" t="s">
        <v>464</v>
      </c>
      <c r="O129" s="612"/>
    </row>
    <row r="130" spans="12:16" x14ac:dyDescent="0.3">
      <c r="L130" s="612" t="s">
        <v>497</v>
      </c>
      <c r="M130" s="612" t="s">
        <v>464</v>
      </c>
      <c r="N130" s="612" t="s">
        <v>464</v>
      </c>
      <c r="O130" s="612"/>
    </row>
    <row r="131" spans="12:16" x14ac:dyDescent="0.3">
      <c r="L131" s="615" t="s">
        <v>1272</v>
      </c>
      <c r="M131" s="615">
        <v>0.03</v>
      </c>
      <c r="N131" s="615" t="s">
        <v>464</v>
      </c>
      <c r="O131" s="612" t="s">
        <v>1544</v>
      </c>
    </row>
    <row r="132" spans="12:16" x14ac:dyDescent="0.3">
      <c r="L132" s="612" t="s">
        <v>1273</v>
      </c>
      <c r="M132" s="612" t="s">
        <v>464</v>
      </c>
      <c r="N132" s="612" t="s">
        <v>464</v>
      </c>
      <c r="O132" s="612"/>
    </row>
    <row r="133" spans="12:16" x14ac:dyDescent="0.3">
      <c r="L133" s="612" t="s">
        <v>1274</v>
      </c>
      <c r="M133" s="612" t="s">
        <v>464</v>
      </c>
      <c r="N133" s="612" t="s">
        <v>464</v>
      </c>
      <c r="O133" s="612"/>
    </row>
    <row r="134" spans="12:16" x14ac:dyDescent="0.3">
      <c r="L134" s="612" t="s">
        <v>1275</v>
      </c>
      <c r="M134" s="612" t="s">
        <v>464</v>
      </c>
      <c r="N134" s="612" t="s">
        <v>464</v>
      </c>
      <c r="O134" s="612"/>
    </row>
    <row r="135" spans="12:16" x14ac:dyDescent="0.3">
      <c r="L135" s="612" t="s">
        <v>389</v>
      </c>
      <c r="M135" s="612" t="s">
        <v>464</v>
      </c>
      <c r="N135" s="612" t="s">
        <v>464</v>
      </c>
      <c r="O135" s="612"/>
    </row>
    <row r="136" spans="12:16" x14ac:dyDescent="0.3">
      <c r="L136" s="612" t="s">
        <v>498</v>
      </c>
      <c r="M136" s="612" t="s">
        <v>464</v>
      </c>
      <c r="N136" s="612" t="s">
        <v>464</v>
      </c>
      <c r="O136" s="612"/>
    </row>
    <row r="137" spans="12:16" x14ac:dyDescent="0.3">
      <c r="L137" s="612" t="s">
        <v>1276</v>
      </c>
      <c r="M137" s="612" t="s">
        <v>464</v>
      </c>
      <c r="N137" s="612" t="s">
        <v>464</v>
      </c>
      <c r="O137" s="612"/>
    </row>
    <row r="138" spans="12:16" x14ac:dyDescent="0.3">
      <c r="L138" s="612" t="s">
        <v>1277</v>
      </c>
      <c r="M138" s="612" t="s">
        <v>464</v>
      </c>
      <c r="N138" s="612" t="s">
        <v>464</v>
      </c>
      <c r="O138" s="612"/>
    </row>
    <row r="139" spans="12:16" x14ac:dyDescent="0.3">
      <c r="L139" s="612" t="s">
        <v>499</v>
      </c>
      <c r="M139" s="612" t="s">
        <v>464</v>
      </c>
      <c r="N139" s="612" t="s">
        <v>464</v>
      </c>
      <c r="O139" s="612"/>
    </row>
    <row r="140" spans="12:16" x14ac:dyDescent="0.3">
      <c r="L140" s="612" t="s">
        <v>500</v>
      </c>
      <c r="M140" s="612" t="s">
        <v>464</v>
      </c>
      <c r="N140" s="612" t="s">
        <v>464</v>
      </c>
      <c r="O140" s="612"/>
    </row>
    <row r="141" spans="12:16" x14ac:dyDescent="0.3">
      <c r="L141" s="612" t="s">
        <v>1278</v>
      </c>
      <c r="M141" s="612" t="s">
        <v>464</v>
      </c>
      <c r="N141" s="612" t="s">
        <v>464</v>
      </c>
      <c r="O141" s="612"/>
    </row>
    <row r="142" spans="12:16" x14ac:dyDescent="0.3">
      <c r="L142" s="612" t="s">
        <v>1279</v>
      </c>
      <c r="M142" s="612" t="s">
        <v>464</v>
      </c>
      <c r="N142" s="612" t="s">
        <v>464</v>
      </c>
      <c r="O142" s="612"/>
    </row>
    <row r="143" spans="12:16" x14ac:dyDescent="0.3">
      <c r="L143" s="614" t="s">
        <v>1280</v>
      </c>
      <c r="M143" s="614">
        <v>0.03</v>
      </c>
      <c r="N143" s="614">
        <v>0.05</v>
      </c>
      <c r="O143" s="612" t="s">
        <v>1549</v>
      </c>
      <c r="P143" s="621" t="s">
        <v>1545</v>
      </c>
    </row>
    <row r="144" spans="12:16" x14ac:dyDescent="0.3">
      <c r="L144" s="614" t="s">
        <v>828</v>
      </c>
      <c r="M144" s="614">
        <v>0.03</v>
      </c>
      <c r="N144" s="614">
        <v>0.05</v>
      </c>
      <c r="O144" s="612" t="s">
        <v>1549</v>
      </c>
      <c r="P144" s="621" t="s">
        <v>1545</v>
      </c>
    </row>
    <row r="145" spans="12:15" x14ac:dyDescent="0.3">
      <c r="L145" s="612" t="s">
        <v>1281</v>
      </c>
      <c r="M145" s="612" t="s">
        <v>464</v>
      </c>
      <c r="N145" s="612" t="s">
        <v>464</v>
      </c>
      <c r="O145" s="612"/>
    </row>
    <row r="146" spans="12:15" x14ac:dyDescent="0.3">
      <c r="L146" s="612" t="s">
        <v>1282</v>
      </c>
      <c r="M146" s="612" t="s">
        <v>464</v>
      </c>
      <c r="N146" s="612" t="s">
        <v>464</v>
      </c>
      <c r="O146" s="612"/>
    </row>
    <row r="147" spans="12:15" x14ac:dyDescent="0.3">
      <c r="L147" s="612" t="s">
        <v>1283</v>
      </c>
      <c r="M147" s="612" t="s">
        <v>464</v>
      </c>
      <c r="N147" s="612" t="s">
        <v>464</v>
      </c>
      <c r="O147" s="612"/>
    </row>
    <row r="148" spans="12:15" x14ac:dyDescent="0.3">
      <c r="L148" s="612" t="s">
        <v>1284</v>
      </c>
      <c r="M148" s="612" t="s">
        <v>464</v>
      </c>
      <c r="N148" s="612" t="s">
        <v>464</v>
      </c>
      <c r="O148" s="612"/>
    </row>
    <row r="149" spans="12:15" x14ac:dyDescent="0.3">
      <c r="L149" s="612" t="s">
        <v>502</v>
      </c>
      <c r="M149" s="612" t="s">
        <v>464</v>
      </c>
      <c r="N149" s="612" t="s">
        <v>464</v>
      </c>
      <c r="O149" s="612"/>
    </row>
    <row r="150" spans="12:15" x14ac:dyDescent="0.3">
      <c r="L150" s="612" t="s">
        <v>503</v>
      </c>
      <c r="M150" s="612" t="s">
        <v>464</v>
      </c>
      <c r="N150" s="612" t="s">
        <v>464</v>
      </c>
      <c r="O150" s="612"/>
    </row>
    <row r="151" spans="12:15" x14ac:dyDescent="0.3">
      <c r="L151" s="612" t="s">
        <v>1285</v>
      </c>
      <c r="M151" s="612" t="s">
        <v>464</v>
      </c>
      <c r="N151" s="612" t="s">
        <v>464</v>
      </c>
      <c r="O151" s="612"/>
    </row>
    <row r="152" spans="12:15" x14ac:dyDescent="0.3">
      <c r="L152" s="612" t="s">
        <v>1286</v>
      </c>
      <c r="M152" s="612" t="s">
        <v>464</v>
      </c>
      <c r="N152" s="612" t="s">
        <v>464</v>
      </c>
      <c r="O152" s="612"/>
    </row>
    <row r="153" spans="12:15" x14ac:dyDescent="0.3">
      <c r="L153" s="612" t="s">
        <v>504</v>
      </c>
      <c r="M153" s="612" t="s">
        <v>464</v>
      </c>
      <c r="N153" s="612" t="s">
        <v>464</v>
      </c>
      <c r="O153" s="612" t="s">
        <v>1643</v>
      </c>
    </row>
    <row r="154" spans="12:15" x14ac:dyDescent="0.3">
      <c r="L154" s="612" t="s">
        <v>829</v>
      </c>
      <c r="M154" s="612" t="s">
        <v>464</v>
      </c>
      <c r="N154" s="612" t="s">
        <v>464</v>
      </c>
      <c r="O154" s="612"/>
    </row>
    <row r="155" spans="12:15" x14ac:dyDescent="0.3">
      <c r="L155" s="612" t="s">
        <v>830</v>
      </c>
      <c r="M155" s="612" t="s">
        <v>464</v>
      </c>
      <c r="N155" s="612" t="s">
        <v>464</v>
      </c>
      <c r="O155" s="612"/>
    </row>
    <row r="156" spans="12:15" x14ac:dyDescent="0.3">
      <c r="L156" s="612" t="s">
        <v>506</v>
      </c>
      <c r="M156" s="612" t="s">
        <v>464</v>
      </c>
      <c r="N156" s="612" t="s">
        <v>464</v>
      </c>
      <c r="O156" s="612"/>
    </row>
    <row r="157" spans="12:15" x14ac:dyDescent="0.3">
      <c r="L157" s="612" t="s">
        <v>507</v>
      </c>
      <c r="M157" s="612" t="s">
        <v>464</v>
      </c>
      <c r="N157" s="612" t="s">
        <v>464</v>
      </c>
      <c r="O157" s="612"/>
    </row>
    <row r="158" spans="12:15" x14ac:dyDescent="0.3">
      <c r="L158" s="612" t="s">
        <v>508</v>
      </c>
      <c r="M158" s="612" t="s">
        <v>464</v>
      </c>
      <c r="N158" s="612" t="s">
        <v>464</v>
      </c>
      <c r="O158" s="612"/>
    </row>
    <row r="159" spans="12:15" x14ac:dyDescent="0.3">
      <c r="L159" s="612" t="s">
        <v>1287</v>
      </c>
      <c r="M159" s="612" t="s">
        <v>464</v>
      </c>
      <c r="N159" s="612" t="s">
        <v>464</v>
      </c>
      <c r="O159" s="612"/>
    </row>
    <row r="160" spans="12:15" x14ac:dyDescent="0.3">
      <c r="L160" s="612" t="s">
        <v>1288</v>
      </c>
      <c r="M160" s="612" t="s">
        <v>464</v>
      </c>
      <c r="N160" s="612" t="s">
        <v>464</v>
      </c>
      <c r="O160" s="612"/>
    </row>
    <row r="161" spans="12:16" x14ac:dyDescent="0.3">
      <c r="L161" s="612" t="s">
        <v>1289</v>
      </c>
      <c r="M161" s="612" t="s">
        <v>464</v>
      </c>
      <c r="N161" s="612" t="s">
        <v>464</v>
      </c>
      <c r="O161" s="612"/>
    </row>
    <row r="162" spans="12:16" x14ac:dyDescent="0.3">
      <c r="L162" s="612" t="s">
        <v>1290</v>
      </c>
      <c r="M162" s="612" t="s">
        <v>464</v>
      </c>
      <c r="N162" s="612" t="s">
        <v>464</v>
      </c>
      <c r="O162" s="612"/>
    </row>
    <row r="163" spans="12:16" x14ac:dyDescent="0.3">
      <c r="L163" s="612" t="s">
        <v>1291</v>
      </c>
      <c r="M163" s="612" t="s">
        <v>464</v>
      </c>
      <c r="N163" s="612" t="s">
        <v>464</v>
      </c>
      <c r="O163" s="612"/>
    </row>
    <row r="164" spans="12:16" x14ac:dyDescent="0.3">
      <c r="L164" s="612" t="s">
        <v>1292</v>
      </c>
      <c r="M164" s="612" t="s">
        <v>464</v>
      </c>
      <c r="N164" s="612" t="s">
        <v>464</v>
      </c>
      <c r="O164" s="612"/>
    </row>
    <row r="165" spans="12:16" x14ac:dyDescent="0.3">
      <c r="L165" s="614" t="s">
        <v>1293</v>
      </c>
      <c r="M165" s="614">
        <v>0.03</v>
      </c>
      <c r="N165" s="614">
        <v>0.05</v>
      </c>
      <c r="O165" s="612" t="s">
        <v>1549</v>
      </c>
      <c r="P165" s="621" t="s">
        <v>1545</v>
      </c>
    </row>
    <row r="166" spans="12:16" x14ac:dyDescent="0.3">
      <c r="L166" s="612" t="s">
        <v>1294</v>
      </c>
      <c r="M166" s="612" t="s">
        <v>464</v>
      </c>
      <c r="N166" s="612" t="s">
        <v>464</v>
      </c>
      <c r="O166" s="612" t="s">
        <v>1643</v>
      </c>
    </row>
    <row r="167" spans="12:16" x14ac:dyDescent="0.3">
      <c r="L167" s="612" t="s">
        <v>1295</v>
      </c>
      <c r="M167" s="612" t="s">
        <v>464</v>
      </c>
      <c r="N167" s="612" t="s">
        <v>464</v>
      </c>
      <c r="O167" s="612"/>
    </row>
    <row r="168" spans="12:16" x14ac:dyDescent="0.3">
      <c r="L168" s="612" t="s">
        <v>1296</v>
      </c>
      <c r="M168" s="612" t="s">
        <v>464</v>
      </c>
      <c r="N168" s="612" t="s">
        <v>464</v>
      </c>
      <c r="O168" s="612"/>
    </row>
    <row r="169" spans="12:16" x14ac:dyDescent="0.3">
      <c r="L169" s="612" t="s">
        <v>509</v>
      </c>
      <c r="M169" s="612" t="s">
        <v>464</v>
      </c>
      <c r="N169" s="612" t="s">
        <v>464</v>
      </c>
      <c r="O169" s="612"/>
    </row>
    <row r="170" spans="12:16" x14ac:dyDescent="0.3">
      <c r="L170" s="612" t="s">
        <v>1297</v>
      </c>
      <c r="M170" s="612" t="s">
        <v>464</v>
      </c>
      <c r="N170" s="612" t="s">
        <v>464</v>
      </c>
      <c r="O170" s="612" t="s">
        <v>1643</v>
      </c>
    </row>
    <row r="171" spans="12:16" x14ac:dyDescent="0.3">
      <c r="L171" s="612" t="s">
        <v>1298</v>
      </c>
      <c r="M171" s="612" t="s">
        <v>464</v>
      </c>
      <c r="N171" s="612" t="s">
        <v>464</v>
      </c>
      <c r="O171" s="612"/>
    </row>
    <row r="172" spans="12:16" x14ac:dyDescent="0.3">
      <c r="L172" s="612" t="s">
        <v>1299</v>
      </c>
      <c r="M172" s="612" t="s">
        <v>464</v>
      </c>
      <c r="N172" s="612" t="s">
        <v>464</v>
      </c>
      <c r="O172" s="612" t="s">
        <v>1643</v>
      </c>
    </row>
    <row r="173" spans="12:16" x14ac:dyDescent="0.3">
      <c r="L173" s="612" t="s">
        <v>510</v>
      </c>
      <c r="M173" s="612" t="s">
        <v>464</v>
      </c>
      <c r="N173" s="612" t="s">
        <v>464</v>
      </c>
      <c r="O173" s="612"/>
    </row>
    <row r="174" spans="12:16" x14ac:dyDescent="0.3">
      <c r="L174" s="612" t="s">
        <v>1300</v>
      </c>
      <c r="M174" s="612" t="s">
        <v>464</v>
      </c>
      <c r="N174" s="612" t="s">
        <v>464</v>
      </c>
      <c r="O174" s="612"/>
    </row>
    <row r="175" spans="12:16" x14ac:dyDescent="0.3">
      <c r="L175" s="612" t="s">
        <v>1301</v>
      </c>
      <c r="M175" s="612" t="s">
        <v>464</v>
      </c>
      <c r="N175" s="612" t="s">
        <v>464</v>
      </c>
      <c r="O175" s="612"/>
    </row>
    <row r="176" spans="12:16" x14ac:dyDescent="0.3">
      <c r="L176" s="612" t="s">
        <v>1302</v>
      </c>
      <c r="M176" s="612" t="s">
        <v>464</v>
      </c>
      <c r="N176" s="612" t="s">
        <v>464</v>
      </c>
      <c r="O176" s="612"/>
    </row>
    <row r="177" spans="12:16" x14ac:dyDescent="0.3">
      <c r="L177" s="612" t="s">
        <v>511</v>
      </c>
      <c r="M177" s="612" t="s">
        <v>464</v>
      </c>
      <c r="N177" s="612" t="s">
        <v>464</v>
      </c>
      <c r="O177" s="612"/>
    </row>
    <row r="178" spans="12:16" x14ac:dyDescent="0.3">
      <c r="L178" s="614" t="s">
        <v>512</v>
      </c>
      <c r="M178" s="614">
        <v>0.03</v>
      </c>
      <c r="N178" s="614">
        <v>0.05</v>
      </c>
      <c r="O178" s="612" t="s">
        <v>1549</v>
      </c>
      <c r="P178" s="621" t="s">
        <v>1545</v>
      </c>
    </row>
    <row r="179" spans="12:16" x14ac:dyDescent="0.3">
      <c r="L179" s="612" t="s">
        <v>1303</v>
      </c>
      <c r="M179" s="612" t="s">
        <v>464</v>
      </c>
      <c r="N179" s="612" t="s">
        <v>464</v>
      </c>
      <c r="O179" s="612"/>
    </row>
    <row r="180" spans="12:16" x14ac:dyDescent="0.3">
      <c r="L180" s="612" t="s">
        <v>1304</v>
      </c>
      <c r="M180" s="612" t="s">
        <v>464</v>
      </c>
      <c r="N180" s="612" t="s">
        <v>464</v>
      </c>
      <c r="O180" s="612"/>
    </row>
    <row r="181" spans="12:16" x14ac:dyDescent="0.3">
      <c r="L181" s="612" t="s">
        <v>1305</v>
      </c>
      <c r="M181" s="612" t="s">
        <v>464</v>
      </c>
      <c r="N181" s="612" t="s">
        <v>464</v>
      </c>
      <c r="O181" s="612"/>
    </row>
    <row r="182" spans="12:16" x14ac:dyDescent="0.3">
      <c r="L182" s="612" t="s">
        <v>1306</v>
      </c>
      <c r="M182" s="612" t="s">
        <v>464</v>
      </c>
      <c r="N182" s="612" t="s">
        <v>464</v>
      </c>
      <c r="O182" s="612"/>
    </row>
    <row r="183" spans="12:16" x14ac:dyDescent="0.3">
      <c r="L183" s="612" t="s">
        <v>1307</v>
      </c>
      <c r="M183" s="612" t="s">
        <v>464</v>
      </c>
      <c r="N183" s="612" t="s">
        <v>464</v>
      </c>
      <c r="O183" s="612"/>
    </row>
    <row r="184" spans="12:16" x14ac:dyDescent="0.3">
      <c r="L184" s="612" t="s">
        <v>390</v>
      </c>
      <c r="M184" s="612" t="s">
        <v>464</v>
      </c>
      <c r="N184" s="612" t="s">
        <v>464</v>
      </c>
      <c r="O184" s="612"/>
    </row>
    <row r="185" spans="12:16" x14ac:dyDescent="0.3">
      <c r="L185" s="615" t="s">
        <v>1308</v>
      </c>
      <c r="M185" s="615">
        <v>0.03</v>
      </c>
      <c r="N185" s="615" t="s">
        <v>464</v>
      </c>
      <c r="O185" s="612" t="s">
        <v>1544</v>
      </c>
    </row>
    <row r="186" spans="12:16" x14ac:dyDescent="0.3">
      <c r="L186" s="612" t="s">
        <v>1309</v>
      </c>
      <c r="M186" s="612" t="s">
        <v>464</v>
      </c>
      <c r="N186" s="612" t="s">
        <v>464</v>
      </c>
      <c r="O186" s="612"/>
    </row>
    <row r="187" spans="12:16" x14ac:dyDescent="0.3">
      <c r="L187" s="612" t="s">
        <v>831</v>
      </c>
      <c r="M187" s="612" t="s">
        <v>464</v>
      </c>
      <c r="N187" s="612" t="s">
        <v>464</v>
      </c>
      <c r="O187" s="612"/>
    </row>
    <row r="188" spans="12:16" x14ac:dyDescent="0.3">
      <c r="L188" s="612" t="s">
        <v>1310</v>
      </c>
      <c r="M188" s="612" t="s">
        <v>464</v>
      </c>
      <c r="N188" s="612" t="s">
        <v>464</v>
      </c>
      <c r="O188" s="612"/>
    </row>
    <row r="189" spans="12:16" x14ac:dyDescent="0.3">
      <c r="L189" s="612" t="s">
        <v>513</v>
      </c>
      <c r="M189" s="612" t="s">
        <v>464</v>
      </c>
      <c r="N189" s="612" t="s">
        <v>464</v>
      </c>
      <c r="O189" s="612"/>
    </row>
    <row r="190" spans="12:16" x14ac:dyDescent="0.3">
      <c r="L190" s="612" t="s">
        <v>1311</v>
      </c>
      <c r="M190" s="612" t="s">
        <v>464</v>
      </c>
      <c r="N190" s="612" t="s">
        <v>464</v>
      </c>
      <c r="O190" s="612"/>
    </row>
    <row r="191" spans="12:16" x14ac:dyDescent="0.3">
      <c r="L191" s="612" t="s">
        <v>514</v>
      </c>
      <c r="M191" s="612" t="s">
        <v>464</v>
      </c>
      <c r="N191" s="612" t="s">
        <v>464</v>
      </c>
      <c r="O191" s="612"/>
    </row>
    <row r="192" spans="12:16" x14ac:dyDescent="0.3">
      <c r="L192" s="612" t="s">
        <v>1312</v>
      </c>
      <c r="M192" s="612" t="s">
        <v>464</v>
      </c>
      <c r="N192" s="612" t="s">
        <v>464</v>
      </c>
      <c r="O192" s="612"/>
    </row>
    <row r="193" spans="12:16" x14ac:dyDescent="0.3">
      <c r="L193" s="612" t="s">
        <v>1147</v>
      </c>
      <c r="M193" s="612" t="s">
        <v>464</v>
      </c>
      <c r="N193" s="612" t="s">
        <v>464</v>
      </c>
      <c r="O193" s="612"/>
    </row>
    <row r="194" spans="12:16" x14ac:dyDescent="0.3">
      <c r="L194" s="612" t="s">
        <v>1313</v>
      </c>
      <c r="M194" s="612" t="s">
        <v>464</v>
      </c>
      <c r="N194" s="612" t="s">
        <v>464</v>
      </c>
      <c r="O194" s="612"/>
    </row>
    <row r="195" spans="12:16" x14ac:dyDescent="0.3">
      <c r="L195" s="615" t="s">
        <v>1314</v>
      </c>
      <c r="M195" s="615">
        <v>0.03</v>
      </c>
      <c r="N195" s="615" t="s">
        <v>464</v>
      </c>
      <c r="O195" s="612" t="s">
        <v>1544</v>
      </c>
    </row>
    <row r="196" spans="12:16" x14ac:dyDescent="0.3">
      <c r="L196" s="612" t="s">
        <v>1315</v>
      </c>
      <c r="M196" s="612" t="s">
        <v>464</v>
      </c>
      <c r="N196" s="612" t="s">
        <v>464</v>
      </c>
      <c r="O196" s="612"/>
    </row>
    <row r="197" spans="12:16" x14ac:dyDescent="0.3">
      <c r="L197" s="612" t="s">
        <v>1316</v>
      </c>
      <c r="M197" s="612" t="s">
        <v>464</v>
      </c>
      <c r="N197" s="612" t="s">
        <v>464</v>
      </c>
      <c r="O197" s="612"/>
    </row>
    <row r="198" spans="12:16" x14ac:dyDescent="0.3">
      <c r="L198" s="612" t="s">
        <v>832</v>
      </c>
      <c r="M198" s="612" t="s">
        <v>464</v>
      </c>
      <c r="N198" s="612" t="s">
        <v>464</v>
      </c>
      <c r="O198" s="612"/>
    </row>
    <row r="199" spans="12:16" x14ac:dyDescent="0.3">
      <c r="L199" s="612" t="s">
        <v>515</v>
      </c>
      <c r="M199" s="612" t="s">
        <v>464</v>
      </c>
      <c r="N199" s="612" t="s">
        <v>464</v>
      </c>
      <c r="O199" s="612"/>
    </row>
    <row r="200" spans="12:16" x14ac:dyDescent="0.3">
      <c r="L200" s="612" t="s">
        <v>396</v>
      </c>
      <c r="M200" s="612" t="s">
        <v>464</v>
      </c>
      <c r="N200" s="612" t="s">
        <v>464</v>
      </c>
      <c r="O200" s="612"/>
    </row>
    <row r="201" spans="12:16" x14ac:dyDescent="0.3">
      <c r="L201" s="614" t="s">
        <v>397</v>
      </c>
      <c r="M201" s="614">
        <v>0.03</v>
      </c>
      <c r="N201" s="614">
        <v>0.05</v>
      </c>
      <c r="O201" s="612" t="s">
        <v>1549</v>
      </c>
      <c r="P201" s="621" t="s">
        <v>1545</v>
      </c>
    </row>
    <row r="202" spans="12:16" x14ac:dyDescent="0.3">
      <c r="L202" s="612" t="s">
        <v>1317</v>
      </c>
      <c r="M202" s="612" t="s">
        <v>464</v>
      </c>
      <c r="N202" s="612" t="s">
        <v>464</v>
      </c>
      <c r="O202" s="612"/>
    </row>
    <row r="203" spans="12:16" x14ac:dyDescent="0.3">
      <c r="L203" s="612" t="s">
        <v>1318</v>
      </c>
      <c r="M203" s="612" t="s">
        <v>464</v>
      </c>
      <c r="N203" s="612" t="s">
        <v>464</v>
      </c>
      <c r="O203" s="612"/>
    </row>
    <row r="204" spans="12:16" x14ac:dyDescent="0.3">
      <c r="L204" s="612" t="s">
        <v>516</v>
      </c>
      <c r="M204" s="612" t="s">
        <v>464</v>
      </c>
      <c r="N204" s="612" t="s">
        <v>464</v>
      </c>
      <c r="O204" s="612"/>
    </row>
    <row r="205" spans="12:16" x14ac:dyDescent="0.3">
      <c r="L205" s="612" t="s">
        <v>517</v>
      </c>
      <c r="M205" s="612" t="s">
        <v>464</v>
      </c>
      <c r="N205" s="612" t="s">
        <v>464</v>
      </c>
      <c r="O205" s="612"/>
    </row>
    <row r="206" spans="12:16" x14ac:dyDescent="0.3">
      <c r="L206" s="614" t="s">
        <v>518</v>
      </c>
      <c r="M206" s="614">
        <v>0.03</v>
      </c>
      <c r="N206" s="614">
        <v>0.05</v>
      </c>
      <c r="O206" s="612" t="s">
        <v>1549</v>
      </c>
      <c r="P206" s="621" t="s">
        <v>1545</v>
      </c>
    </row>
    <row r="207" spans="12:16" x14ac:dyDescent="0.3">
      <c r="L207" s="612" t="s">
        <v>519</v>
      </c>
      <c r="M207" s="612" t="s">
        <v>464</v>
      </c>
      <c r="N207" s="612" t="s">
        <v>464</v>
      </c>
      <c r="O207" s="612"/>
    </row>
    <row r="208" spans="12:16" x14ac:dyDescent="0.3">
      <c r="L208" s="612" t="s">
        <v>1319</v>
      </c>
      <c r="M208" s="612" t="s">
        <v>464</v>
      </c>
      <c r="N208" s="612" t="s">
        <v>464</v>
      </c>
      <c r="O208" s="612"/>
    </row>
    <row r="209" spans="12:16" x14ac:dyDescent="0.3">
      <c r="L209" s="612" t="s">
        <v>1320</v>
      </c>
      <c r="M209" s="612" t="s">
        <v>464</v>
      </c>
      <c r="N209" s="612" t="s">
        <v>464</v>
      </c>
      <c r="O209" s="612"/>
    </row>
    <row r="210" spans="12:16" x14ac:dyDescent="0.3">
      <c r="L210" s="612" t="s">
        <v>1321</v>
      </c>
      <c r="M210" s="612" t="s">
        <v>464</v>
      </c>
      <c r="N210" s="612" t="s">
        <v>464</v>
      </c>
      <c r="O210" s="612"/>
    </row>
    <row r="211" spans="12:16" x14ac:dyDescent="0.3">
      <c r="L211" s="612" t="s">
        <v>1322</v>
      </c>
      <c r="M211" s="612" t="s">
        <v>464</v>
      </c>
      <c r="N211" s="612" t="s">
        <v>464</v>
      </c>
      <c r="O211" s="612"/>
    </row>
    <row r="212" spans="12:16" x14ac:dyDescent="0.3">
      <c r="L212" s="612" t="s">
        <v>833</v>
      </c>
      <c r="M212" s="612" t="s">
        <v>464</v>
      </c>
      <c r="N212" s="612" t="s">
        <v>464</v>
      </c>
      <c r="O212" s="612"/>
    </row>
    <row r="213" spans="12:16" x14ac:dyDescent="0.3">
      <c r="L213" s="612" t="s">
        <v>1323</v>
      </c>
      <c r="M213" s="612" t="s">
        <v>464</v>
      </c>
      <c r="N213" s="612" t="s">
        <v>464</v>
      </c>
      <c r="O213" s="612"/>
    </row>
    <row r="214" spans="12:16" x14ac:dyDescent="0.3">
      <c r="L214" s="612" t="s">
        <v>834</v>
      </c>
      <c r="M214" s="612" t="s">
        <v>464</v>
      </c>
      <c r="N214" s="612" t="s">
        <v>464</v>
      </c>
      <c r="O214" s="612"/>
    </row>
    <row r="215" spans="12:16" x14ac:dyDescent="0.3">
      <c r="L215" s="612" t="s">
        <v>1324</v>
      </c>
      <c r="M215" s="612" t="s">
        <v>464</v>
      </c>
      <c r="N215" s="612" t="s">
        <v>464</v>
      </c>
      <c r="O215" s="612"/>
    </row>
    <row r="216" spans="12:16" x14ac:dyDescent="0.3">
      <c r="L216" s="612" t="s">
        <v>1325</v>
      </c>
      <c r="M216" s="612" t="s">
        <v>464</v>
      </c>
      <c r="N216" s="612" t="s">
        <v>464</v>
      </c>
      <c r="O216" s="612"/>
    </row>
    <row r="217" spans="12:16" x14ac:dyDescent="0.3">
      <c r="L217" s="612" t="s">
        <v>391</v>
      </c>
      <c r="M217" s="612" t="s">
        <v>464</v>
      </c>
      <c r="N217" s="612" t="s">
        <v>464</v>
      </c>
      <c r="O217" s="612"/>
    </row>
    <row r="218" spans="12:16" x14ac:dyDescent="0.3">
      <c r="L218" s="612" t="s">
        <v>1326</v>
      </c>
      <c r="M218" s="612" t="s">
        <v>464</v>
      </c>
      <c r="N218" s="612" t="s">
        <v>464</v>
      </c>
      <c r="O218" s="612"/>
    </row>
    <row r="219" spans="12:16" x14ac:dyDescent="0.3">
      <c r="L219" s="614" t="s">
        <v>835</v>
      </c>
      <c r="M219" s="614">
        <v>0.03</v>
      </c>
      <c r="N219" s="614">
        <v>0.05</v>
      </c>
      <c r="O219" s="612" t="s">
        <v>1549</v>
      </c>
      <c r="P219" s="621" t="s">
        <v>1545</v>
      </c>
    </row>
    <row r="220" spans="12:16" x14ac:dyDescent="0.3">
      <c r="L220" s="612" t="s">
        <v>1327</v>
      </c>
      <c r="M220" s="612" t="s">
        <v>464</v>
      </c>
      <c r="N220" s="612" t="s">
        <v>464</v>
      </c>
      <c r="O220" s="612"/>
    </row>
    <row r="221" spans="12:16" x14ac:dyDescent="0.3">
      <c r="L221" s="615" t="s">
        <v>398</v>
      </c>
      <c r="M221" s="615" t="s">
        <v>464</v>
      </c>
      <c r="N221" s="615" t="s">
        <v>464</v>
      </c>
      <c r="O221" s="612" t="s">
        <v>1544</v>
      </c>
    </row>
    <row r="222" spans="12:16" x14ac:dyDescent="0.3">
      <c r="L222" s="612" t="s">
        <v>1328</v>
      </c>
      <c r="M222" s="612" t="s">
        <v>464</v>
      </c>
      <c r="N222" s="612" t="s">
        <v>464</v>
      </c>
      <c r="O222" s="612"/>
    </row>
    <row r="223" spans="12:16" x14ac:dyDescent="0.3">
      <c r="L223" s="612" t="s">
        <v>1329</v>
      </c>
      <c r="M223" s="612" t="s">
        <v>464</v>
      </c>
      <c r="N223" s="612" t="s">
        <v>464</v>
      </c>
      <c r="O223" s="612" t="s">
        <v>1643</v>
      </c>
    </row>
    <row r="224" spans="12:16" x14ac:dyDescent="0.3">
      <c r="L224" s="612" t="s">
        <v>1330</v>
      </c>
      <c r="M224" s="612" t="s">
        <v>464</v>
      </c>
      <c r="N224" s="612" t="s">
        <v>464</v>
      </c>
      <c r="O224" s="612"/>
    </row>
    <row r="225" spans="12:16" x14ac:dyDescent="0.3">
      <c r="L225" s="612" t="s">
        <v>1331</v>
      </c>
      <c r="M225" s="612" t="s">
        <v>464</v>
      </c>
      <c r="N225" s="612" t="s">
        <v>464</v>
      </c>
      <c r="O225" s="612"/>
    </row>
    <row r="226" spans="12:16" x14ac:dyDescent="0.3">
      <c r="L226" s="614" t="s">
        <v>1332</v>
      </c>
      <c r="M226" s="614">
        <v>0.03</v>
      </c>
      <c r="N226" s="614">
        <v>0.05</v>
      </c>
      <c r="O226" s="612" t="s">
        <v>1549</v>
      </c>
      <c r="P226" s="621" t="s">
        <v>1545</v>
      </c>
    </row>
    <row r="227" spans="12:16" x14ac:dyDescent="0.3">
      <c r="L227" s="612" t="s">
        <v>520</v>
      </c>
      <c r="M227" s="612" t="s">
        <v>464</v>
      </c>
      <c r="N227" s="612" t="s">
        <v>464</v>
      </c>
      <c r="O227" s="612"/>
    </row>
    <row r="228" spans="12:16" x14ac:dyDescent="0.3">
      <c r="L228" s="612" t="s">
        <v>1333</v>
      </c>
      <c r="M228" s="612" t="s">
        <v>464</v>
      </c>
      <c r="N228" s="612" t="s">
        <v>464</v>
      </c>
      <c r="O228" s="612"/>
    </row>
    <row r="229" spans="12:16" x14ac:dyDescent="0.3">
      <c r="L229" s="612" t="s">
        <v>521</v>
      </c>
      <c r="M229" s="612" t="s">
        <v>464</v>
      </c>
      <c r="N229" s="612" t="s">
        <v>464</v>
      </c>
      <c r="O229" s="612"/>
    </row>
    <row r="230" spans="12:16" x14ac:dyDescent="0.3">
      <c r="L230" s="612" t="s">
        <v>1334</v>
      </c>
      <c r="M230" s="612" t="s">
        <v>464</v>
      </c>
      <c r="N230" s="612" t="s">
        <v>464</v>
      </c>
      <c r="O230" s="612"/>
    </row>
    <row r="231" spans="12:16" x14ac:dyDescent="0.3">
      <c r="L231" s="614" t="s">
        <v>522</v>
      </c>
      <c r="M231" s="614">
        <v>0.03</v>
      </c>
      <c r="N231" s="614">
        <v>0.05</v>
      </c>
      <c r="O231" s="612" t="s">
        <v>1549</v>
      </c>
      <c r="P231" s="621" t="s">
        <v>1545</v>
      </c>
    </row>
    <row r="232" spans="12:16" x14ac:dyDescent="0.3">
      <c r="L232" s="612" t="s">
        <v>1335</v>
      </c>
      <c r="M232" s="612" t="s">
        <v>464</v>
      </c>
      <c r="N232" s="612" t="s">
        <v>464</v>
      </c>
      <c r="O232" s="612"/>
    </row>
    <row r="233" spans="12:16" x14ac:dyDescent="0.3">
      <c r="L233" s="612" t="s">
        <v>1336</v>
      </c>
      <c r="M233" s="612" t="s">
        <v>464</v>
      </c>
      <c r="N233" s="612" t="s">
        <v>464</v>
      </c>
      <c r="O233" s="612"/>
    </row>
    <row r="234" spans="12:16" x14ac:dyDescent="0.3">
      <c r="L234" s="612" t="s">
        <v>1148</v>
      </c>
      <c r="M234" s="612" t="s">
        <v>464</v>
      </c>
      <c r="N234" s="612" t="s">
        <v>464</v>
      </c>
      <c r="O234" s="612"/>
    </row>
    <row r="235" spans="12:16" x14ac:dyDescent="0.3">
      <c r="L235" s="615" t="s">
        <v>1337</v>
      </c>
      <c r="M235" s="615" t="s">
        <v>464</v>
      </c>
      <c r="N235" s="615" t="s">
        <v>464</v>
      </c>
      <c r="O235" s="612" t="s">
        <v>1544</v>
      </c>
    </row>
    <row r="236" spans="12:16" x14ac:dyDescent="0.3">
      <c r="L236" s="612" t="s">
        <v>436</v>
      </c>
      <c r="M236" s="612" t="s">
        <v>464</v>
      </c>
      <c r="N236" s="612" t="s">
        <v>464</v>
      </c>
      <c r="O236" s="612"/>
    </row>
    <row r="237" spans="12:16" x14ac:dyDescent="0.3">
      <c r="L237" s="612" t="s">
        <v>1338</v>
      </c>
      <c r="M237" s="612" t="s">
        <v>464</v>
      </c>
      <c r="N237" s="612" t="s">
        <v>464</v>
      </c>
      <c r="O237" s="612"/>
    </row>
    <row r="238" spans="12:16" x14ac:dyDescent="0.3">
      <c r="L238" s="612" t="s">
        <v>437</v>
      </c>
      <c r="M238" s="612" t="s">
        <v>464</v>
      </c>
      <c r="N238" s="612" t="s">
        <v>464</v>
      </c>
      <c r="O238" s="612"/>
    </row>
    <row r="239" spans="12:16" x14ac:dyDescent="0.3">
      <c r="L239" s="612" t="s">
        <v>1339</v>
      </c>
      <c r="M239" s="612" t="s">
        <v>464</v>
      </c>
      <c r="N239" s="612" t="s">
        <v>464</v>
      </c>
      <c r="O239" s="612"/>
    </row>
    <row r="240" spans="12:16" x14ac:dyDescent="0.3">
      <c r="L240" s="612" t="s">
        <v>1340</v>
      </c>
      <c r="M240" s="612" t="s">
        <v>464</v>
      </c>
      <c r="N240" s="612" t="s">
        <v>464</v>
      </c>
      <c r="O240" s="612"/>
    </row>
    <row r="241" spans="12:16" x14ac:dyDescent="0.3">
      <c r="L241" s="612" t="s">
        <v>1341</v>
      </c>
      <c r="M241" s="612" t="s">
        <v>464</v>
      </c>
      <c r="N241" s="612" t="s">
        <v>464</v>
      </c>
      <c r="O241" s="612"/>
    </row>
    <row r="242" spans="12:16" x14ac:dyDescent="0.3">
      <c r="L242" s="612" t="s">
        <v>1342</v>
      </c>
      <c r="M242" s="612" t="s">
        <v>464</v>
      </c>
      <c r="N242" s="612" t="s">
        <v>464</v>
      </c>
      <c r="O242" s="612"/>
    </row>
    <row r="243" spans="12:16" x14ac:dyDescent="0.3">
      <c r="L243" s="612" t="s">
        <v>1343</v>
      </c>
      <c r="M243" s="612" t="s">
        <v>464</v>
      </c>
      <c r="N243" s="612" t="s">
        <v>464</v>
      </c>
      <c r="O243" s="612"/>
    </row>
    <row r="244" spans="12:16" x14ac:dyDescent="0.3">
      <c r="L244" s="612" t="s">
        <v>1344</v>
      </c>
      <c r="M244" s="612" t="s">
        <v>464</v>
      </c>
      <c r="N244" s="612" t="s">
        <v>464</v>
      </c>
      <c r="O244" s="612"/>
    </row>
    <row r="245" spans="12:16" x14ac:dyDescent="0.3">
      <c r="L245" s="612" t="s">
        <v>1345</v>
      </c>
      <c r="M245" s="612" t="s">
        <v>464</v>
      </c>
      <c r="N245" s="612" t="s">
        <v>464</v>
      </c>
      <c r="O245" s="612"/>
    </row>
    <row r="246" spans="12:16" x14ac:dyDescent="0.3">
      <c r="L246" s="612" t="s">
        <v>1346</v>
      </c>
      <c r="M246" s="612" t="s">
        <v>464</v>
      </c>
      <c r="N246" s="612" t="s">
        <v>464</v>
      </c>
      <c r="O246" s="612"/>
    </row>
    <row r="247" spans="12:16" x14ac:dyDescent="0.3">
      <c r="L247" s="612" t="s">
        <v>1347</v>
      </c>
      <c r="M247" s="612" t="s">
        <v>464</v>
      </c>
      <c r="N247" s="612" t="s">
        <v>464</v>
      </c>
      <c r="O247" s="612"/>
    </row>
    <row r="248" spans="12:16" x14ac:dyDescent="0.3">
      <c r="L248" s="612" t="s">
        <v>1348</v>
      </c>
      <c r="M248" s="612" t="s">
        <v>464</v>
      </c>
      <c r="N248" s="612" t="s">
        <v>464</v>
      </c>
      <c r="O248" s="612"/>
    </row>
    <row r="249" spans="12:16" x14ac:dyDescent="0.3">
      <c r="L249" s="612" t="s">
        <v>1349</v>
      </c>
      <c r="M249" s="612" t="s">
        <v>464</v>
      </c>
      <c r="N249" s="612" t="s">
        <v>464</v>
      </c>
      <c r="O249" s="612"/>
    </row>
    <row r="250" spans="12:16" x14ac:dyDescent="0.3">
      <c r="L250" s="612" t="s">
        <v>1350</v>
      </c>
      <c r="M250" s="612" t="s">
        <v>464</v>
      </c>
      <c r="N250" s="612" t="s">
        <v>464</v>
      </c>
      <c r="O250" s="612"/>
    </row>
    <row r="251" spans="12:16" x14ac:dyDescent="0.3">
      <c r="L251" s="612" t="s">
        <v>1351</v>
      </c>
      <c r="M251" s="612" t="s">
        <v>464</v>
      </c>
      <c r="N251" s="612" t="s">
        <v>464</v>
      </c>
      <c r="O251" s="612" t="s">
        <v>1643</v>
      </c>
    </row>
    <row r="252" spans="12:16" x14ac:dyDescent="0.3">
      <c r="L252" s="612" t="s">
        <v>438</v>
      </c>
      <c r="M252" s="612" t="s">
        <v>464</v>
      </c>
      <c r="N252" s="612" t="s">
        <v>464</v>
      </c>
      <c r="O252" s="612"/>
    </row>
    <row r="253" spans="12:16" x14ac:dyDescent="0.3">
      <c r="L253" s="614" t="s">
        <v>1352</v>
      </c>
      <c r="M253" s="614">
        <v>0.03</v>
      </c>
      <c r="N253" s="614">
        <v>0.05</v>
      </c>
      <c r="O253" s="612" t="s">
        <v>1549</v>
      </c>
      <c r="P253" s="621" t="s">
        <v>1545</v>
      </c>
    </row>
    <row r="254" spans="12:16" x14ac:dyDescent="0.3">
      <c r="L254" s="612" t="s">
        <v>1353</v>
      </c>
      <c r="M254" s="612" t="s">
        <v>464</v>
      </c>
      <c r="N254" s="612" t="s">
        <v>464</v>
      </c>
      <c r="O254" s="612"/>
    </row>
    <row r="255" spans="12:16" x14ac:dyDescent="0.3">
      <c r="L255" s="612" t="s">
        <v>1354</v>
      </c>
      <c r="M255" s="612" t="s">
        <v>464</v>
      </c>
      <c r="N255" s="612" t="s">
        <v>464</v>
      </c>
      <c r="O255" s="612"/>
    </row>
    <row r="256" spans="12:16" x14ac:dyDescent="0.3">
      <c r="L256" s="612" t="s">
        <v>1355</v>
      </c>
      <c r="M256" s="612" t="s">
        <v>464</v>
      </c>
      <c r="N256" s="612" t="s">
        <v>464</v>
      </c>
      <c r="O256" s="612"/>
    </row>
    <row r="257" spans="12:16" x14ac:dyDescent="0.3">
      <c r="L257" s="612" t="s">
        <v>1356</v>
      </c>
      <c r="M257" s="612" t="s">
        <v>464</v>
      </c>
      <c r="N257" s="612" t="s">
        <v>464</v>
      </c>
      <c r="O257" s="612"/>
    </row>
    <row r="258" spans="12:16" x14ac:dyDescent="0.3">
      <c r="L258" s="614" t="s">
        <v>1357</v>
      </c>
      <c r="M258" s="614">
        <v>0.03</v>
      </c>
      <c r="N258" s="614">
        <v>0.05</v>
      </c>
      <c r="O258" s="612" t="s">
        <v>1549</v>
      </c>
      <c r="P258" s="621" t="s">
        <v>1545</v>
      </c>
    </row>
    <row r="259" spans="12:16" x14ac:dyDescent="0.3">
      <c r="L259" s="612" t="s">
        <v>1358</v>
      </c>
      <c r="M259" s="612" t="s">
        <v>464</v>
      </c>
      <c r="N259" s="612" t="s">
        <v>464</v>
      </c>
      <c r="O259" s="612"/>
    </row>
    <row r="260" spans="12:16" x14ac:dyDescent="0.3">
      <c r="L260" s="612" t="s">
        <v>1359</v>
      </c>
      <c r="M260" s="612" t="s">
        <v>464</v>
      </c>
      <c r="N260" s="612" t="s">
        <v>464</v>
      </c>
      <c r="O260" s="612"/>
    </row>
    <row r="261" spans="12:16" x14ac:dyDescent="0.3">
      <c r="L261" s="612" t="s">
        <v>1360</v>
      </c>
      <c r="M261" s="612" t="s">
        <v>464</v>
      </c>
      <c r="N261" s="612" t="s">
        <v>464</v>
      </c>
      <c r="O261" s="612"/>
    </row>
    <row r="262" spans="12:16" x14ac:dyDescent="0.3">
      <c r="L262" s="612" t="s">
        <v>1361</v>
      </c>
      <c r="M262" s="612" t="s">
        <v>464</v>
      </c>
      <c r="N262" s="612" t="s">
        <v>464</v>
      </c>
      <c r="O262" s="612"/>
    </row>
    <row r="263" spans="12:16" x14ac:dyDescent="0.3">
      <c r="L263" s="615" t="s">
        <v>1362</v>
      </c>
      <c r="M263" s="615" t="s">
        <v>464</v>
      </c>
      <c r="N263" s="615" t="s">
        <v>464</v>
      </c>
      <c r="O263" s="612" t="s">
        <v>1544</v>
      </c>
    </row>
    <row r="264" spans="12:16" x14ac:dyDescent="0.3">
      <c r="L264" s="612" t="s">
        <v>1363</v>
      </c>
      <c r="M264" s="612" t="s">
        <v>464</v>
      </c>
      <c r="N264" s="612" t="s">
        <v>464</v>
      </c>
      <c r="O264" s="612"/>
    </row>
    <row r="265" spans="12:16" x14ac:dyDescent="0.3">
      <c r="L265" s="612" t="s">
        <v>1364</v>
      </c>
      <c r="M265" s="612" t="s">
        <v>464</v>
      </c>
      <c r="N265" s="612" t="s">
        <v>464</v>
      </c>
      <c r="O265" s="612"/>
    </row>
    <row r="266" spans="12:16" x14ac:dyDescent="0.3">
      <c r="L266" s="612" t="s">
        <v>1365</v>
      </c>
      <c r="M266" s="612" t="s">
        <v>464</v>
      </c>
      <c r="N266" s="612" t="s">
        <v>464</v>
      </c>
      <c r="O266" s="612"/>
    </row>
    <row r="267" spans="12:16" x14ac:dyDescent="0.3">
      <c r="L267" s="612" t="s">
        <v>1366</v>
      </c>
      <c r="M267" s="612" t="s">
        <v>464</v>
      </c>
      <c r="N267" s="612" t="s">
        <v>464</v>
      </c>
      <c r="O267" s="612"/>
    </row>
    <row r="268" spans="12:16" x14ac:dyDescent="0.3">
      <c r="L268" s="614" t="s">
        <v>1367</v>
      </c>
      <c r="M268" s="614">
        <v>0.03</v>
      </c>
      <c r="N268" s="614">
        <v>0.05</v>
      </c>
      <c r="O268" s="612" t="s">
        <v>1549</v>
      </c>
      <c r="P268" s="621" t="s">
        <v>1545</v>
      </c>
    </row>
    <row r="269" spans="12:16" x14ac:dyDescent="0.3">
      <c r="L269" s="612" t="s">
        <v>1368</v>
      </c>
      <c r="M269" s="612" t="s">
        <v>464</v>
      </c>
      <c r="N269" s="612" t="s">
        <v>464</v>
      </c>
      <c r="O269" s="612"/>
    </row>
    <row r="270" spans="12:16" x14ac:dyDescent="0.3">
      <c r="L270" s="612" t="s">
        <v>1369</v>
      </c>
      <c r="M270" s="612" t="s">
        <v>464</v>
      </c>
      <c r="N270" s="612" t="s">
        <v>464</v>
      </c>
      <c r="O270" s="612"/>
    </row>
    <row r="271" spans="12:16" x14ac:dyDescent="0.3">
      <c r="L271" s="612" t="s">
        <v>1370</v>
      </c>
      <c r="M271" s="612" t="s">
        <v>464</v>
      </c>
      <c r="N271" s="612" t="s">
        <v>464</v>
      </c>
      <c r="O271" s="612"/>
    </row>
    <row r="272" spans="12:16" x14ac:dyDescent="0.3">
      <c r="L272" s="612" t="s">
        <v>1371</v>
      </c>
      <c r="M272" s="612" t="s">
        <v>464</v>
      </c>
      <c r="N272" s="612" t="s">
        <v>464</v>
      </c>
      <c r="O272" s="612"/>
    </row>
    <row r="273" spans="12:16" x14ac:dyDescent="0.3">
      <c r="L273" s="612" t="s">
        <v>1372</v>
      </c>
      <c r="M273" s="612" t="s">
        <v>464</v>
      </c>
      <c r="N273" s="612" t="s">
        <v>464</v>
      </c>
      <c r="O273" s="612"/>
    </row>
    <row r="274" spans="12:16" x14ac:dyDescent="0.3">
      <c r="L274" s="612" t="s">
        <v>1373</v>
      </c>
      <c r="M274" s="612" t="s">
        <v>464</v>
      </c>
      <c r="N274" s="612" t="s">
        <v>464</v>
      </c>
      <c r="O274" s="612"/>
    </row>
    <row r="275" spans="12:16" x14ac:dyDescent="0.3">
      <c r="L275" s="615" t="s">
        <v>1374</v>
      </c>
      <c r="M275" s="615">
        <v>0.03</v>
      </c>
      <c r="N275" s="615">
        <v>0.03</v>
      </c>
      <c r="O275" s="612" t="s">
        <v>1544</v>
      </c>
    </row>
    <row r="276" spans="12:16" x14ac:dyDescent="0.3">
      <c r="L276" s="612" t="s">
        <v>1375</v>
      </c>
      <c r="M276" s="612" t="s">
        <v>464</v>
      </c>
      <c r="N276" s="612" t="s">
        <v>464</v>
      </c>
      <c r="O276" s="612"/>
    </row>
    <row r="277" spans="12:16" x14ac:dyDescent="0.3">
      <c r="L277" s="612" t="s">
        <v>1376</v>
      </c>
      <c r="M277" s="612" t="s">
        <v>464</v>
      </c>
      <c r="N277" s="612" t="s">
        <v>464</v>
      </c>
      <c r="O277" s="612"/>
    </row>
    <row r="278" spans="12:16" x14ac:dyDescent="0.3">
      <c r="L278" s="612" t="s">
        <v>1377</v>
      </c>
      <c r="M278" s="612" t="s">
        <v>464</v>
      </c>
      <c r="N278" s="612" t="s">
        <v>464</v>
      </c>
      <c r="O278" s="612"/>
    </row>
    <row r="279" spans="12:16" x14ac:dyDescent="0.3">
      <c r="L279" s="615" t="s">
        <v>1378</v>
      </c>
      <c r="M279" s="615" t="s">
        <v>464</v>
      </c>
      <c r="N279" s="615" t="s">
        <v>464</v>
      </c>
      <c r="O279" s="612" t="s">
        <v>1544</v>
      </c>
    </row>
    <row r="280" spans="12:16" x14ac:dyDescent="0.3">
      <c r="L280" s="612" t="s">
        <v>1379</v>
      </c>
      <c r="M280" s="612" t="s">
        <v>464</v>
      </c>
      <c r="N280" s="612" t="s">
        <v>464</v>
      </c>
      <c r="O280" s="612"/>
    </row>
    <row r="281" spans="12:16" x14ac:dyDescent="0.3">
      <c r="L281" s="612" t="s">
        <v>1380</v>
      </c>
      <c r="M281" s="612" t="s">
        <v>464</v>
      </c>
      <c r="N281" s="612" t="s">
        <v>464</v>
      </c>
      <c r="O281" s="612"/>
    </row>
    <row r="282" spans="12:16" x14ac:dyDescent="0.3">
      <c r="L282" s="612" t="s">
        <v>1381</v>
      </c>
      <c r="M282" s="612" t="s">
        <v>464</v>
      </c>
      <c r="N282" s="612" t="s">
        <v>464</v>
      </c>
      <c r="O282" s="612"/>
    </row>
    <row r="283" spans="12:16" x14ac:dyDescent="0.3">
      <c r="L283" s="612" t="s">
        <v>1382</v>
      </c>
      <c r="M283" s="612" t="s">
        <v>464</v>
      </c>
      <c r="N283" s="612" t="s">
        <v>464</v>
      </c>
      <c r="O283" s="612"/>
    </row>
    <row r="284" spans="12:16" x14ac:dyDescent="0.3">
      <c r="L284" s="614" t="s">
        <v>1383</v>
      </c>
      <c r="M284" s="614">
        <v>0.03</v>
      </c>
      <c r="N284" s="614">
        <v>0.05</v>
      </c>
      <c r="O284" s="612" t="s">
        <v>1549</v>
      </c>
      <c r="P284" s="621" t="s">
        <v>1545</v>
      </c>
    </row>
    <row r="285" spans="12:16" x14ac:dyDescent="0.3">
      <c r="L285" s="612" t="s">
        <v>439</v>
      </c>
      <c r="M285" s="612" t="s">
        <v>464</v>
      </c>
      <c r="N285" s="612" t="s">
        <v>464</v>
      </c>
      <c r="O285" s="612"/>
    </row>
    <row r="286" spans="12:16" x14ac:dyDescent="0.3">
      <c r="L286" s="612" t="s">
        <v>1384</v>
      </c>
      <c r="M286" s="612" t="s">
        <v>464</v>
      </c>
      <c r="N286" s="612" t="s">
        <v>464</v>
      </c>
      <c r="O286" s="612" t="s">
        <v>1643</v>
      </c>
    </row>
    <row r="287" spans="12:16" x14ac:dyDescent="0.3">
      <c r="L287" s="612" t="s">
        <v>440</v>
      </c>
      <c r="M287" s="612" t="s">
        <v>464</v>
      </c>
      <c r="N287" s="612" t="s">
        <v>464</v>
      </c>
      <c r="O287" s="612"/>
    </row>
    <row r="288" spans="12:16" x14ac:dyDescent="0.3">
      <c r="L288" s="612" t="s">
        <v>1385</v>
      </c>
      <c r="M288" s="612" t="s">
        <v>464</v>
      </c>
      <c r="N288" s="612" t="s">
        <v>464</v>
      </c>
      <c r="O288" s="612"/>
    </row>
    <row r="289" spans="12:16" x14ac:dyDescent="0.3">
      <c r="L289" s="614" t="s">
        <v>441</v>
      </c>
      <c r="M289" s="614">
        <v>0.03</v>
      </c>
      <c r="N289" s="614">
        <v>0.05</v>
      </c>
      <c r="O289" s="612" t="s">
        <v>1549</v>
      </c>
      <c r="P289" s="621" t="s">
        <v>1545</v>
      </c>
    </row>
    <row r="290" spans="12:16" x14ac:dyDescent="0.3">
      <c r="L290" s="612" t="s">
        <v>442</v>
      </c>
      <c r="M290" s="612" t="s">
        <v>464</v>
      </c>
      <c r="N290" s="612" t="s">
        <v>464</v>
      </c>
      <c r="O290" s="612" t="s">
        <v>1643</v>
      </c>
    </row>
    <row r="291" spans="12:16" x14ac:dyDescent="0.3">
      <c r="L291" s="612" t="s">
        <v>392</v>
      </c>
      <c r="M291" s="612" t="s">
        <v>464</v>
      </c>
      <c r="N291" s="612" t="s">
        <v>464</v>
      </c>
      <c r="O291" s="612"/>
    </row>
    <row r="292" spans="12:16" x14ac:dyDescent="0.3">
      <c r="L292" s="612" t="s">
        <v>1386</v>
      </c>
      <c r="M292" s="612" t="s">
        <v>464</v>
      </c>
      <c r="N292" s="612" t="s">
        <v>464</v>
      </c>
      <c r="O292" s="612"/>
    </row>
    <row r="293" spans="12:16" x14ac:dyDescent="0.3">
      <c r="L293" s="612" t="s">
        <v>1387</v>
      </c>
      <c r="M293" s="612" t="s">
        <v>464</v>
      </c>
      <c r="N293" s="612" t="s">
        <v>464</v>
      </c>
      <c r="O293" s="612"/>
    </row>
    <row r="294" spans="12:16" x14ac:dyDescent="0.3">
      <c r="L294" s="612" t="s">
        <v>443</v>
      </c>
      <c r="M294" s="612" t="s">
        <v>464</v>
      </c>
      <c r="N294" s="612" t="s">
        <v>464</v>
      </c>
      <c r="O294" s="612"/>
    </row>
    <row r="295" spans="12:16" x14ac:dyDescent="0.3">
      <c r="L295" s="615" t="s">
        <v>1388</v>
      </c>
      <c r="M295" s="615">
        <v>0.03</v>
      </c>
      <c r="N295" s="615" t="s">
        <v>464</v>
      </c>
      <c r="O295" s="612" t="s">
        <v>1544</v>
      </c>
    </row>
    <row r="296" spans="12:16" x14ac:dyDescent="0.3">
      <c r="L296" s="612" t="s">
        <v>1389</v>
      </c>
      <c r="M296" s="612" t="s">
        <v>464</v>
      </c>
      <c r="N296" s="612" t="s">
        <v>464</v>
      </c>
      <c r="O296" s="612"/>
    </row>
    <row r="297" spans="12:16" x14ac:dyDescent="0.3">
      <c r="L297" s="612" t="s">
        <v>1390</v>
      </c>
      <c r="M297" s="612" t="s">
        <v>464</v>
      </c>
      <c r="N297" s="612" t="s">
        <v>464</v>
      </c>
      <c r="O297" s="612"/>
    </row>
    <row r="298" spans="12:16" x14ac:dyDescent="0.3">
      <c r="L298" s="612" t="s">
        <v>1391</v>
      </c>
      <c r="M298" s="612" t="s">
        <v>464</v>
      </c>
      <c r="N298" s="612" t="s">
        <v>464</v>
      </c>
      <c r="O298" s="612"/>
    </row>
    <row r="299" spans="12:16" x14ac:dyDescent="0.3">
      <c r="L299" s="612" t="s">
        <v>1392</v>
      </c>
      <c r="M299" s="612" t="s">
        <v>464</v>
      </c>
      <c r="N299" s="612" t="s">
        <v>464</v>
      </c>
      <c r="O299" s="612"/>
    </row>
    <row r="300" spans="12:16" x14ac:dyDescent="0.3">
      <c r="L300" s="612" t="s">
        <v>1393</v>
      </c>
      <c r="M300" s="612" t="s">
        <v>464</v>
      </c>
      <c r="N300" s="612" t="s">
        <v>464</v>
      </c>
      <c r="O300" s="612"/>
    </row>
    <row r="301" spans="12:16" x14ac:dyDescent="0.3">
      <c r="L301" s="612" t="s">
        <v>1394</v>
      </c>
      <c r="M301" s="612" t="s">
        <v>464</v>
      </c>
      <c r="N301" s="612" t="s">
        <v>464</v>
      </c>
      <c r="O301" s="612"/>
    </row>
    <row r="302" spans="12:16" x14ac:dyDescent="0.3">
      <c r="L302" s="612" t="s">
        <v>1395</v>
      </c>
      <c r="M302" s="612" t="s">
        <v>464</v>
      </c>
      <c r="N302" s="612" t="s">
        <v>464</v>
      </c>
      <c r="O302" s="612"/>
    </row>
    <row r="303" spans="12:16" x14ac:dyDescent="0.3">
      <c r="L303" s="612" t="s">
        <v>1396</v>
      </c>
      <c r="M303" s="612" t="s">
        <v>464</v>
      </c>
      <c r="N303" s="612" t="s">
        <v>464</v>
      </c>
      <c r="O303" s="612"/>
    </row>
    <row r="304" spans="12:16" x14ac:dyDescent="0.3">
      <c r="L304" s="612" t="s">
        <v>1397</v>
      </c>
      <c r="M304" s="612" t="s">
        <v>464</v>
      </c>
      <c r="N304" s="612" t="s">
        <v>464</v>
      </c>
      <c r="O304" s="612"/>
    </row>
    <row r="305" spans="12:15" x14ac:dyDescent="0.3">
      <c r="L305" s="612" t="s">
        <v>1398</v>
      </c>
      <c r="M305" s="612" t="s">
        <v>464</v>
      </c>
      <c r="N305" s="612" t="s">
        <v>464</v>
      </c>
      <c r="O305" s="612"/>
    </row>
    <row r="306" spans="12:15" x14ac:dyDescent="0.3">
      <c r="L306" s="612" t="s">
        <v>444</v>
      </c>
      <c r="M306" s="612" t="s">
        <v>464</v>
      </c>
      <c r="N306" s="612" t="s">
        <v>464</v>
      </c>
      <c r="O306" s="612"/>
    </row>
    <row r="307" spans="12:15" x14ac:dyDescent="0.3">
      <c r="L307" s="612" t="s">
        <v>1399</v>
      </c>
      <c r="M307" s="612" t="s">
        <v>464</v>
      </c>
      <c r="N307" s="612" t="s">
        <v>464</v>
      </c>
      <c r="O307" s="612"/>
    </row>
    <row r="308" spans="12:15" x14ac:dyDescent="0.3">
      <c r="L308" s="612" t="s">
        <v>1400</v>
      </c>
      <c r="M308" s="612" t="s">
        <v>464</v>
      </c>
      <c r="N308" s="612" t="s">
        <v>464</v>
      </c>
      <c r="O308" s="612"/>
    </row>
    <row r="309" spans="12:15" x14ac:dyDescent="0.3">
      <c r="L309" s="612" t="s">
        <v>1401</v>
      </c>
      <c r="M309" s="612" t="s">
        <v>464</v>
      </c>
      <c r="N309" s="612" t="s">
        <v>464</v>
      </c>
      <c r="O309" s="612"/>
    </row>
    <row r="310" spans="12:15" x14ac:dyDescent="0.3">
      <c r="L310" s="612" t="s">
        <v>1402</v>
      </c>
      <c r="M310" s="612" t="s">
        <v>464</v>
      </c>
      <c r="N310" s="612" t="s">
        <v>464</v>
      </c>
      <c r="O310" s="612"/>
    </row>
    <row r="311" spans="12:15" x14ac:dyDescent="0.3">
      <c r="L311" s="612" t="s">
        <v>1403</v>
      </c>
      <c r="M311" s="612" t="s">
        <v>464</v>
      </c>
      <c r="N311" s="612" t="s">
        <v>464</v>
      </c>
      <c r="O311" s="612"/>
    </row>
    <row r="312" spans="12:15" x14ac:dyDescent="0.3">
      <c r="L312" s="612" t="s">
        <v>836</v>
      </c>
      <c r="M312" s="612" t="s">
        <v>464</v>
      </c>
      <c r="N312" s="612" t="s">
        <v>464</v>
      </c>
      <c r="O312" s="612"/>
    </row>
    <row r="313" spans="12:15" x14ac:dyDescent="0.3">
      <c r="L313" s="612" t="s">
        <v>837</v>
      </c>
      <c r="M313" s="612" t="s">
        <v>464</v>
      </c>
      <c r="N313" s="612" t="s">
        <v>464</v>
      </c>
      <c r="O313" s="612"/>
    </row>
    <row r="314" spans="12:15" x14ac:dyDescent="0.3">
      <c r="L314" s="612" t="s">
        <v>1404</v>
      </c>
      <c r="M314" s="612" t="s">
        <v>464</v>
      </c>
      <c r="N314" s="612" t="s">
        <v>464</v>
      </c>
      <c r="O314" s="612"/>
    </row>
    <row r="315" spans="12:15" x14ac:dyDescent="0.3">
      <c r="L315" s="612" t="s">
        <v>1405</v>
      </c>
      <c r="M315" s="612" t="s">
        <v>464</v>
      </c>
      <c r="N315" s="612" t="s">
        <v>464</v>
      </c>
      <c r="O315" s="612"/>
    </row>
    <row r="316" spans="12:15" x14ac:dyDescent="0.3">
      <c r="L316" s="612" t="s">
        <v>1406</v>
      </c>
      <c r="M316" s="612" t="s">
        <v>464</v>
      </c>
      <c r="N316" s="612" t="s">
        <v>464</v>
      </c>
      <c r="O316" s="612"/>
    </row>
    <row r="317" spans="12:15" x14ac:dyDescent="0.3">
      <c r="L317" s="612" t="s">
        <v>1407</v>
      </c>
      <c r="M317" s="612" t="s">
        <v>464</v>
      </c>
      <c r="N317" s="612" t="s">
        <v>464</v>
      </c>
      <c r="O317" s="612"/>
    </row>
    <row r="318" spans="12:15" x14ac:dyDescent="0.3">
      <c r="L318" s="612" t="s">
        <v>524</v>
      </c>
      <c r="M318" s="612" t="s">
        <v>464</v>
      </c>
      <c r="N318" s="612" t="s">
        <v>464</v>
      </c>
      <c r="O318" s="612"/>
    </row>
    <row r="319" spans="12:15" x14ac:dyDescent="0.3">
      <c r="L319" s="612" t="s">
        <v>1408</v>
      </c>
      <c r="M319" s="612" t="s">
        <v>464</v>
      </c>
      <c r="N319" s="612" t="s">
        <v>464</v>
      </c>
      <c r="O319" s="612"/>
    </row>
    <row r="320" spans="12:15" x14ac:dyDescent="0.3">
      <c r="L320" s="612" t="s">
        <v>1409</v>
      </c>
      <c r="M320" s="612" t="s">
        <v>464</v>
      </c>
      <c r="N320" s="612" t="s">
        <v>464</v>
      </c>
      <c r="O320" s="612"/>
    </row>
    <row r="321" spans="12:15" x14ac:dyDescent="0.3">
      <c r="L321" s="612" t="s">
        <v>838</v>
      </c>
      <c r="M321" s="612" t="s">
        <v>464</v>
      </c>
      <c r="N321" s="612" t="s">
        <v>464</v>
      </c>
      <c r="O321" s="612"/>
    </row>
    <row r="322" spans="12:15" x14ac:dyDescent="0.3">
      <c r="L322" s="612" t="s">
        <v>1410</v>
      </c>
      <c r="M322" s="612" t="s">
        <v>464</v>
      </c>
      <c r="N322" s="612" t="s">
        <v>464</v>
      </c>
      <c r="O322" s="612"/>
    </row>
    <row r="323" spans="12:15" x14ac:dyDescent="0.3">
      <c r="L323" s="612" t="s">
        <v>1411</v>
      </c>
      <c r="M323" s="612" t="s">
        <v>464</v>
      </c>
      <c r="N323" s="612" t="s">
        <v>464</v>
      </c>
      <c r="O323" s="612"/>
    </row>
    <row r="324" spans="12:15" x14ac:dyDescent="0.3">
      <c r="L324" s="612" t="s">
        <v>1412</v>
      </c>
      <c r="M324" s="612" t="s">
        <v>464</v>
      </c>
      <c r="N324" s="612" t="s">
        <v>464</v>
      </c>
      <c r="O324" s="612"/>
    </row>
    <row r="325" spans="12:15" x14ac:dyDescent="0.3">
      <c r="L325" s="615" t="s">
        <v>1413</v>
      </c>
      <c r="M325" s="615">
        <v>0.01</v>
      </c>
      <c r="N325" s="615" t="s">
        <v>464</v>
      </c>
      <c r="O325" s="612" t="s">
        <v>1544</v>
      </c>
    </row>
    <row r="326" spans="12:15" x14ac:dyDescent="0.3">
      <c r="L326" s="612" t="s">
        <v>525</v>
      </c>
      <c r="M326" s="612" t="s">
        <v>464</v>
      </c>
      <c r="N326" s="612" t="s">
        <v>464</v>
      </c>
      <c r="O326" s="612"/>
    </row>
    <row r="327" spans="12:15" x14ac:dyDescent="0.3">
      <c r="L327" s="612" t="s">
        <v>1414</v>
      </c>
      <c r="M327" s="612" t="s">
        <v>464</v>
      </c>
      <c r="N327" s="612" t="s">
        <v>464</v>
      </c>
      <c r="O327" s="612"/>
    </row>
    <row r="328" spans="12:15" x14ac:dyDescent="0.3">
      <c r="L328" s="612" t="s">
        <v>1415</v>
      </c>
      <c r="M328" s="612" t="s">
        <v>464</v>
      </c>
      <c r="N328" s="612" t="s">
        <v>464</v>
      </c>
      <c r="O328" s="612"/>
    </row>
    <row r="329" spans="12:15" x14ac:dyDescent="0.3">
      <c r="L329" s="612" t="s">
        <v>1416</v>
      </c>
      <c r="M329" s="612" t="s">
        <v>464</v>
      </c>
      <c r="N329" s="612" t="s">
        <v>464</v>
      </c>
      <c r="O329" s="612"/>
    </row>
    <row r="330" spans="12:15" x14ac:dyDescent="0.3">
      <c r="L330" s="615" t="s">
        <v>1417</v>
      </c>
      <c r="M330" s="615" t="s">
        <v>464</v>
      </c>
      <c r="N330" s="615" t="s">
        <v>464</v>
      </c>
      <c r="O330" s="612" t="s">
        <v>1544</v>
      </c>
    </row>
    <row r="331" spans="12:15" x14ac:dyDescent="0.3">
      <c r="L331" s="612" t="s">
        <v>1418</v>
      </c>
      <c r="M331" s="612" t="s">
        <v>464</v>
      </c>
      <c r="N331" s="612" t="s">
        <v>464</v>
      </c>
      <c r="O331" s="612"/>
    </row>
    <row r="332" spans="12:15" x14ac:dyDescent="0.3">
      <c r="L332" s="612" t="s">
        <v>1419</v>
      </c>
      <c r="M332" s="612" t="s">
        <v>464</v>
      </c>
      <c r="N332" s="612" t="s">
        <v>464</v>
      </c>
      <c r="O332" s="612"/>
    </row>
    <row r="333" spans="12:15" x14ac:dyDescent="0.3">
      <c r="L333" s="612" t="s">
        <v>1420</v>
      </c>
      <c r="M333" s="612" t="s">
        <v>464</v>
      </c>
      <c r="N333" s="612" t="s">
        <v>464</v>
      </c>
      <c r="O333" s="612"/>
    </row>
    <row r="334" spans="12:15" x14ac:dyDescent="0.3">
      <c r="L334" s="612" t="s">
        <v>1421</v>
      </c>
      <c r="M334" s="612" t="s">
        <v>464</v>
      </c>
      <c r="N334" s="612" t="s">
        <v>464</v>
      </c>
      <c r="O334" s="612"/>
    </row>
    <row r="335" spans="12:15" x14ac:dyDescent="0.3">
      <c r="L335" s="612" t="s">
        <v>839</v>
      </c>
      <c r="M335" s="612" t="s">
        <v>464</v>
      </c>
      <c r="N335" s="612" t="s">
        <v>464</v>
      </c>
      <c r="O335" s="612"/>
    </row>
    <row r="336" spans="12:15" x14ac:dyDescent="0.3">
      <c r="L336" s="612" t="s">
        <v>526</v>
      </c>
      <c r="M336" s="612" t="s">
        <v>464</v>
      </c>
      <c r="N336" s="612" t="s">
        <v>464</v>
      </c>
      <c r="O336" s="612"/>
    </row>
    <row r="337" spans="12:16" x14ac:dyDescent="0.3">
      <c r="L337" s="612" t="s">
        <v>1422</v>
      </c>
      <c r="M337" s="612" t="s">
        <v>464</v>
      </c>
      <c r="N337" s="612" t="s">
        <v>464</v>
      </c>
      <c r="O337" s="612"/>
    </row>
    <row r="338" spans="12:16" x14ac:dyDescent="0.3">
      <c r="L338" s="612" t="s">
        <v>1423</v>
      </c>
      <c r="M338" s="612" t="s">
        <v>464</v>
      </c>
      <c r="N338" s="612" t="s">
        <v>464</v>
      </c>
      <c r="O338" s="612"/>
    </row>
    <row r="339" spans="12:16" x14ac:dyDescent="0.3">
      <c r="L339" s="612" t="s">
        <v>1424</v>
      </c>
      <c r="M339" s="612" t="s">
        <v>464</v>
      </c>
      <c r="N339" s="612" t="s">
        <v>464</v>
      </c>
      <c r="O339" s="612"/>
    </row>
    <row r="340" spans="12:16" x14ac:dyDescent="0.3">
      <c r="L340" s="612" t="s">
        <v>1425</v>
      </c>
      <c r="M340" s="612" t="s">
        <v>464</v>
      </c>
      <c r="N340" s="612" t="s">
        <v>464</v>
      </c>
      <c r="O340" s="612"/>
    </row>
    <row r="341" spans="12:16" x14ac:dyDescent="0.3">
      <c r="L341" s="612" t="s">
        <v>1426</v>
      </c>
      <c r="M341" s="612" t="s">
        <v>464</v>
      </c>
      <c r="N341" s="612" t="s">
        <v>464</v>
      </c>
      <c r="O341" s="612"/>
    </row>
    <row r="342" spans="12:16" x14ac:dyDescent="0.3">
      <c r="L342" s="612" t="s">
        <v>527</v>
      </c>
      <c r="M342" s="612" t="s">
        <v>464</v>
      </c>
      <c r="N342" s="612" t="s">
        <v>464</v>
      </c>
      <c r="O342" s="612"/>
    </row>
    <row r="343" spans="12:16" x14ac:dyDescent="0.3">
      <c r="L343" s="614" t="s">
        <v>1427</v>
      </c>
      <c r="M343" s="614">
        <v>0.03</v>
      </c>
      <c r="N343" s="614">
        <v>0.05</v>
      </c>
      <c r="O343" s="612" t="s">
        <v>1549</v>
      </c>
      <c r="P343" s="621" t="s">
        <v>1545</v>
      </c>
    </row>
    <row r="344" spans="12:16" x14ac:dyDescent="0.3">
      <c r="L344" s="612" t="s">
        <v>1428</v>
      </c>
      <c r="M344" s="612" t="s">
        <v>464</v>
      </c>
      <c r="N344" s="612" t="s">
        <v>464</v>
      </c>
      <c r="O344" s="612"/>
    </row>
    <row r="345" spans="12:16" x14ac:dyDescent="0.3">
      <c r="L345" s="612" t="s">
        <v>1429</v>
      </c>
      <c r="M345" s="612" t="s">
        <v>464</v>
      </c>
      <c r="N345" s="612" t="s">
        <v>464</v>
      </c>
      <c r="O345" s="612"/>
    </row>
    <row r="346" spans="12:16" x14ac:dyDescent="0.3">
      <c r="L346" s="612" t="s">
        <v>528</v>
      </c>
      <c r="M346" s="612" t="s">
        <v>464</v>
      </c>
      <c r="N346" s="612" t="s">
        <v>464</v>
      </c>
      <c r="O346" s="612"/>
    </row>
    <row r="347" spans="12:16" x14ac:dyDescent="0.3">
      <c r="L347" s="615" t="s">
        <v>1430</v>
      </c>
      <c r="M347" s="615" t="s">
        <v>464</v>
      </c>
      <c r="N347" s="615" t="s">
        <v>464</v>
      </c>
      <c r="O347" s="612" t="s">
        <v>1544</v>
      </c>
    </row>
    <row r="348" spans="12:16" x14ac:dyDescent="0.3">
      <c r="L348" s="612" t="s">
        <v>529</v>
      </c>
      <c r="M348" s="612" t="s">
        <v>464</v>
      </c>
      <c r="N348" s="612" t="s">
        <v>464</v>
      </c>
      <c r="O348" s="612"/>
    </row>
    <row r="349" spans="12:16" x14ac:dyDescent="0.3">
      <c r="L349" s="612" t="s">
        <v>530</v>
      </c>
      <c r="M349" s="612" t="s">
        <v>464</v>
      </c>
      <c r="N349" s="612" t="s">
        <v>464</v>
      </c>
      <c r="O349" s="612"/>
    </row>
    <row r="350" spans="12:16" x14ac:dyDescent="0.3">
      <c r="L350" s="612" t="s">
        <v>531</v>
      </c>
      <c r="M350" s="612" t="s">
        <v>464</v>
      </c>
      <c r="N350" s="612" t="s">
        <v>464</v>
      </c>
      <c r="O350" s="612"/>
    </row>
    <row r="351" spans="12:16" x14ac:dyDescent="0.3">
      <c r="L351" s="612" t="s">
        <v>1431</v>
      </c>
      <c r="M351" s="612" t="s">
        <v>464</v>
      </c>
      <c r="N351" s="612" t="s">
        <v>464</v>
      </c>
      <c r="O351" s="612"/>
    </row>
    <row r="352" spans="12:16" x14ac:dyDescent="0.3">
      <c r="L352" s="612" t="s">
        <v>1432</v>
      </c>
      <c r="M352" s="612" t="s">
        <v>464</v>
      </c>
      <c r="N352" s="612" t="s">
        <v>464</v>
      </c>
      <c r="O352" s="612"/>
    </row>
    <row r="353" spans="12:15" x14ac:dyDescent="0.3">
      <c r="L353" s="612" t="s">
        <v>1433</v>
      </c>
      <c r="M353" s="612" t="s">
        <v>464</v>
      </c>
      <c r="N353" s="612" t="s">
        <v>464</v>
      </c>
      <c r="O353" s="612"/>
    </row>
    <row r="354" spans="12:15" x14ac:dyDescent="0.3">
      <c r="L354" s="612" t="s">
        <v>533</v>
      </c>
      <c r="M354" s="612" t="s">
        <v>464</v>
      </c>
      <c r="N354" s="612" t="s">
        <v>464</v>
      </c>
      <c r="O354" s="612"/>
    </row>
    <row r="355" spans="12:15" x14ac:dyDescent="0.3">
      <c r="L355" s="612" t="s">
        <v>534</v>
      </c>
      <c r="M355" s="612" t="s">
        <v>464</v>
      </c>
      <c r="N355" s="612" t="s">
        <v>464</v>
      </c>
      <c r="O355" s="612" t="s">
        <v>1643</v>
      </c>
    </row>
    <row r="356" spans="12:15" x14ac:dyDescent="0.3">
      <c r="L356" s="612" t="s">
        <v>1434</v>
      </c>
      <c r="M356" s="612" t="s">
        <v>464</v>
      </c>
      <c r="N356" s="612" t="s">
        <v>464</v>
      </c>
      <c r="O356" s="612"/>
    </row>
    <row r="357" spans="12:15" x14ac:dyDescent="0.3">
      <c r="L357" s="612" t="s">
        <v>1435</v>
      </c>
      <c r="M357" s="612" t="s">
        <v>464</v>
      </c>
      <c r="N357" s="612" t="s">
        <v>464</v>
      </c>
      <c r="O357" s="612"/>
    </row>
    <row r="358" spans="12:15" x14ac:dyDescent="0.3">
      <c r="L358" s="612" t="s">
        <v>1436</v>
      </c>
      <c r="M358" s="612" t="s">
        <v>464</v>
      </c>
      <c r="N358" s="612" t="s">
        <v>464</v>
      </c>
      <c r="O358" s="612"/>
    </row>
    <row r="359" spans="12:15" x14ac:dyDescent="0.3">
      <c r="L359" s="612" t="s">
        <v>1437</v>
      </c>
      <c r="M359" s="612" t="s">
        <v>464</v>
      </c>
      <c r="N359" s="612" t="s">
        <v>464</v>
      </c>
      <c r="O359" s="612"/>
    </row>
    <row r="360" spans="12:15" x14ac:dyDescent="0.3">
      <c r="L360" s="612" t="s">
        <v>1438</v>
      </c>
      <c r="M360" s="612" t="s">
        <v>464</v>
      </c>
      <c r="N360" s="612" t="s">
        <v>464</v>
      </c>
      <c r="O360" s="612"/>
    </row>
    <row r="361" spans="12:15" x14ac:dyDescent="0.3">
      <c r="L361" s="612" t="s">
        <v>1439</v>
      </c>
      <c r="M361" s="612" t="s">
        <v>464</v>
      </c>
      <c r="N361" s="612" t="s">
        <v>464</v>
      </c>
      <c r="O361" s="612"/>
    </row>
    <row r="362" spans="12:15" x14ac:dyDescent="0.3">
      <c r="L362" s="612" t="s">
        <v>1440</v>
      </c>
      <c r="M362" s="612" t="s">
        <v>464</v>
      </c>
      <c r="N362" s="612" t="s">
        <v>464</v>
      </c>
      <c r="O362" s="612"/>
    </row>
    <row r="363" spans="12:15" x14ac:dyDescent="0.3">
      <c r="L363" s="612" t="s">
        <v>1441</v>
      </c>
      <c r="M363" s="612" t="s">
        <v>464</v>
      </c>
      <c r="N363" s="612" t="s">
        <v>464</v>
      </c>
      <c r="O363" s="612"/>
    </row>
    <row r="364" spans="12:15" x14ac:dyDescent="0.3">
      <c r="L364" s="612" t="s">
        <v>1442</v>
      </c>
      <c r="M364" s="612" t="s">
        <v>464</v>
      </c>
      <c r="N364" s="612" t="s">
        <v>464</v>
      </c>
      <c r="O364" s="612"/>
    </row>
    <row r="365" spans="12:15" x14ac:dyDescent="0.3">
      <c r="L365" s="612" t="s">
        <v>1443</v>
      </c>
      <c r="M365" s="612" t="s">
        <v>464</v>
      </c>
      <c r="N365" s="612" t="s">
        <v>464</v>
      </c>
      <c r="O365" s="612"/>
    </row>
    <row r="366" spans="12:15" x14ac:dyDescent="0.3">
      <c r="L366" s="612" t="s">
        <v>1444</v>
      </c>
      <c r="M366" s="612" t="s">
        <v>464</v>
      </c>
      <c r="N366" s="612" t="s">
        <v>464</v>
      </c>
      <c r="O366" s="612"/>
    </row>
    <row r="367" spans="12:15" x14ac:dyDescent="0.3">
      <c r="L367" s="612" t="s">
        <v>1445</v>
      </c>
      <c r="M367" s="612" t="s">
        <v>464</v>
      </c>
      <c r="N367" s="612" t="s">
        <v>464</v>
      </c>
      <c r="O367" s="612"/>
    </row>
    <row r="368" spans="12:15" x14ac:dyDescent="0.3">
      <c r="L368" s="612" t="s">
        <v>1446</v>
      </c>
      <c r="M368" s="612" t="s">
        <v>464</v>
      </c>
      <c r="N368" s="612" t="s">
        <v>464</v>
      </c>
      <c r="O368" s="612"/>
    </row>
    <row r="369" spans="12:16" x14ac:dyDescent="0.3">
      <c r="L369" s="612" t="s">
        <v>1447</v>
      </c>
      <c r="M369" s="612" t="s">
        <v>464</v>
      </c>
      <c r="N369" s="612" t="s">
        <v>464</v>
      </c>
      <c r="O369" s="612"/>
    </row>
    <row r="370" spans="12:16" x14ac:dyDescent="0.3">
      <c r="L370" s="612" t="s">
        <v>1448</v>
      </c>
      <c r="M370" s="612" t="s">
        <v>464</v>
      </c>
      <c r="N370" s="612" t="s">
        <v>464</v>
      </c>
      <c r="O370" s="612"/>
    </row>
    <row r="371" spans="12:16" x14ac:dyDescent="0.3">
      <c r="L371" s="612" t="s">
        <v>1449</v>
      </c>
      <c r="M371" s="612" t="s">
        <v>464</v>
      </c>
      <c r="N371" s="612" t="s">
        <v>464</v>
      </c>
      <c r="O371" s="612"/>
    </row>
    <row r="372" spans="12:16" x14ac:dyDescent="0.3">
      <c r="L372" s="614" t="s">
        <v>536</v>
      </c>
      <c r="M372" s="614">
        <v>0.03</v>
      </c>
      <c r="N372" s="614">
        <v>0.05</v>
      </c>
      <c r="O372" s="612" t="s">
        <v>1549</v>
      </c>
      <c r="P372" s="621" t="s">
        <v>1545</v>
      </c>
    </row>
    <row r="373" spans="12:16" x14ac:dyDescent="0.3">
      <c r="L373" s="612" t="s">
        <v>537</v>
      </c>
      <c r="M373" s="612" t="s">
        <v>464</v>
      </c>
      <c r="N373" s="612" t="s">
        <v>464</v>
      </c>
      <c r="O373" s="612"/>
    </row>
    <row r="374" spans="12:16" x14ac:dyDescent="0.3">
      <c r="L374" s="612" t="s">
        <v>1450</v>
      </c>
      <c r="M374" s="612" t="s">
        <v>464</v>
      </c>
      <c r="N374" s="612" t="s">
        <v>464</v>
      </c>
      <c r="O374" s="612"/>
    </row>
    <row r="375" spans="12:16" x14ac:dyDescent="0.3">
      <c r="L375" s="612" t="s">
        <v>1451</v>
      </c>
      <c r="M375" s="612" t="s">
        <v>464</v>
      </c>
      <c r="N375" s="612" t="s">
        <v>464</v>
      </c>
      <c r="O375" s="612"/>
    </row>
    <row r="376" spans="12:16" x14ac:dyDescent="0.3">
      <c r="L376" s="612" t="s">
        <v>1452</v>
      </c>
      <c r="M376" s="612" t="s">
        <v>464</v>
      </c>
      <c r="N376" s="612" t="s">
        <v>464</v>
      </c>
      <c r="O376" s="612"/>
    </row>
    <row r="377" spans="12:16" x14ac:dyDescent="0.3">
      <c r="L377" s="612" t="s">
        <v>1453</v>
      </c>
      <c r="M377" s="612" t="s">
        <v>464</v>
      </c>
      <c r="N377" s="612" t="s">
        <v>464</v>
      </c>
      <c r="O377" s="612"/>
    </row>
    <row r="378" spans="12:16" x14ac:dyDescent="0.3">
      <c r="L378" s="612" t="s">
        <v>1454</v>
      </c>
      <c r="M378" s="612" t="s">
        <v>464</v>
      </c>
      <c r="N378" s="612" t="s">
        <v>464</v>
      </c>
      <c r="O378" s="612" t="s">
        <v>1643</v>
      </c>
    </row>
    <row r="379" spans="12:16" x14ac:dyDescent="0.3">
      <c r="L379" s="615" t="s">
        <v>1455</v>
      </c>
      <c r="M379" s="615" t="s">
        <v>464</v>
      </c>
      <c r="N379" s="615" t="s">
        <v>464</v>
      </c>
      <c r="O379" s="612" t="s">
        <v>1544</v>
      </c>
    </row>
    <row r="380" spans="12:16" x14ac:dyDescent="0.3">
      <c r="L380" s="612" t="s">
        <v>1456</v>
      </c>
      <c r="M380" s="612" t="s">
        <v>464</v>
      </c>
      <c r="N380" s="612" t="s">
        <v>464</v>
      </c>
      <c r="O380" s="612"/>
    </row>
    <row r="381" spans="12:16" x14ac:dyDescent="0.3">
      <c r="L381" s="612" t="s">
        <v>1457</v>
      </c>
      <c r="M381" s="612" t="s">
        <v>464</v>
      </c>
      <c r="N381" s="612" t="s">
        <v>464</v>
      </c>
      <c r="O381" s="612"/>
    </row>
    <row r="382" spans="12:16" x14ac:dyDescent="0.3">
      <c r="L382" s="612" t="s">
        <v>1458</v>
      </c>
      <c r="M382" s="612" t="s">
        <v>464</v>
      </c>
      <c r="N382" s="612" t="s">
        <v>464</v>
      </c>
      <c r="O382" s="612"/>
    </row>
    <row r="383" spans="12:16" x14ac:dyDescent="0.3">
      <c r="L383" s="612" t="s">
        <v>840</v>
      </c>
      <c r="M383" s="612" t="s">
        <v>464</v>
      </c>
      <c r="N383" s="612" t="s">
        <v>464</v>
      </c>
      <c r="O383" s="612"/>
    </row>
    <row r="384" spans="12:16" x14ac:dyDescent="0.3">
      <c r="L384" s="612" t="s">
        <v>1459</v>
      </c>
      <c r="M384" s="612" t="s">
        <v>464</v>
      </c>
      <c r="N384" s="612" t="s">
        <v>464</v>
      </c>
      <c r="O384" s="612"/>
    </row>
    <row r="385" spans="12:16" x14ac:dyDescent="0.3">
      <c r="L385" s="612" t="s">
        <v>538</v>
      </c>
      <c r="M385" s="612" t="s">
        <v>464</v>
      </c>
      <c r="N385" s="612" t="s">
        <v>464</v>
      </c>
      <c r="O385" s="612"/>
    </row>
    <row r="386" spans="12:16" x14ac:dyDescent="0.3">
      <c r="L386" s="612" t="s">
        <v>539</v>
      </c>
      <c r="M386" s="612" t="s">
        <v>464</v>
      </c>
      <c r="N386" s="612" t="s">
        <v>464</v>
      </c>
      <c r="O386" s="612"/>
    </row>
    <row r="387" spans="12:16" x14ac:dyDescent="0.3">
      <c r="L387" s="612" t="s">
        <v>1460</v>
      </c>
      <c r="M387" s="612" t="s">
        <v>464</v>
      </c>
      <c r="N387" s="612" t="s">
        <v>464</v>
      </c>
      <c r="O387" s="612"/>
    </row>
    <row r="388" spans="12:16" x14ac:dyDescent="0.3">
      <c r="L388" s="612" t="s">
        <v>1461</v>
      </c>
      <c r="M388" s="612" t="s">
        <v>464</v>
      </c>
      <c r="N388" s="612" t="s">
        <v>464</v>
      </c>
      <c r="O388" s="612"/>
    </row>
    <row r="389" spans="12:16" x14ac:dyDescent="0.3">
      <c r="L389" s="612" t="s">
        <v>540</v>
      </c>
      <c r="M389" s="612" t="s">
        <v>464</v>
      </c>
      <c r="N389" s="612" t="s">
        <v>464</v>
      </c>
      <c r="O389" s="612"/>
    </row>
    <row r="390" spans="12:16" x14ac:dyDescent="0.3">
      <c r="L390" s="612" t="s">
        <v>541</v>
      </c>
      <c r="M390" s="612" t="s">
        <v>464</v>
      </c>
      <c r="N390" s="612" t="s">
        <v>464</v>
      </c>
      <c r="O390" s="612"/>
    </row>
    <row r="391" spans="12:16" x14ac:dyDescent="0.3">
      <c r="L391" s="612" t="s">
        <v>1462</v>
      </c>
      <c r="M391" s="612" t="s">
        <v>464</v>
      </c>
      <c r="N391" s="612" t="s">
        <v>464</v>
      </c>
      <c r="O391" s="612"/>
    </row>
    <row r="392" spans="12:16" x14ac:dyDescent="0.3">
      <c r="L392" s="612" t="s">
        <v>1463</v>
      </c>
      <c r="M392" s="612" t="s">
        <v>464</v>
      </c>
      <c r="N392" s="612" t="s">
        <v>464</v>
      </c>
      <c r="O392" s="612"/>
    </row>
    <row r="393" spans="12:16" x14ac:dyDescent="0.3">
      <c r="L393" s="612" t="s">
        <v>542</v>
      </c>
      <c r="M393" s="612" t="s">
        <v>464</v>
      </c>
      <c r="N393" s="612" t="s">
        <v>464</v>
      </c>
      <c r="O393" s="612"/>
    </row>
    <row r="394" spans="12:16" x14ac:dyDescent="0.3">
      <c r="L394" s="612" t="s">
        <v>1464</v>
      </c>
      <c r="M394" s="612" t="s">
        <v>464</v>
      </c>
      <c r="N394" s="612" t="s">
        <v>464</v>
      </c>
      <c r="O394" s="612"/>
    </row>
    <row r="395" spans="12:16" x14ac:dyDescent="0.3">
      <c r="L395" s="612" t="s">
        <v>543</v>
      </c>
      <c r="M395" s="612" t="s">
        <v>464</v>
      </c>
      <c r="N395" s="612" t="s">
        <v>464</v>
      </c>
      <c r="O395" s="612"/>
    </row>
    <row r="396" spans="12:16" x14ac:dyDescent="0.3">
      <c r="L396" s="612" t="s">
        <v>1465</v>
      </c>
      <c r="M396" s="612" t="s">
        <v>464</v>
      </c>
      <c r="N396" s="612" t="s">
        <v>464</v>
      </c>
      <c r="O396" s="612"/>
    </row>
    <row r="397" spans="12:16" x14ac:dyDescent="0.3">
      <c r="L397" s="612" t="s">
        <v>1466</v>
      </c>
      <c r="M397" s="612" t="s">
        <v>464</v>
      </c>
      <c r="N397" s="612" t="s">
        <v>464</v>
      </c>
      <c r="O397" s="612"/>
    </row>
    <row r="398" spans="12:16" x14ac:dyDescent="0.3">
      <c r="L398" s="612" t="s">
        <v>1467</v>
      </c>
      <c r="M398" s="612" t="s">
        <v>464</v>
      </c>
      <c r="N398" s="612" t="s">
        <v>464</v>
      </c>
      <c r="O398" s="612"/>
    </row>
    <row r="399" spans="12:16" x14ac:dyDescent="0.3">
      <c r="L399" s="614" t="s">
        <v>544</v>
      </c>
      <c r="M399" s="614">
        <v>0.03</v>
      </c>
      <c r="N399" s="614">
        <v>0.05</v>
      </c>
      <c r="O399" s="612" t="s">
        <v>1549</v>
      </c>
      <c r="P399" s="621" t="s">
        <v>1545</v>
      </c>
    </row>
    <row r="400" spans="12:16" x14ac:dyDescent="0.3">
      <c r="L400" s="612" t="s">
        <v>1468</v>
      </c>
      <c r="M400" s="612" t="s">
        <v>464</v>
      </c>
      <c r="N400" s="612" t="s">
        <v>464</v>
      </c>
      <c r="O400" s="612"/>
    </row>
    <row r="401" spans="12:16" x14ac:dyDescent="0.3">
      <c r="L401" s="612" t="s">
        <v>1469</v>
      </c>
      <c r="M401" s="612" t="s">
        <v>464</v>
      </c>
      <c r="N401" s="612" t="s">
        <v>464</v>
      </c>
      <c r="O401" s="612"/>
    </row>
    <row r="402" spans="12:16" x14ac:dyDescent="0.3">
      <c r="L402" s="612" t="s">
        <v>1470</v>
      </c>
      <c r="M402" s="612" t="s">
        <v>464</v>
      </c>
      <c r="N402" s="612" t="s">
        <v>464</v>
      </c>
      <c r="O402" s="612"/>
    </row>
    <row r="403" spans="12:16" x14ac:dyDescent="0.3">
      <c r="L403" s="612" t="s">
        <v>545</v>
      </c>
      <c r="M403" s="612" t="s">
        <v>464</v>
      </c>
      <c r="N403" s="612" t="s">
        <v>464</v>
      </c>
      <c r="O403" s="612"/>
    </row>
    <row r="404" spans="12:16" x14ac:dyDescent="0.3">
      <c r="L404" s="612" t="s">
        <v>841</v>
      </c>
      <c r="M404" s="612" t="s">
        <v>464</v>
      </c>
      <c r="N404" s="612" t="s">
        <v>464</v>
      </c>
      <c r="O404" s="612"/>
    </row>
    <row r="405" spans="12:16" x14ac:dyDescent="0.3">
      <c r="L405" s="612" t="s">
        <v>1471</v>
      </c>
      <c r="M405" s="612" t="s">
        <v>464</v>
      </c>
      <c r="N405" s="612" t="s">
        <v>464</v>
      </c>
      <c r="O405" s="612"/>
    </row>
    <row r="406" spans="12:16" x14ac:dyDescent="0.3">
      <c r="L406" s="612" t="s">
        <v>1472</v>
      </c>
      <c r="M406" s="612" t="s">
        <v>464</v>
      </c>
      <c r="N406" s="612" t="s">
        <v>464</v>
      </c>
      <c r="O406" s="612"/>
    </row>
    <row r="407" spans="12:16" x14ac:dyDescent="0.3">
      <c r="L407" s="612" t="s">
        <v>1473</v>
      </c>
      <c r="M407" s="612" t="s">
        <v>464</v>
      </c>
      <c r="N407" s="612" t="s">
        <v>464</v>
      </c>
      <c r="O407" s="612"/>
    </row>
    <row r="408" spans="12:16" x14ac:dyDescent="0.3">
      <c r="L408" s="612" t="s">
        <v>546</v>
      </c>
      <c r="M408" s="612" t="s">
        <v>464</v>
      </c>
      <c r="N408" s="612" t="s">
        <v>464</v>
      </c>
      <c r="O408" s="612"/>
    </row>
    <row r="409" spans="12:16" x14ac:dyDescent="0.3">
      <c r="L409" s="612" t="s">
        <v>1474</v>
      </c>
      <c r="M409" s="612" t="s">
        <v>464</v>
      </c>
      <c r="N409" s="612" t="s">
        <v>464</v>
      </c>
      <c r="O409" s="612"/>
    </row>
    <row r="410" spans="12:16" x14ac:dyDescent="0.3">
      <c r="L410" s="614" t="s">
        <v>547</v>
      </c>
      <c r="M410" s="614">
        <v>0.03</v>
      </c>
      <c r="N410" s="614">
        <v>0.05</v>
      </c>
      <c r="O410" s="612" t="s">
        <v>1549</v>
      </c>
      <c r="P410" s="621" t="s">
        <v>1545</v>
      </c>
    </row>
    <row r="411" spans="12:16" x14ac:dyDescent="0.3">
      <c r="L411" s="612" t="s">
        <v>393</v>
      </c>
      <c r="M411" s="612" t="s">
        <v>464</v>
      </c>
      <c r="N411" s="612" t="s">
        <v>464</v>
      </c>
      <c r="O411" s="612"/>
    </row>
    <row r="412" spans="12:16" x14ac:dyDescent="0.3">
      <c r="L412" s="612" t="s">
        <v>1475</v>
      </c>
      <c r="M412" s="612" t="s">
        <v>464</v>
      </c>
      <c r="N412" s="612" t="s">
        <v>464</v>
      </c>
      <c r="O412" s="612"/>
    </row>
    <row r="413" spans="12:16" x14ac:dyDescent="0.3">
      <c r="L413" s="614" t="s">
        <v>1476</v>
      </c>
      <c r="M413" s="614">
        <v>0.03</v>
      </c>
      <c r="N413" s="614">
        <v>0.05</v>
      </c>
      <c r="O413" s="612" t="s">
        <v>1549</v>
      </c>
      <c r="P413" s="621" t="s">
        <v>1545</v>
      </c>
    </row>
    <row r="414" spans="12:16" x14ac:dyDescent="0.3">
      <c r="L414" s="612" t="s">
        <v>1477</v>
      </c>
      <c r="M414" s="612" t="s">
        <v>464</v>
      </c>
      <c r="N414" s="612" t="s">
        <v>464</v>
      </c>
      <c r="O414" s="612"/>
    </row>
    <row r="415" spans="12:16" x14ac:dyDescent="0.3">
      <c r="L415" s="612" t="s">
        <v>548</v>
      </c>
      <c r="M415" s="612" t="s">
        <v>464</v>
      </c>
      <c r="N415" s="612" t="s">
        <v>464</v>
      </c>
      <c r="O415" s="612"/>
    </row>
    <row r="416" spans="12:16" x14ac:dyDescent="0.3">
      <c r="L416" s="612" t="s">
        <v>1478</v>
      </c>
      <c r="M416" s="612" t="s">
        <v>464</v>
      </c>
      <c r="N416" s="612" t="s">
        <v>464</v>
      </c>
      <c r="O416" s="612"/>
    </row>
    <row r="417" spans="12:15" x14ac:dyDescent="0.3">
      <c r="L417" s="612" t="s">
        <v>1479</v>
      </c>
      <c r="M417" s="612" t="s">
        <v>464</v>
      </c>
      <c r="N417" s="612" t="s">
        <v>464</v>
      </c>
      <c r="O417" s="612"/>
    </row>
    <row r="418" spans="12:15" x14ac:dyDescent="0.3">
      <c r="L418" s="612" t="s">
        <v>842</v>
      </c>
      <c r="M418" s="612" t="s">
        <v>464</v>
      </c>
      <c r="N418" s="612" t="s">
        <v>464</v>
      </c>
      <c r="O418" s="612"/>
    </row>
    <row r="419" spans="12:15" x14ac:dyDescent="0.3">
      <c r="L419" s="612" t="s">
        <v>843</v>
      </c>
      <c r="M419" s="612" t="s">
        <v>464</v>
      </c>
      <c r="N419" s="612" t="s">
        <v>464</v>
      </c>
      <c r="O419" s="612"/>
    </row>
    <row r="420" spans="12:15" x14ac:dyDescent="0.3">
      <c r="L420" s="612" t="s">
        <v>844</v>
      </c>
      <c r="M420" s="612" t="s">
        <v>464</v>
      </c>
      <c r="N420" s="612" t="s">
        <v>464</v>
      </c>
      <c r="O420" s="612"/>
    </row>
    <row r="421" spans="12:15" x14ac:dyDescent="0.3">
      <c r="L421" s="612" t="s">
        <v>845</v>
      </c>
      <c r="M421" s="612" t="s">
        <v>464</v>
      </c>
      <c r="N421" s="612" t="s">
        <v>464</v>
      </c>
      <c r="O421" s="612"/>
    </row>
    <row r="422" spans="12:15" x14ac:dyDescent="0.3">
      <c r="L422" s="612" t="s">
        <v>1480</v>
      </c>
      <c r="M422" s="612" t="s">
        <v>464</v>
      </c>
      <c r="N422" s="612" t="s">
        <v>464</v>
      </c>
      <c r="O422" s="612"/>
    </row>
    <row r="423" spans="12:15" x14ac:dyDescent="0.3">
      <c r="L423" s="612" t="s">
        <v>1481</v>
      </c>
      <c r="M423" s="612" t="s">
        <v>464</v>
      </c>
      <c r="N423" s="612" t="s">
        <v>464</v>
      </c>
      <c r="O423" s="612"/>
    </row>
    <row r="424" spans="12:15" x14ac:dyDescent="0.3">
      <c r="L424" s="612" t="s">
        <v>846</v>
      </c>
      <c r="M424" s="612" t="s">
        <v>464</v>
      </c>
      <c r="N424" s="612" t="s">
        <v>464</v>
      </c>
      <c r="O424" s="612"/>
    </row>
    <row r="425" spans="12:15" x14ac:dyDescent="0.3">
      <c r="L425" s="612" t="s">
        <v>1482</v>
      </c>
      <c r="M425" s="612" t="s">
        <v>464</v>
      </c>
      <c r="N425" s="612" t="s">
        <v>464</v>
      </c>
      <c r="O425" s="612"/>
    </row>
    <row r="426" spans="12:15" x14ac:dyDescent="0.3">
      <c r="L426" s="612" t="s">
        <v>1483</v>
      </c>
      <c r="M426" s="612" t="s">
        <v>464</v>
      </c>
      <c r="N426" s="612" t="s">
        <v>464</v>
      </c>
      <c r="O426" s="612"/>
    </row>
    <row r="427" spans="12:15" x14ac:dyDescent="0.3">
      <c r="L427" s="612" t="s">
        <v>1484</v>
      </c>
      <c r="M427" s="612" t="s">
        <v>464</v>
      </c>
      <c r="N427" s="612" t="s">
        <v>464</v>
      </c>
      <c r="O427" s="612"/>
    </row>
    <row r="428" spans="12:15" x14ac:dyDescent="0.3">
      <c r="L428" s="612" t="s">
        <v>1485</v>
      </c>
      <c r="M428" s="612" t="s">
        <v>464</v>
      </c>
      <c r="N428" s="612" t="s">
        <v>464</v>
      </c>
      <c r="O428" s="612"/>
    </row>
    <row r="429" spans="12:15" x14ac:dyDescent="0.3">
      <c r="L429" s="612" t="s">
        <v>1486</v>
      </c>
      <c r="M429" s="612" t="s">
        <v>464</v>
      </c>
      <c r="N429" s="612" t="s">
        <v>464</v>
      </c>
      <c r="O429" s="612"/>
    </row>
    <row r="430" spans="12:15" x14ac:dyDescent="0.3">
      <c r="L430" s="612" t="s">
        <v>1487</v>
      </c>
      <c r="M430" s="612" t="s">
        <v>464</v>
      </c>
      <c r="N430" s="612" t="s">
        <v>464</v>
      </c>
      <c r="O430" s="612"/>
    </row>
    <row r="431" spans="12:15" x14ac:dyDescent="0.3">
      <c r="L431" s="612" t="s">
        <v>1488</v>
      </c>
      <c r="M431" s="612" t="s">
        <v>464</v>
      </c>
      <c r="N431" s="612" t="s">
        <v>464</v>
      </c>
      <c r="O431" s="612"/>
    </row>
    <row r="432" spans="12:15" x14ac:dyDescent="0.3">
      <c r="L432" s="612" t="s">
        <v>1489</v>
      </c>
      <c r="M432" s="612" t="s">
        <v>464</v>
      </c>
      <c r="N432" s="612" t="s">
        <v>464</v>
      </c>
      <c r="O432" s="612"/>
    </row>
    <row r="433" spans="12:16" x14ac:dyDescent="0.3">
      <c r="L433" s="612" t="s">
        <v>1490</v>
      </c>
      <c r="M433" s="612" t="s">
        <v>464</v>
      </c>
      <c r="N433" s="612" t="s">
        <v>464</v>
      </c>
      <c r="O433" s="612"/>
    </row>
    <row r="434" spans="12:16" x14ac:dyDescent="0.3">
      <c r="L434" s="612" t="s">
        <v>1491</v>
      </c>
      <c r="M434" s="612" t="s">
        <v>464</v>
      </c>
      <c r="N434" s="612" t="s">
        <v>464</v>
      </c>
      <c r="O434" s="612"/>
    </row>
    <row r="435" spans="12:16" x14ac:dyDescent="0.3">
      <c r="L435" s="614" t="s">
        <v>550</v>
      </c>
      <c r="M435" s="614">
        <v>0.03</v>
      </c>
      <c r="N435" s="614">
        <v>0.05</v>
      </c>
      <c r="O435" s="612" t="s">
        <v>1549</v>
      </c>
      <c r="P435" s="621" t="s">
        <v>1545</v>
      </c>
    </row>
    <row r="436" spans="12:16" x14ac:dyDescent="0.3">
      <c r="L436" s="612" t="s">
        <v>1492</v>
      </c>
      <c r="M436" s="612" t="s">
        <v>464</v>
      </c>
      <c r="N436" s="612" t="s">
        <v>464</v>
      </c>
      <c r="O436" s="612"/>
    </row>
    <row r="437" spans="12:16" x14ac:dyDescent="0.3">
      <c r="L437" s="612" t="s">
        <v>1493</v>
      </c>
      <c r="M437" s="612" t="s">
        <v>464</v>
      </c>
      <c r="N437" s="612" t="s">
        <v>464</v>
      </c>
      <c r="O437" s="612"/>
    </row>
    <row r="438" spans="12:16" x14ac:dyDescent="0.3">
      <c r="L438" s="612" t="s">
        <v>551</v>
      </c>
      <c r="M438" s="612" t="s">
        <v>464</v>
      </c>
      <c r="N438" s="612" t="s">
        <v>464</v>
      </c>
      <c r="O438" s="612"/>
    </row>
    <row r="439" spans="12:16" x14ac:dyDescent="0.3">
      <c r="L439" s="614" t="s">
        <v>1494</v>
      </c>
      <c r="M439" s="614">
        <v>0.03</v>
      </c>
      <c r="N439" s="614">
        <v>0.05</v>
      </c>
      <c r="O439" s="612" t="s">
        <v>1549</v>
      </c>
      <c r="P439" s="621" t="s">
        <v>1545</v>
      </c>
    </row>
    <row r="440" spans="12:16" x14ac:dyDescent="0.3">
      <c r="L440" s="612" t="s">
        <v>1495</v>
      </c>
      <c r="M440" s="612" t="s">
        <v>464</v>
      </c>
      <c r="N440" s="612" t="s">
        <v>464</v>
      </c>
      <c r="O440" s="612"/>
    </row>
    <row r="441" spans="12:16" x14ac:dyDescent="0.3">
      <c r="L441" s="612" t="s">
        <v>1496</v>
      </c>
      <c r="M441" s="612" t="s">
        <v>464</v>
      </c>
      <c r="N441" s="612" t="s">
        <v>464</v>
      </c>
      <c r="O441" s="612"/>
    </row>
    <row r="442" spans="12:16" x14ac:dyDescent="0.3">
      <c r="L442" s="612" t="s">
        <v>1497</v>
      </c>
      <c r="M442" s="612" t="s">
        <v>464</v>
      </c>
      <c r="N442" s="612" t="s">
        <v>464</v>
      </c>
      <c r="O442" s="612"/>
    </row>
    <row r="443" spans="12:16" x14ac:dyDescent="0.3">
      <c r="L443" s="612" t="s">
        <v>1498</v>
      </c>
      <c r="M443" s="612" t="s">
        <v>464</v>
      </c>
      <c r="N443" s="612" t="s">
        <v>464</v>
      </c>
      <c r="O443" s="612"/>
    </row>
    <row r="444" spans="12:16" x14ac:dyDescent="0.3">
      <c r="L444" s="612" t="s">
        <v>552</v>
      </c>
      <c r="M444" s="612" t="s">
        <v>464</v>
      </c>
      <c r="N444" s="612" t="s">
        <v>464</v>
      </c>
      <c r="O444" s="612" t="s">
        <v>1643</v>
      </c>
    </row>
    <row r="445" spans="12:16" x14ac:dyDescent="0.3">
      <c r="L445" s="615" t="s">
        <v>1499</v>
      </c>
      <c r="M445" s="615">
        <v>0.03</v>
      </c>
      <c r="N445" s="616" t="s">
        <v>464</v>
      </c>
      <c r="O445" s="612" t="s">
        <v>1544</v>
      </c>
    </row>
    <row r="446" spans="12:16" x14ac:dyDescent="0.3">
      <c r="L446" s="612" t="s">
        <v>847</v>
      </c>
      <c r="M446" s="612" t="s">
        <v>464</v>
      </c>
      <c r="N446" s="612" t="s">
        <v>464</v>
      </c>
      <c r="O446" s="612"/>
    </row>
    <row r="447" spans="12:16" x14ac:dyDescent="0.3">
      <c r="L447" s="612" t="s">
        <v>1500</v>
      </c>
      <c r="M447" s="612" t="s">
        <v>464</v>
      </c>
      <c r="N447" s="612" t="s">
        <v>464</v>
      </c>
      <c r="O447" s="612"/>
    </row>
    <row r="448" spans="12:16" x14ac:dyDescent="0.3">
      <c r="L448" s="612" t="s">
        <v>1501</v>
      </c>
      <c r="M448" s="612" t="s">
        <v>464</v>
      </c>
      <c r="N448" s="612" t="s">
        <v>464</v>
      </c>
      <c r="O448" s="612"/>
    </row>
    <row r="449" spans="12:16" x14ac:dyDescent="0.3">
      <c r="L449" s="614" t="s">
        <v>1502</v>
      </c>
      <c r="M449" s="614">
        <v>0.03</v>
      </c>
      <c r="N449" s="614">
        <v>0.05</v>
      </c>
      <c r="O449" s="612" t="s">
        <v>1549</v>
      </c>
      <c r="P449" s="621" t="s">
        <v>1545</v>
      </c>
    </row>
    <row r="450" spans="12:16" x14ac:dyDescent="0.3">
      <c r="L450" s="612" t="s">
        <v>553</v>
      </c>
      <c r="M450" s="612" t="s">
        <v>464</v>
      </c>
      <c r="N450" s="612" t="s">
        <v>464</v>
      </c>
      <c r="O450" s="612"/>
    </row>
    <row r="451" spans="12:16" x14ac:dyDescent="0.3">
      <c r="L451" s="612" t="s">
        <v>1503</v>
      </c>
      <c r="M451" s="612" t="s">
        <v>464</v>
      </c>
      <c r="N451" s="612" t="s">
        <v>464</v>
      </c>
      <c r="O451" s="612"/>
    </row>
    <row r="452" spans="12:16" x14ac:dyDescent="0.3">
      <c r="L452" s="612" t="s">
        <v>1504</v>
      </c>
      <c r="M452" s="612" t="s">
        <v>464</v>
      </c>
      <c r="N452" s="612" t="s">
        <v>464</v>
      </c>
      <c r="O452" s="612"/>
    </row>
    <row r="453" spans="12:16" x14ac:dyDescent="0.3">
      <c r="L453" s="614" t="s">
        <v>1505</v>
      </c>
      <c r="M453" s="614">
        <v>0.03</v>
      </c>
      <c r="N453" s="614">
        <v>0.05</v>
      </c>
      <c r="O453" s="612" t="s">
        <v>1549</v>
      </c>
      <c r="P453" s="621" t="s">
        <v>1545</v>
      </c>
    </row>
    <row r="454" spans="12:16" x14ac:dyDescent="0.3">
      <c r="L454" s="612" t="s">
        <v>1506</v>
      </c>
      <c r="M454" s="612" t="s">
        <v>464</v>
      </c>
      <c r="N454" s="612" t="s">
        <v>464</v>
      </c>
      <c r="O454" s="612"/>
    </row>
    <row r="455" spans="12:16" x14ac:dyDescent="0.3">
      <c r="L455" s="612" t="s">
        <v>1507</v>
      </c>
      <c r="M455" s="612" t="s">
        <v>464</v>
      </c>
      <c r="N455" s="612" t="s">
        <v>464</v>
      </c>
      <c r="O455" s="612"/>
    </row>
    <row r="456" spans="12:16" x14ac:dyDescent="0.3">
      <c r="L456" s="612" t="s">
        <v>1508</v>
      </c>
      <c r="M456" s="612" t="s">
        <v>464</v>
      </c>
      <c r="N456" s="612" t="s">
        <v>464</v>
      </c>
      <c r="O456" s="612"/>
    </row>
    <row r="457" spans="12:16" x14ac:dyDescent="0.3">
      <c r="L457" s="612" t="s">
        <v>1519</v>
      </c>
      <c r="M457" s="612" t="s">
        <v>464</v>
      </c>
      <c r="N457" s="612" t="s">
        <v>464</v>
      </c>
      <c r="O457" s="612"/>
    </row>
    <row r="458" spans="12:16" x14ac:dyDescent="0.3">
      <c r="L458" s="612" t="s">
        <v>1509</v>
      </c>
      <c r="M458" s="612" t="s">
        <v>464</v>
      </c>
      <c r="N458" s="612" t="s">
        <v>464</v>
      </c>
      <c r="O458" s="612"/>
    </row>
    <row r="459" spans="12:16" x14ac:dyDescent="0.3">
      <c r="L459" s="612" t="s">
        <v>1510</v>
      </c>
      <c r="M459" s="612" t="s">
        <v>464</v>
      </c>
      <c r="N459" s="612" t="s">
        <v>464</v>
      </c>
      <c r="O459" s="612"/>
    </row>
    <row r="460" spans="12:16" x14ac:dyDescent="0.3">
      <c r="L460" s="612" t="s">
        <v>554</v>
      </c>
      <c r="M460" s="612" t="s">
        <v>464</v>
      </c>
      <c r="N460" s="612" t="s">
        <v>464</v>
      </c>
      <c r="O460" s="612"/>
    </row>
    <row r="461" spans="12:16" x14ac:dyDescent="0.3">
      <c r="L461" s="612" t="s">
        <v>1511</v>
      </c>
      <c r="M461" s="612" t="s">
        <v>464</v>
      </c>
      <c r="N461" s="612" t="s">
        <v>464</v>
      </c>
      <c r="O461" s="612"/>
    </row>
    <row r="462" spans="12:16" x14ac:dyDescent="0.3">
      <c r="L462" s="612" t="s">
        <v>1073</v>
      </c>
      <c r="M462" s="612" t="s">
        <v>464</v>
      </c>
      <c r="N462" s="612" t="s">
        <v>464</v>
      </c>
      <c r="O462" s="612"/>
    </row>
    <row r="463" spans="12:16" x14ac:dyDescent="0.3">
      <c r="L463" s="612" t="s">
        <v>1074</v>
      </c>
      <c r="M463" s="612" t="s">
        <v>464</v>
      </c>
      <c r="N463" s="612" t="s">
        <v>464</v>
      </c>
      <c r="O463" s="612"/>
    </row>
    <row r="464" spans="12:16" x14ac:dyDescent="0.3">
      <c r="L464" s="612" t="s">
        <v>1075</v>
      </c>
      <c r="M464" s="612" t="s">
        <v>464</v>
      </c>
      <c r="N464" s="612" t="s">
        <v>464</v>
      </c>
      <c r="O464" s="612"/>
    </row>
    <row r="465" spans="12:15" x14ac:dyDescent="0.3">
      <c r="L465" s="612" t="s">
        <v>1076</v>
      </c>
      <c r="M465" s="612" t="s">
        <v>464</v>
      </c>
      <c r="N465" s="612" t="s">
        <v>464</v>
      </c>
      <c r="O465" s="612"/>
    </row>
    <row r="466" spans="12:15" x14ac:dyDescent="0.3">
      <c r="L466" s="612" t="s">
        <v>1077</v>
      </c>
      <c r="M466" s="612" t="s">
        <v>464</v>
      </c>
      <c r="N466" s="612" t="s">
        <v>464</v>
      </c>
      <c r="O466" s="612"/>
    </row>
    <row r="467" spans="12:15" x14ac:dyDescent="0.3">
      <c r="L467" s="612" t="s">
        <v>1078</v>
      </c>
      <c r="M467" s="612" t="s">
        <v>464</v>
      </c>
      <c r="N467" s="612" t="s">
        <v>464</v>
      </c>
      <c r="O467" s="612"/>
    </row>
    <row r="468" spans="12:15" x14ac:dyDescent="0.3">
      <c r="L468" s="612" t="s">
        <v>848</v>
      </c>
      <c r="M468" s="612" t="s">
        <v>464</v>
      </c>
      <c r="N468" s="612" t="s">
        <v>464</v>
      </c>
      <c r="O468" s="612"/>
    </row>
    <row r="469" spans="12:15" x14ac:dyDescent="0.3">
      <c r="L469" s="612" t="s">
        <v>1079</v>
      </c>
      <c r="M469" s="612" t="s">
        <v>464</v>
      </c>
      <c r="N469" s="612" t="s">
        <v>464</v>
      </c>
      <c r="O469" s="612"/>
    </row>
    <row r="470" spans="12:15" x14ac:dyDescent="0.3">
      <c r="L470" s="612" t="s">
        <v>1080</v>
      </c>
      <c r="M470" s="612" t="s">
        <v>464</v>
      </c>
      <c r="N470" s="612" t="s">
        <v>464</v>
      </c>
      <c r="O470" s="612"/>
    </row>
    <row r="471" spans="12:15" x14ac:dyDescent="0.3">
      <c r="L471" s="615" t="s">
        <v>1081</v>
      </c>
      <c r="M471" s="615" t="s">
        <v>464</v>
      </c>
      <c r="N471" s="615" t="s">
        <v>464</v>
      </c>
      <c r="O471" s="612" t="s">
        <v>1544</v>
      </c>
    </row>
    <row r="472" spans="12:15" x14ac:dyDescent="0.3">
      <c r="L472" s="612" t="s">
        <v>1082</v>
      </c>
      <c r="M472" s="612" t="s">
        <v>464</v>
      </c>
      <c r="N472" s="612" t="s">
        <v>464</v>
      </c>
      <c r="O472" s="612"/>
    </row>
    <row r="473" spans="12:15" x14ac:dyDescent="0.3">
      <c r="L473" s="612" t="s">
        <v>1083</v>
      </c>
      <c r="M473" s="612" t="s">
        <v>464</v>
      </c>
      <c r="N473" s="612" t="s">
        <v>464</v>
      </c>
      <c r="O473" s="612"/>
    </row>
    <row r="474" spans="12:15" x14ac:dyDescent="0.3">
      <c r="L474" s="612" t="s">
        <v>1084</v>
      </c>
      <c r="M474" s="612" t="s">
        <v>464</v>
      </c>
      <c r="N474" s="612" t="s">
        <v>464</v>
      </c>
      <c r="O474" s="612"/>
    </row>
    <row r="475" spans="12:15" x14ac:dyDescent="0.3">
      <c r="L475" s="612" t="s">
        <v>1085</v>
      </c>
      <c r="M475" s="612" t="s">
        <v>464</v>
      </c>
      <c r="N475" s="612" t="s">
        <v>464</v>
      </c>
      <c r="O475" s="612"/>
    </row>
    <row r="476" spans="12:15" x14ac:dyDescent="0.3">
      <c r="L476" s="612" t="s">
        <v>849</v>
      </c>
      <c r="M476" s="612" t="s">
        <v>464</v>
      </c>
      <c r="N476" s="612" t="s">
        <v>464</v>
      </c>
      <c r="O476" s="612"/>
    </row>
    <row r="477" spans="12:15" x14ac:dyDescent="0.3">
      <c r="L477" s="612" t="s">
        <v>1086</v>
      </c>
      <c r="M477" s="612" t="s">
        <v>464</v>
      </c>
      <c r="N477" s="612" t="s">
        <v>464</v>
      </c>
      <c r="O477" s="612"/>
    </row>
    <row r="478" spans="12:15" x14ac:dyDescent="0.3">
      <c r="L478" s="612" t="s">
        <v>1087</v>
      </c>
      <c r="M478" s="612" t="s">
        <v>464</v>
      </c>
      <c r="N478" s="612" t="s">
        <v>464</v>
      </c>
      <c r="O478" s="612"/>
    </row>
    <row r="479" spans="12:15" x14ac:dyDescent="0.3">
      <c r="L479" s="612" t="s">
        <v>1088</v>
      </c>
      <c r="M479" s="612" t="s">
        <v>464</v>
      </c>
      <c r="N479" s="612" t="s">
        <v>464</v>
      </c>
      <c r="O479" s="612"/>
    </row>
    <row r="480" spans="12:15" x14ac:dyDescent="0.3">
      <c r="L480" s="612" t="s">
        <v>1089</v>
      </c>
      <c r="M480" s="612" t="s">
        <v>464</v>
      </c>
      <c r="N480" s="612" t="s">
        <v>464</v>
      </c>
      <c r="O480" s="612"/>
    </row>
    <row r="481" spans="12:16" x14ac:dyDescent="0.3">
      <c r="L481" s="612" t="s">
        <v>1090</v>
      </c>
      <c r="M481" s="612" t="s">
        <v>464</v>
      </c>
      <c r="N481" s="612" t="s">
        <v>464</v>
      </c>
      <c r="O481" s="612"/>
    </row>
    <row r="482" spans="12:16" x14ac:dyDescent="0.3">
      <c r="L482" s="612" t="s">
        <v>1091</v>
      </c>
      <c r="M482" s="612" t="s">
        <v>464</v>
      </c>
      <c r="N482" s="612" t="s">
        <v>464</v>
      </c>
      <c r="O482" s="612"/>
    </row>
    <row r="483" spans="12:16" x14ac:dyDescent="0.3">
      <c r="L483" s="612" t="s">
        <v>1092</v>
      </c>
      <c r="M483" s="612" t="s">
        <v>464</v>
      </c>
      <c r="N483" s="612" t="s">
        <v>464</v>
      </c>
      <c r="O483" s="612"/>
    </row>
    <row r="484" spans="12:16" x14ac:dyDescent="0.3">
      <c r="L484" s="612" t="s">
        <v>1093</v>
      </c>
      <c r="M484" s="612" t="s">
        <v>464</v>
      </c>
      <c r="N484" s="612" t="s">
        <v>464</v>
      </c>
      <c r="O484" s="612"/>
    </row>
    <row r="485" spans="12:16" x14ac:dyDescent="0.3">
      <c r="L485" s="612" t="s">
        <v>850</v>
      </c>
      <c r="M485" s="612" t="s">
        <v>464</v>
      </c>
      <c r="N485" s="612" t="s">
        <v>464</v>
      </c>
      <c r="O485" s="612"/>
    </row>
    <row r="486" spans="12:16" x14ac:dyDescent="0.3">
      <c r="L486" s="612" t="s">
        <v>1094</v>
      </c>
      <c r="M486" s="612" t="s">
        <v>464</v>
      </c>
      <c r="N486" s="612" t="s">
        <v>464</v>
      </c>
      <c r="O486" s="612"/>
    </row>
    <row r="487" spans="12:16" x14ac:dyDescent="0.3">
      <c r="L487" s="614" t="s">
        <v>1095</v>
      </c>
      <c r="M487" s="614">
        <v>0.03</v>
      </c>
      <c r="N487" s="614">
        <v>0.05</v>
      </c>
      <c r="O487" s="612" t="s">
        <v>1549</v>
      </c>
      <c r="P487" s="621" t="s">
        <v>1545</v>
      </c>
    </row>
    <row r="488" spans="12:16" x14ac:dyDescent="0.3">
      <c r="L488" s="612" t="s">
        <v>555</v>
      </c>
      <c r="M488" s="612" t="s">
        <v>464</v>
      </c>
      <c r="N488" s="612" t="s">
        <v>464</v>
      </c>
      <c r="O488" s="612"/>
    </row>
    <row r="489" spans="12:16" x14ac:dyDescent="0.3">
      <c r="L489" s="612" t="s">
        <v>556</v>
      </c>
      <c r="M489" s="612" t="s">
        <v>464</v>
      </c>
      <c r="N489" s="612" t="s">
        <v>464</v>
      </c>
      <c r="O489" s="612"/>
    </row>
    <row r="490" spans="12:16" x14ac:dyDescent="0.3">
      <c r="L490" s="612" t="s">
        <v>851</v>
      </c>
      <c r="M490" s="612" t="s">
        <v>464</v>
      </c>
      <c r="N490" s="612" t="s">
        <v>464</v>
      </c>
      <c r="O490" s="612"/>
    </row>
    <row r="491" spans="12:16" x14ac:dyDescent="0.3">
      <c r="L491" s="612" t="s">
        <v>1096</v>
      </c>
      <c r="M491" s="612" t="s">
        <v>464</v>
      </c>
      <c r="N491" s="612" t="s">
        <v>464</v>
      </c>
      <c r="O491" s="612"/>
    </row>
    <row r="492" spans="12:16" x14ac:dyDescent="0.3">
      <c r="L492" s="612" t="s">
        <v>1097</v>
      </c>
      <c r="M492" s="612" t="s">
        <v>464</v>
      </c>
      <c r="N492" s="612" t="s">
        <v>464</v>
      </c>
      <c r="O492" s="612"/>
    </row>
    <row r="493" spans="12:16" x14ac:dyDescent="0.3">
      <c r="L493" s="612" t="s">
        <v>1098</v>
      </c>
      <c r="M493" s="612" t="s">
        <v>464</v>
      </c>
      <c r="N493" s="612" t="s">
        <v>464</v>
      </c>
      <c r="O493" s="612"/>
    </row>
    <row r="494" spans="12:16" x14ac:dyDescent="0.3">
      <c r="L494" s="612" t="s">
        <v>1099</v>
      </c>
      <c r="M494" s="612" t="s">
        <v>464</v>
      </c>
      <c r="N494" s="612" t="s">
        <v>464</v>
      </c>
      <c r="O494" s="612"/>
    </row>
    <row r="495" spans="12:16" x14ac:dyDescent="0.3">
      <c r="L495" s="612" t="s">
        <v>1100</v>
      </c>
      <c r="M495" s="612" t="s">
        <v>464</v>
      </c>
      <c r="N495" s="612" t="s">
        <v>464</v>
      </c>
      <c r="O495" s="612"/>
    </row>
    <row r="496" spans="12:16" x14ac:dyDescent="0.3">
      <c r="L496" s="612" t="s">
        <v>1101</v>
      </c>
      <c r="M496" s="612" t="s">
        <v>464</v>
      </c>
      <c r="N496" s="612" t="s">
        <v>464</v>
      </c>
      <c r="O496" s="612"/>
    </row>
    <row r="497" spans="12:16" x14ac:dyDescent="0.3">
      <c r="L497" s="612" t="s">
        <v>1102</v>
      </c>
      <c r="M497" s="612" t="s">
        <v>464</v>
      </c>
      <c r="N497" s="612" t="s">
        <v>464</v>
      </c>
      <c r="O497" s="612"/>
    </row>
    <row r="498" spans="12:16" x14ac:dyDescent="0.3">
      <c r="L498" s="612" t="s">
        <v>1103</v>
      </c>
      <c r="M498" s="612" t="s">
        <v>464</v>
      </c>
      <c r="N498" s="612" t="s">
        <v>464</v>
      </c>
      <c r="O498" s="612"/>
    </row>
    <row r="499" spans="12:16" x14ac:dyDescent="0.3">
      <c r="L499" s="612" t="s">
        <v>557</v>
      </c>
      <c r="M499" s="612" t="s">
        <v>464</v>
      </c>
      <c r="N499" s="612" t="s">
        <v>464</v>
      </c>
      <c r="O499" s="612"/>
    </row>
    <row r="500" spans="12:16" x14ac:dyDescent="0.3">
      <c r="L500" s="612" t="s">
        <v>1104</v>
      </c>
      <c r="M500" s="612" t="s">
        <v>464</v>
      </c>
      <c r="N500" s="612" t="s">
        <v>464</v>
      </c>
      <c r="O500" s="612"/>
    </row>
    <row r="501" spans="12:16" x14ac:dyDescent="0.3">
      <c r="L501" s="612" t="s">
        <v>1105</v>
      </c>
      <c r="M501" s="612" t="s">
        <v>464</v>
      </c>
      <c r="N501" s="612" t="s">
        <v>464</v>
      </c>
      <c r="O501" s="612"/>
    </row>
    <row r="502" spans="12:16" x14ac:dyDescent="0.3">
      <c r="L502" s="612" t="s">
        <v>1106</v>
      </c>
      <c r="M502" s="612" t="s">
        <v>464</v>
      </c>
      <c r="N502" s="612" t="s">
        <v>464</v>
      </c>
      <c r="O502" s="612"/>
    </row>
    <row r="503" spans="12:16" x14ac:dyDescent="0.3">
      <c r="L503" s="612" t="s">
        <v>559</v>
      </c>
      <c r="M503" s="612" t="s">
        <v>464</v>
      </c>
      <c r="N503" s="612" t="s">
        <v>464</v>
      </c>
      <c r="O503" s="612"/>
    </row>
    <row r="504" spans="12:16" x14ac:dyDescent="0.3">
      <c r="L504" s="612" t="s">
        <v>1107</v>
      </c>
      <c r="M504" s="612" t="s">
        <v>464</v>
      </c>
      <c r="N504" s="612" t="s">
        <v>464</v>
      </c>
      <c r="O504" s="612"/>
    </row>
    <row r="505" spans="12:16" x14ac:dyDescent="0.3">
      <c r="L505" s="612" t="s">
        <v>1108</v>
      </c>
      <c r="M505" s="612" t="s">
        <v>464</v>
      </c>
      <c r="N505" s="612" t="s">
        <v>464</v>
      </c>
      <c r="O505" s="612"/>
    </row>
    <row r="506" spans="12:16" x14ac:dyDescent="0.3">
      <c r="L506" s="612" t="s">
        <v>560</v>
      </c>
      <c r="M506" s="612" t="s">
        <v>464</v>
      </c>
      <c r="N506" s="612" t="s">
        <v>464</v>
      </c>
      <c r="O506" s="612"/>
    </row>
    <row r="507" spans="12:16" x14ac:dyDescent="0.3">
      <c r="L507" s="612" t="s">
        <v>852</v>
      </c>
      <c r="M507" s="612" t="s">
        <v>464</v>
      </c>
      <c r="N507" s="612" t="s">
        <v>464</v>
      </c>
      <c r="O507" s="612"/>
    </row>
    <row r="508" spans="12:16" x14ac:dyDescent="0.3">
      <c r="L508" s="612" t="s">
        <v>1109</v>
      </c>
      <c r="M508" s="612" t="s">
        <v>464</v>
      </c>
      <c r="N508" s="612" t="s">
        <v>464</v>
      </c>
      <c r="O508" s="612"/>
    </row>
    <row r="509" spans="12:16" x14ac:dyDescent="0.3">
      <c r="L509" s="612" t="s">
        <v>1110</v>
      </c>
      <c r="M509" s="612" t="s">
        <v>464</v>
      </c>
      <c r="N509" s="612" t="s">
        <v>464</v>
      </c>
      <c r="O509" s="612"/>
    </row>
    <row r="510" spans="12:16" x14ac:dyDescent="0.3">
      <c r="L510" s="612" t="s">
        <v>1111</v>
      </c>
      <c r="M510" s="612" t="s">
        <v>464</v>
      </c>
      <c r="N510" s="612" t="s">
        <v>464</v>
      </c>
      <c r="O510" s="612"/>
    </row>
    <row r="511" spans="12:16" x14ac:dyDescent="0.3">
      <c r="L511" s="614" t="s">
        <v>399</v>
      </c>
      <c r="M511" s="614">
        <v>0.03</v>
      </c>
      <c r="N511" s="614">
        <v>0.05</v>
      </c>
      <c r="O511" s="612" t="s">
        <v>1549</v>
      </c>
      <c r="P511" s="621" t="s">
        <v>1545</v>
      </c>
    </row>
    <row r="512" spans="12:16" x14ac:dyDescent="0.3">
      <c r="L512" s="612" t="s">
        <v>1112</v>
      </c>
      <c r="M512" s="612" t="s">
        <v>464</v>
      </c>
      <c r="N512" s="612" t="s">
        <v>464</v>
      </c>
      <c r="O512" s="612"/>
    </row>
    <row r="513" spans="12:16" x14ac:dyDescent="0.3">
      <c r="L513" s="612" t="s">
        <v>1113</v>
      </c>
      <c r="M513" s="612" t="s">
        <v>464</v>
      </c>
      <c r="N513" s="612" t="s">
        <v>464</v>
      </c>
      <c r="O513" s="612"/>
    </row>
    <row r="514" spans="12:16" x14ac:dyDescent="0.3">
      <c r="L514" s="612" t="s">
        <v>1114</v>
      </c>
      <c r="M514" s="612" t="s">
        <v>464</v>
      </c>
      <c r="N514" s="612" t="s">
        <v>464</v>
      </c>
      <c r="O514" s="612"/>
    </row>
    <row r="515" spans="12:16" x14ac:dyDescent="0.3">
      <c r="L515" s="612" t="s">
        <v>1115</v>
      </c>
      <c r="M515" s="612" t="s">
        <v>464</v>
      </c>
      <c r="N515" s="612" t="s">
        <v>464</v>
      </c>
      <c r="O515" s="612"/>
    </row>
    <row r="516" spans="12:16" x14ac:dyDescent="0.3">
      <c r="L516" s="612" t="s">
        <v>853</v>
      </c>
      <c r="M516" s="612" t="s">
        <v>464</v>
      </c>
      <c r="N516" s="612" t="s">
        <v>464</v>
      </c>
      <c r="O516" s="612"/>
    </row>
    <row r="517" spans="12:16" x14ac:dyDescent="0.3">
      <c r="L517" s="612" t="s">
        <v>1116</v>
      </c>
      <c r="M517" s="612" t="s">
        <v>464</v>
      </c>
      <c r="N517" s="612" t="s">
        <v>464</v>
      </c>
      <c r="O517" s="612" t="s">
        <v>1643</v>
      </c>
    </row>
    <row r="518" spans="12:16" x14ac:dyDescent="0.3">
      <c r="L518" s="612" t="s">
        <v>854</v>
      </c>
      <c r="M518" s="612" t="s">
        <v>464</v>
      </c>
      <c r="N518" s="612" t="s">
        <v>464</v>
      </c>
      <c r="O518" s="612"/>
    </row>
    <row r="519" spans="12:16" x14ac:dyDescent="0.3">
      <c r="L519" s="612" t="s">
        <v>1117</v>
      </c>
      <c r="M519" s="612" t="s">
        <v>464</v>
      </c>
      <c r="N519" s="612" t="s">
        <v>464</v>
      </c>
      <c r="O519" s="612"/>
    </row>
    <row r="520" spans="12:16" x14ac:dyDescent="0.3">
      <c r="L520" s="614" t="s">
        <v>1118</v>
      </c>
      <c r="M520" s="614">
        <v>0.03</v>
      </c>
      <c r="N520" s="614">
        <v>0.05</v>
      </c>
      <c r="O520" s="612" t="s">
        <v>1549</v>
      </c>
      <c r="P520" s="621" t="s">
        <v>1545</v>
      </c>
    </row>
    <row r="521" spans="12:16" x14ac:dyDescent="0.3">
      <c r="L521" s="612" t="s">
        <v>1119</v>
      </c>
      <c r="M521" s="612" t="s">
        <v>464</v>
      </c>
      <c r="N521" s="612" t="s">
        <v>464</v>
      </c>
      <c r="O521" s="612"/>
    </row>
    <row r="522" spans="12:16" x14ac:dyDescent="0.3">
      <c r="L522" s="612" t="s">
        <v>1120</v>
      </c>
      <c r="M522" s="612" t="s">
        <v>464</v>
      </c>
      <c r="N522" s="612" t="s">
        <v>464</v>
      </c>
      <c r="O522" s="612"/>
    </row>
    <row r="523" spans="12:16" x14ac:dyDescent="0.3">
      <c r="L523" s="612" t="s">
        <v>1121</v>
      </c>
      <c r="M523" s="612" t="s">
        <v>464</v>
      </c>
      <c r="N523" s="612" t="s">
        <v>464</v>
      </c>
      <c r="O523" s="612"/>
    </row>
    <row r="524" spans="12:16" x14ac:dyDescent="0.3">
      <c r="L524" s="612" t="s">
        <v>1122</v>
      </c>
      <c r="M524" s="612" t="s">
        <v>464</v>
      </c>
      <c r="N524" s="612" t="s">
        <v>464</v>
      </c>
      <c r="O524" s="612" t="s">
        <v>1643</v>
      </c>
    </row>
    <row r="525" spans="12:16" x14ac:dyDescent="0.3">
      <c r="L525" s="612" t="s">
        <v>1123</v>
      </c>
      <c r="M525" s="612" t="s">
        <v>464</v>
      </c>
      <c r="N525" s="612" t="s">
        <v>464</v>
      </c>
      <c r="O525" s="612"/>
    </row>
    <row r="526" spans="12:16" x14ac:dyDescent="0.3">
      <c r="L526" s="612" t="s">
        <v>1124</v>
      </c>
      <c r="M526" s="612" t="s">
        <v>464</v>
      </c>
      <c r="N526" s="612" t="s">
        <v>464</v>
      </c>
      <c r="O526" s="612"/>
    </row>
    <row r="527" spans="12:16" x14ac:dyDescent="0.3">
      <c r="L527" s="612" t="s">
        <v>1125</v>
      </c>
      <c r="M527" s="612" t="s">
        <v>464</v>
      </c>
      <c r="N527" s="612" t="s">
        <v>464</v>
      </c>
      <c r="O527" s="612"/>
    </row>
    <row r="528" spans="12:16" x14ac:dyDescent="0.3">
      <c r="L528" s="612" t="s">
        <v>1126</v>
      </c>
      <c r="M528" s="612" t="s">
        <v>464</v>
      </c>
      <c r="N528" s="612" t="s">
        <v>464</v>
      </c>
      <c r="O528" s="612"/>
    </row>
    <row r="529" spans="12:16" x14ac:dyDescent="0.3">
      <c r="L529" s="612" t="s">
        <v>1127</v>
      </c>
      <c r="M529" s="612" t="s">
        <v>464</v>
      </c>
      <c r="N529" s="612" t="s">
        <v>464</v>
      </c>
      <c r="O529" s="612"/>
    </row>
    <row r="530" spans="12:16" x14ac:dyDescent="0.3">
      <c r="L530" s="612" t="s">
        <v>1128</v>
      </c>
      <c r="M530" s="612" t="s">
        <v>464</v>
      </c>
      <c r="N530" s="612" t="s">
        <v>464</v>
      </c>
      <c r="O530" s="612"/>
    </row>
    <row r="531" spans="12:16" x14ac:dyDescent="0.3">
      <c r="L531" s="612" t="s">
        <v>1129</v>
      </c>
      <c r="M531" s="612" t="s">
        <v>464</v>
      </c>
      <c r="N531" s="612" t="s">
        <v>464</v>
      </c>
      <c r="O531" s="612"/>
    </row>
    <row r="532" spans="12:16" x14ac:dyDescent="0.3">
      <c r="L532" s="612" t="s">
        <v>1130</v>
      </c>
      <c r="M532" s="612" t="s">
        <v>464</v>
      </c>
      <c r="N532" s="612" t="s">
        <v>464</v>
      </c>
      <c r="O532" s="612"/>
    </row>
    <row r="533" spans="12:16" x14ac:dyDescent="0.3">
      <c r="L533" s="612" t="s">
        <v>1131</v>
      </c>
      <c r="M533" s="612" t="s">
        <v>464</v>
      </c>
      <c r="N533" s="612" t="s">
        <v>464</v>
      </c>
      <c r="O533" s="612"/>
    </row>
    <row r="534" spans="12:16" x14ac:dyDescent="0.3">
      <c r="L534" s="612" t="s">
        <v>561</v>
      </c>
      <c r="M534" s="612" t="s">
        <v>464</v>
      </c>
      <c r="N534" s="612" t="s">
        <v>464</v>
      </c>
      <c r="O534" s="612"/>
    </row>
    <row r="535" spans="12:16" x14ac:dyDescent="0.3">
      <c r="L535" s="612" t="s">
        <v>855</v>
      </c>
      <c r="M535" s="612" t="s">
        <v>464</v>
      </c>
      <c r="N535" s="612" t="s">
        <v>464</v>
      </c>
      <c r="O535" s="612"/>
    </row>
    <row r="536" spans="12:16" x14ac:dyDescent="0.3">
      <c r="L536" s="612" t="s">
        <v>1132</v>
      </c>
      <c r="M536" s="612" t="s">
        <v>464</v>
      </c>
      <c r="N536" s="612" t="s">
        <v>464</v>
      </c>
      <c r="O536" s="612"/>
    </row>
    <row r="537" spans="12:16" x14ac:dyDescent="0.3">
      <c r="L537" s="612" t="s">
        <v>1133</v>
      </c>
      <c r="M537" s="612" t="s">
        <v>464</v>
      </c>
      <c r="N537" s="612" t="s">
        <v>464</v>
      </c>
      <c r="O537" s="612"/>
    </row>
    <row r="538" spans="12:16" x14ac:dyDescent="0.3">
      <c r="L538" s="612" t="s">
        <v>562</v>
      </c>
      <c r="M538" s="612" t="s">
        <v>464</v>
      </c>
      <c r="N538" s="612" t="s">
        <v>464</v>
      </c>
      <c r="O538" s="612"/>
    </row>
    <row r="539" spans="12:16" x14ac:dyDescent="0.3">
      <c r="L539" s="612" t="s">
        <v>1134</v>
      </c>
      <c r="M539" s="612" t="s">
        <v>464</v>
      </c>
      <c r="N539" s="612" t="s">
        <v>464</v>
      </c>
      <c r="O539" s="612"/>
    </row>
    <row r="540" spans="12:16" x14ac:dyDescent="0.3">
      <c r="L540" s="612" t="s">
        <v>400</v>
      </c>
      <c r="M540" s="612" t="s">
        <v>464</v>
      </c>
      <c r="N540" s="612" t="s">
        <v>464</v>
      </c>
      <c r="O540" s="612"/>
    </row>
    <row r="541" spans="12:16" x14ac:dyDescent="0.3">
      <c r="L541" s="614" t="s">
        <v>1135</v>
      </c>
      <c r="M541" s="614">
        <v>0.03</v>
      </c>
      <c r="N541" s="614">
        <v>0.05</v>
      </c>
      <c r="O541" s="612" t="s">
        <v>1549</v>
      </c>
      <c r="P541" s="621" t="s">
        <v>1545</v>
      </c>
    </row>
    <row r="542" spans="12:16" x14ac:dyDescent="0.3">
      <c r="L542" s="612" t="s">
        <v>1136</v>
      </c>
      <c r="M542" s="612" t="s">
        <v>464</v>
      </c>
      <c r="N542" s="612" t="s">
        <v>464</v>
      </c>
      <c r="O542" s="612"/>
    </row>
    <row r="543" spans="12:16" x14ac:dyDescent="0.3">
      <c r="L543" s="612" t="s">
        <v>1137</v>
      </c>
      <c r="M543" s="612" t="s">
        <v>464</v>
      </c>
      <c r="N543" s="612" t="s">
        <v>464</v>
      </c>
      <c r="O543" s="612" t="s">
        <v>1643</v>
      </c>
    </row>
    <row r="544" spans="12:16" x14ac:dyDescent="0.3">
      <c r="L544" s="612" t="s">
        <v>1138</v>
      </c>
      <c r="M544" s="612" t="s">
        <v>464</v>
      </c>
      <c r="N544" s="612" t="s">
        <v>464</v>
      </c>
      <c r="O544" s="612"/>
    </row>
    <row r="545" spans="12:15" x14ac:dyDescent="0.3">
      <c r="L545" s="612" t="s">
        <v>1139</v>
      </c>
      <c r="M545" s="612" t="s">
        <v>464</v>
      </c>
      <c r="N545" s="612" t="s">
        <v>464</v>
      </c>
      <c r="O545" s="612"/>
    </row>
    <row r="546" spans="12:15" x14ac:dyDescent="0.3">
      <c r="L546" s="612" t="s">
        <v>401</v>
      </c>
      <c r="M546" s="612" t="s">
        <v>464</v>
      </c>
      <c r="N546" s="612" t="s">
        <v>464</v>
      </c>
      <c r="O546" s="612"/>
    </row>
    <row r="547" spans="12:15" x14ac:dyDescent="0.3">
      <c r="L547" s="612" t="s">
        <v>1140</v>
      </c>
      <c r="M547" s="612" t="s">
        <v>464</v>
      </c>
      <c r="N547" s="612" t="s">
        <v>464</v>
      </c>
      <c r="O547" s="612" t="s">
        <v>1643</v>
      </c>
    </row>
    <row r="548" spans="12:15" x14ac:dyDescent="0.3">
      <c r="L548" s="612" t="s">
        <v>856</v>
      </c>
      <c r="M548" s="612" t="s">
        <v>464</v>
      </c>
      <c r="N548" s="612" t="s">
        <v>464</v>
      </c>
      <c r="O548" s="612"/>
    </row>
    <row r="549" spans="12:15" x14ac:dyDescent="0.3">
      <c r="L549" s="612" t="s">
        <v>1141</v>
      </c>
      <c r="M549" s="612" t="s">
        <v>464</v>
      </c>
      <c r="N549" s="612" t="s">
        <v>464</v>
      </c>
      <c r="O549" s="612"/>
    </row>
    <row r="550" spans="12:15" x14ac:dyDescent="0.3">
      <c r="L550" s="612" t="s">
        <v>1142</v>
      </c>
      <c r="M550" s="612" t="s">
        <v>464</v>
      </c>
      <c r="N550" s="612" t="s">
        <v>464</v>
      </c>
      <c r="O550" s="612"/>
    </row>
    <row r="551" spans="12:15" x14ac:dyDescent="0.3">
      <c r="L551" s="612" t="s">
        <v>1143</v>
      </c>
      <c r="M551" s="612" t="s">
        <v>464</v>
      </c>
      <c r="N551" s="612" t="s">
        <v>464</v>
      </c>
      <c r="O551" s="612"/>
    </row>
    <row r="552" spans="12:15" x14ac:dyDescent="0.3">
      <c r="L552" s="612" t="s">
        <v>1144</v>
      </c>
      <c r="M552" s="612" t="s">
        <v>464</v>
      </c>
      <c r="N552" s="612" t="s">
        <v>464</v>
      </c>
      <c r="O552" s="612"/>
    </row>
    <row r="553" spans="12:15" x14ac:dyDescent="0.3">
      <c r="L553" s="612" t="s">
        <v>857</v>
      </c>
      <c r="M553" s="612" t="s">
        <v>464</v>
      </c>
      <c r="N553" s="612" t="s">
        <v>464</v>
      </c>
      <c r="O553" s="612"/>
    </row>
    <row r="554" spans="12:15" x14ac:dyDescent="0.3">
      <c r="L554" s="612" t="s">
        <v>1145</v>
      </c>
      <c r="M554" s="612" t="s">
        <v>464</v>
      </c>
      <c r="N554" s="612" t="s">
        <v>464</v>
      </c>
      <c r="O554" s="612"/>
    </row>
    <row r="555" spans="12:15" x14ac:dyDescent="0.3">
      <c r="L555" s="612" t="s">
        <v>1146</v>
      </c>
      <c r="M555" s="612" t="s">
        <v>464</v>
      </c>
      <c r="N555" s="612" t="s">
        <v>464</v>
      </c>
      <c r="O555" s="612"/>
    </row>
  </sheetData>
  <sheetProtection algorithmName="SHA-512" hashValue="qTvPIhwPowXwnjBLMohYBNNXf9zfj+ocWW61DZjgxzMZSHyKzwg5ddxOiCnFzHewEG6c1xuMwFuL66nViejbiA==" saltValue="n+csbHFkDro99DnzgO0jxA=="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CL6" sqref="CL6"/>
    </sheetView>
  </sheetViews>
  <sheetFormatPr defaultRowHeight="14.4" x14ac:dyDescent="0.3"/>
  <cols>
    <col min="1" max="1" width="29.33203125" style="155" customWidth="1"/>
    <col min="2" max="2" width="53.77734375" customWidth="1"/>
    <col min="3" max="3" width="21.88671875" customWidth="1"/>
    <col min="4" max="97" width="20.6640625" customWidth="1"/>
    <col min="98" max="104" width="16.109375" customWidth="1"/>
  </cols>
  <sheetData>
    <row r="1" spans="1:99" ht="15.6" x14ac:dyDescent="0.3">
      <c r="A1" s="553" t="s">
        <v>1794</v>
      </c>
      <c r="B1" s="180" t="s">
        <v>351</v>
      </c>
      <c r="C1" s="180" t="s">
        <v>351</v>
      </c>
      <c r="D1" s="180" t="s">
        <v>1228</v>
      </c>
      <c r="E1" s="180" t="s">
        <v>1229</v>
      </c>
      <c r="F1" s="180" t="s">
        <v>1230</v>
      </c>
      <c r="G1" s="180" t="s">
        <v>1231</v>
      </c>
      <c r="H1" s="180" t="s">
        <v>1232</v>
      </c>
      <c r="I1" s="180" t="s">
        <v>1233</v>
      </c>
      <c r="J1" s="180" t="s">
        <v>1234</v>
      </c>
      <c r="K1" s="180" t="s">
        <v>1235</v>
      </c>
      <c r="L1" s="180" t="s">
        <v>1236</v>
      </c>
      <c r="M1" s="180" t="s">
        <v>1237</v>
      </c>
      <c r="N1" s="180" t="s">
        <v>1238</v>
      </c>
      <c r="O1" s="180" t="s">
        <v>1239</v>
      </c>
      <c r="P1" s="180" t="s">
        <v>821</v>
      </c>
      <c r="Q1" s="180" t="s">
        <v>490</v>
      </c>
      <c r="R1" s="180" t="s">
        <v>1240</v>
      </c>
      <c r="S1" s="180" t="s">
        <v>1241</v>
      </c>
      <c r="T1" s="180" t="s">
        <v>1242</v>
      </c>
      <c r="U1" s="180" t="s">
        <v>1243</v>
      </c>
      <c r="V1" s="180" t="s">
        <v>491</v>
      </c>
      <c r="W1" s="180" t="s">
        <v>1244</v>
      </c>
      <c r="X1" s="180" t="s">
        <v>394</v>
      </c>
      <c r="Y1" s="180" t="s">
        <v>395</v>
      </c>
      <c r="Z1" s="180" t="s">
        <v>1245</v>
      </c>
      <c r="AA1" s="180" t="s">
        <v>492</v>
      </c>
      <c r="AB1" s="180" t="s">
        <v>1246</v>
      </c>
      <c r="AC1" s="180" t="s">
        <v>822</v>
      </c>
      <c r="AD1" s="180" t="s">
        <v>1247</v>
      </c>
      <c r="AE1" s="180" t="s">
        <v>823</v>
      </c>
      <c r="AF1" s="180" t="s">
        <v>1248</v>
      </c>
      <c r="AG1" s="180" t="s">
        <v>1249</v>
      </c>
      <c r="AH1" s="180" t="s">
        <v>1250</v>
      </c>
      <c r="AI1" s="180" t="s">
        <v>1251</v>
      </c>
      <c r="AJ1" s="180" t="s">
        <v>1252</v>
      </c>
      <c r="AK1" s="180" t="s">
        <v>1253</v>
      </c>
      <c r="AL1" s="180" t="s">
        <v>824</v>
      </c>
      <c r="AM1" s="180" t="s">
        <v>494</v>
      </c>
      <c r="AN1" s="180" t="s">
        <v>495</v>
      </c>
      <c r="AO1" s="180" t="s">
        <v>1254</v>
      </c>
      <c r="AP1" s="180" t="s">
        <v>1255</v>
      </c>
      <c r="AQ1" s="180" t="s">
        <v>1256</v>
      </c>
      <c r="AR1" s="180" t="s">
        <v>825</v>
      </c>
      <c r="AS1" s="180" t="s">
        <v>1257</v>
      </c>
      <c r="AT1" s="180" t="s">
        <v>1258</v>
      </c>
      <c r="AU1" s="180" t="s">
        <v>1259</v>
      </c>
      <c r="AV1" s="180" t="s">
        <v>1260</v>
      </c>
      <c r="AW1" s="180" t="s">
        <v>1261</v>
      </c>
      <c r="AX1" s="180" t="s">
        <v>1262</v>
      </c>
      <c r="AY1" s="180" t="s">
        <v>1263</v>
      </c>
      <c r="AZ1" s="180" t="s">
        <v>1264</v>
      </c>
      <c r="BA1" s="180" t="s">
        <v>826</v>
      </c>
      <c r="BB1" s="180" t="s">
        <v>1265</v>
      </c>
      <c r="BC1" s="180" t="s">
        <v>827</v>
      </c>
      <c r="BD1" s="180" t="s">
        <v>1266</v>
      </c>
      <c r="BE1" s="180" t="s">
        <v>1267</v>
      </c>
      <c r="BF1" s="180" t="s">
        <v>1268</v>
      </c>
      <c r="BG1" s="180" t="s">
        <v>1269</v>
      </c>
      <c r="BH1" s="180" t="s">
        <v>496</v>
      </c>
      <c r="BI1" s="180" t="s">
        <v>1270</v>
      </c>
      <c r="BJ1" s="180" t="s">
        <v>1271</v>
      </c>
      <c r="BK1" s="180" t="s">
        <v>497</v>
      </c>
      <c r="BL1" s="180" t="s">
        <v>1272</v>
      </c>
      <c r="BM1" s="180" t="s">
        <v>1273</v>
      </c>
      <c r="BN1" s="180" t="s">
        <v>1274</v>
      </c>
      <c r="BO1" s="180" t="s">
        <v>1275</v>
      </c>
      <c r="BP1" s="180" t="s">
        <v>389</v>
      </c>
      <c r="BQ1" s="180" t="s">
        <v>498</v>
      </c>
      <c r="BR1" s="180" t="s">
        <v>1276</v>
      </c>
      <c r="BS1" s="180" t="s">
        <v>1277</v>
      </c>
      <c r="BT1" s="180" t="s">
        <v>499</v>
      </c>
      <c r="BU1" s="180" t="s">
        <v>500</v>
      </c>
      <c r="BV1" s="180" t="s">
        <v>1278</v>
      </c>
      <c r="BW1" s="180" t="s">
        <v>1279</v>
      </c>
      <c r="BX1" s="180" t="s">
        <v>1280</v>
      </c>
      <c r="BY1" s="180" t="s">
        <v>828</v>
      </c>
      <c r="BZ1" s="180" t="s">
        <v>1281</v>
      </c>
      <c r="CA1" s="180" t="s">
        <v>1282</v>
      </c>
      <c r="CB1" s="180" t="s">
        <v>1283</v>
      </c>
      <c r="CC1" s="180" t="s">
        <v>1284</v>
      </c>
      <c r="CD1" s="180" t="s">
        <v>502</v>
      </c>
      <c r="CE1" s="180" t="s">
        <v>503</v>
      </c>
      <c r="CF1" s="180" t="s">
        <v>1285</v>
      </c>
      <c r="CG1" s="180" t="s">
        <v>1286</v>
      </c>
      <c r="CH1" s="180" t="s">
        <v>504</v>
      </c>
      <c r="CI1" s="180" t="s">
        <v>829</v>
      </c>
      <c r="CJ1" s="180" t="s">
        <v>830</v>
      </c>
      <c r="CK1" s="180" t="s">
        <v>506</v>
      </c>
      <c r="CL1" s="180"/>
      <c r="CM1" s="180"/>
      <c r="CN1" s="180"/>
      <c r="CO1" s="180"/>
      <c r="CP1" s="180"/>
      <c r="CQ1" s="180"/>
      <c r="CR1" s="180"/>
      <c r="CS1" s="180"/>
      <c r="CT1" s="180"/>
      <c r="CU1" s="180"/>
    </row>
    <row r="2" spans="1:99" x14ac:dyDescent="0.3">
      <c r="A2" s="155" t="s">
        <v>895</v>
      </c>
      <c r="B2" s="180" t="s">
        <v>41</v>
      </c>
      <c r="C2" s="180" t="s">
        <v>13</v>
      </c>
      <c r="D2" s="800">
        <v>50508</v>
      </c>
      <c r="E2" s="800">
        <v>50465</v>
      </c>
      <c r="F2" s="800">
        <v>50060</v>
      </c>
      <c r="G2" s="800">
        <v>50061</v>
      </c>
      <c r="H2" s="800">
        <v>50062</v>
      </c>
      <c r="I2" s="800">
        <v>50063</v>
      </c>
      <c r="J2" s="800">
        <v>50064</v>
      </c>
      <c r="K2" s="800">
        <v>50065</v>
      </c>
      <c r="L2" s="800">
        <v>50551</v>
      </c>
      <c r="M2" s="800">
        <v>50066</v>
      </c>
      <c r="N2" s="800">
        <v>50067</v>
      </c>
      <c r="O2" s="800">
        <v>50068</v>
      </c>
      <c r="P2" s="800">
        <v>50466</v>
      </c>
      <c r="Q2" s="800">
        <v>50069</v>
      </c>
      <c r="R2" s="800">
        <v>50450</v>
      </c>
      <c r="S2" s="800">
        <v>50070</v>
      </c>
      <c r="T2" s="800">
        <v>50509</v>
      </c>
      <c r="U2" s="800">
        <v>50539</v>
      </c>
      <c r="V2" s="800">
        <v>50467</v>
      </c>
      <c r="W2" s="800">
        <v>50072</v>
      </c>
      <c r="X2" s="800">
        <v>50074</v>
      </c>
      <c r="Y2" s="800">
        <v>50075</v>
      </c>
      <c r="Z2" s="800">
        <v>50076</v>
      </c>
      <c r="AA2" s="800">
        <v>50510</v>
      </c>
      <c r="AB2" s="800">
        <v>50077</v>
      </c>
      <c r="AC2" s="800">
        <v>50078</v>
      </c>
      <c r="AD2" s="800">
        <v>50079</v>
      </c>
      <c r="AE2" s="800">
        <v>50080</v>
      </c>
      <c r="AF2" s="800">
        <v>50081</v>
      </c>
      <c r="AG2" s="800">
        <v>50502</v>
      </c>
      <c r="AH2" s="800">
        <v>50082</v>
      </c>
      <c r="AI2" s="800">
        <v>50083</v>
      </c>
      <c r="AJ2" s="800">
        <v>50084</v>
      </c>
      <c r="AK2" s="800">
        <v>50085</v>
      </c>
      <c r="AL2" s="800">
        <v>50468</v>
      </c>
      <c r="AM2" s="800">
        <v>50086</v>
      </c>
      <c r="AN2" s="800">
        <v>50087</v>
      </c>
      <c r="AO2" s="800">
        <v>50088</v>
      </c>
      <c r="AP2" s="800">
        <v>50089</v>
      </c>
      <c r="AQ2" s="800">
        <v>50090</v>
      </c>
      <c r="AR2" s="800">
        <v>50091</v>
      </c>
      <c r="AS2" s="800">
        <v>50511</v>
      </c>
      <c r="AT2" s="800">
        <v>50092</v>
      </c>
      <c r="AU2" s="800">
        <v>50093</v>
      </c>
      <c r="AV2" s="800">
        <v>50512</v>
      </c>
      <c r="AW2" s="800">
        <v>50094</v>
      </c>
      <c r="AX2" s="800">
        <v>50095</v>
      </c>
      <c r="AY2" s="800">
        <v>50096</v>
      </c>
      <c r="AZ2" s="800">
        <v>50097</v>
      </c>
      <c r="BA2" s="800">
        <v>50098</v>
      </c>
      <c r="BB2" s="800">
        <v>50099</v>
      </c>
      <c r="BC2" s="800">
        <v>50100</v>
      </c>
      <c r="BD2" s="800">
        <v>50101</v>
      </c>
      <c r="BE2" s="800">
        <v>50102</v>
      </c>
      <c r="BF2" s="800">
        <v>50103</v>
      </c>
      <c r="BG2" s="800">
        <v>50104</v>
      </c>
      <c r="BH2" s="800">
        <v>50513</v>
      </c>
      <c r="BI2" s="800">
        <v>50105</v>
      </c>
      <c r="BJ2" s="800">
        <v>50460</v>
      </c>
      <c r="BK2" s="800">
        <v>50106</v>
      </c>
      <c r="BL2" s="800">
        <v>50107</v>
      </c>
      <c r="BM2" s="800">
        <v>50108</v>
      </c>
      <c r="BN2" s="800">
        <v>50559</v>
      </c>
      <c r="BO2" s="800">
        <v>50109</v>
      </c>
      <c r="BP2" s="800">
        <v>50110</v>
      </c>
      <c r="BQ2" s="800">
        <v>50472</v>
      </c>
      <c r="BR2" s="800">
        <v>50461</v>
      </c>
      <c r="BS2" s="180">
        <v>50111</v>
      </c>
      <c r="BT2" s="180">
        <v>50112</v>
      </c>
      <c r="BU2" s="180">
        <v>50113</v>
      </c>
      <c r="BV2" s="180">
        <v>50568</v>
      </c>
      <c r="BW2" s="180">
        <v>50114</v>
      </c>
      <c r="BX2" s="180">
        <v>50115</v>
      </c>
      <c r="BY2" s="180">
        <v>50116</v>
      </c>
      <c r="BZ2" s="180">
        <v>50117</v>
      </c>
      <c r="CA2" s="180">
        <v>50119</v>
      </c>
      <c r="CB2" s="180">
        <v>50118</v>
      </c>
      <c r="CC2" s="180">
        <v>50120</v>
      </c>
      <c r="CD2" s="180">
        <v>50121</v>
      </c>
      <c r="CE2" s="180">
        <v>50122</v>
      </c>
      <c r="CF2" s="180">
        <v>50123</v>
      </c>
      <c r="CG2" s="180">
        <v>50124</v>
      </c>
      <c r="CH2" s="180">
        <v>50125</v>
      </c>
      <c r="CI2" s="180">
        <v>50126</v>
      </c>
      <c r="CJ2" s="180">
        <v>50127</v>
      </c>
      <c r="CK2" s="180">
        <v>50128</v>
      </c>
      <c r="CL2" s="180"/>
      <c r="CM2" s="180"/>
      <c r="CN2" s="180"/>
      <c r="CO2" s="180"/>
      <c r="CP2" s="180"/>
      <c r="CQ2" s="180"/>
      <c r="CR2" s="180"/>
      <c r="CS2" s="180"/>
      <c r="CT2" s="180"/>
      <c r="CU2" s="180"/>
    </row>
    <row r="3" spans="1:99" x14ac:dyDescent="0.3">
      <c r="A3" s="155">
        <v>4</v>
      </c>
      <c r="B3" s="180" t="s">
        <v>111</v>
      </c>
      <c r="C3" s="180"/>
      <c r="D3" s="180">
        <v>19079</v>
      </c>
      <c r="E3" s="180">
        <v>304757</v>
      </c>
      <c r="F3" s="180">
        <v>22098</v>
      </c>
      <c r="G3" s="180">
        <v>24899</v>
      </c>
      <c r="H3" s="180"/>
      <c r="I3" s="180">
        <v>203020</v>
      </c>
      <c r="J3" s="180">
        <v>26977</v>
      </c>
      <c r="K3" s="180">
        <v>949172</v>
      </c>
      <c r="L3" s="180">
        <v>0</v>
      </c>
      <c r="M3" s="180">
        <v>1168663</v>
      </c>
      <c r="N3" s="180"/>
      <c r="O3" s="180">
        <v>24475404</v>
      </c>
      <c r="P3" s="180">
        <v>1014</v>
      </c>
      <c r="Q3" s="180">
        <v>4765</v>
      </c>
      <c r="R3" s="180">
        <v>331067</v>
      </c>
      <c r="S3" s="180">
        <v>25837</v>
      </c>
      <c r="T3" s="180">
        <v>186512</v>
      </c>
      <c r="U3" s="180">
        <v>49412</v>
      </c>
      <c r="V3" s="180">
        <v>100635</v>
      </c>
      <c r="W3" s="180">
        <v>34749</v>
      </c>
      <c r="X3" s="180">
        <v>5521240</v>
      </c>
      <c r="Y3" s="180">
        <v>43768000</v>
      </c>
      <c r="Z3" s="180">
        <v>441379</v>
      </c>
      <c r="AA3" s="180">
        <v>13570</v>
      </c>
      <c r="AB3" s="180">
        <v>327089</v>
      </c>
      <c r="AC3" s="180"/>
      <c r="AD3" s="180">
        <v>103413</v>
      </c>
      <c r="AE3" s="180">
        <v>93531</v>
      </c>
      <c r="AF3" s="180">
        <v>2525823</v>
      </c>
      <c r="AG3" s="180">
        <v>708111</v>
      </c>
      <c r="AH3" s="180">
        <v>28561</v>
      </c>
      <c r="AI3" s="180">
        <v>478868</v>
      </c>
      <c r="AJ3" s="180">
        <v>47173</v>
      </c>
      <c r="AK3" s="180">
        <v>4903</v>
      </c>
      <c r="AL3" s="180">
        <v>12828</v>
      </c>
      <c r="AM3" s="180"/>
      <c r="AN3" s="180">
        <v>8520</v>
      </c>
      <c r="AO3" s="180"/>
      <c r="AP3" s="180">
        <v>1299</v>
      </c>
      <c r="AQ3" s="180">
        <v>16722579</v>
      </c>
      <c r="AR3" s="180">
        <v>0</v>
      </c>
      <c r="AS3" s="180">
        <v>31810</v>
      </c>
      <c r="AT3" s="180">
        <v>955655</v>
      </c>
      <c r="AU3" s="180">
        <v>22493</v>
      </c>
      <c r="AV3" s="180">
        <v>2784</v>
      </c>
      <c r="AW3" s="180">
        <v>3426174</v>
      </c>
      <c r="AX3" s="180">
        <v>7813</v>
      </c>
      <c r="AY3" s="180">
        <v>285875</v>
      </c>
      <c r="AZ3" s="180">
        <v>155301</v>
      </c>
      <c r="BA3" s="180">
        <v>552</v>
      </c>
      <c r="BB3" s="180">
        <v>760</v>
      </c>
      <c r="BC3" s="180">
        <v>83059</v>
      </c>
      <c r="BD3" s="180">
        <v>702</v>
      </c>
      <c r="BE3" s="180">
        <v>1484199</v>
      </c>
      <c r="BF3" s="180">
        <v>27452</v>
      </c>
      <c r="BG3" s="180">
        <v>6771</v>
      </c>
      <c r="BH3" s="180">
        <v>137711</v>
      </c>
      <c r="BI3" s="180">
        <v>75232</v>
      </c>
      <c r="BJ3" s="180">
        <v>36137</v>
      </c>
      <c r="BK3" s="180">
        <v>158462</v>
      </c>
      <c r="BL3" s="180">
        <v>17839</v>
      </c>
      <c r="BM3" s="180">
        <v>6691</v>
      </c>
      <c r="BN3" s="180">
        <v>383060</v>
      </c>
      <c r="BO3" s="180">
        <v>2418886</v>
      </c>
      <c r="BP3" s="180">
        <v>25660279</v>
      </c>
      <c r="BQ3" s="180">
        <v>691</v>
      </c>
      <c r="BR3" s="180"/>
      <c r="BS3" s="180">
        <v>13059</v>
      </c>
      <c r="BT3" s="180"/>
      <c r="BU3" s="180">
        <v>20537</v>
      </c>
      <c r="BV3" s="180">
        <v>14837</v>
      </c>
      <c r="BW3" s="180">
        <v>324455</v>
      </c>
      <c r="BX3" s="180">
        <v>13626</v>
      </c>
      <c r="BY3" s="180"/>
      <c r="BZ3" s="180">
        <v>181173</v>
      </c>
      <c r="CA3" s="180">
        <v>33804</v>
      </c>
      <c r="CB3" s="180">
        <v>219863</v>
      </c>
      <c r="CC3" s="180">
        <v>6857</v>
      </c>
      <c r="CD3" s="180">
        <v>19374</v>
      </c>
      <c r="CE3" s="180"/>
      <c r="CF3" s="180">
        <v>120695</v>
      </c>
      <c r="CG3" s="180">
        <v>514606</v>
      </c>
      <c r="CH3" s="180">
        <v>193278</v>
      </c>
      <c r="CI3" s="180">
        <v>379844</v>
      </c>
      <c r="CJ3" s="180"/>
      <c r="CK3" s="180">
        <v>647</v>
      </c>
      <c r="CL3" s="180"/>
      <c r="CM3" s="180"/>
      <c r="CN3" s="180"/>
      <c r="CO3" s="180"/>
      <c r="CP3" s="180"/>
      <c r="CQ3" s="180"/>
      <c r="CR3" s="180"/>
      <c r="CS3" s="180"/>
      <c r="CT3" s="180"/>
      <c r="CU3" s="180"/>
    </row>
    <row r="4" spans="1:99" x14ac:dyDescent="0.3">
      <c r="A4" s="155">
        <v>5</v>
      </c>
      <c r="B4" s="180" t="s">
        <v>112</v>
      </c>
      <c r="C4" s="180"/>
      <c r="D4" s="180">
        <v>0</v>
      </c>
      <c r="E4" s="180">
        <v>0</v>
      </c>
      <c r="F4" s="180">
        <v>0</v>
      </c>
      <c r="G4" s="180">
        <v>0</v>
      </c>
      <c r="H4" s="180"/>
      <c r="I4" s="180">
        <v>3764</v>
      </c>
      <c r="J4" s="180">
        <v>718657</v>
      </c>
      <c r="K4" s="180">
        <v>0</v>
      </c>
      <c r="L4" s="180">
        <v>124607</v>
      </c>
      <c r="M4" s="180">
        <v>59709</v>
      </c>
      <c r="N4" s="180"/>
      <c r="O4" s="180">
        <v>0</v>
      </c>
      <c r="P4" s="180">
        <v>0</v>
      </c>
      <c r="Q4" s="180">
        <v>0</v>
      </c>
      <c r="R4" s="180">
        <v>0</v>
      </c>
      <c r="S4" s="180">
        <v>268</v>
      </c>
      <c r="T4" s="180">
        <v>0</v>
      </c>
      <c r="U4" s="180">
        <v>0</v>
      </c>
      <c r="V4" s="180">
        <v>0</v>
      </c>
      <c r="W4" s="180">
        <v>0</v>
      </c>
      <c r="X4" s="180">
        <v>10045</v>
      </c>
      <c r="Y4" s="180">
        <v>264000</v>
      </c>
      <c r="Z4" s="180">
        <v>0</v>
      </c>
      <c r="AA4" s="180">
        <v>18484</v>
      </c>
      <c r="AB4" s="180">
        <v>0</v>
      </c>
      <c r="AC4" s="180"/>
      <c r="AD4" s="180">
        <v>0</v>
      </c>
      <c r="AE4" s="180">
        <v>2903</v>
      </c>
      <c r="AF4" s="180">
        <v>70</v>
      </c>
      <c r="AG4" s="180">
        <v>283</v>
      </c>
      <c r="AH4" s="180">
        <v>2057</v>
      </c>
      <c r="AI4" s="180">
        <v>0</v>
      </c>
      <c r="AJ4" s="180">
        <v>1945</v>
      </c>
      <c r="AK4" s="180">
        <v>0</v>
      </c>
      <c r="AL4" s="180">
        <v>0</v>
      </c>
      <c r="AM4" s="180"/>
      <c r="AN4" s="180">
        <v>4440</v>
      </c>
      <c r="AO4" s="180"/>
      <c r="AP4" s="180">
        <v>596</v>
      </c>
      <c r="AQ4" s="180">
        <v>24822</v>
      </c>
      <c r="AR4" s="180">
        <v>0</v>
      </c>
      <c r="AS4" s="180">
        <v>0</v>
      </c>
      <c r="AT4" s="180">
        <v>3875</v>
      </c>
      <c r="AU4" s="180">
        <v>200</v>
      </c>
      <c r="AV4" s="180">
        <v>0</v>
      </c>
      <c r="AW4" s="180">
        <v>0</v>
      </c>
      <c r="AX4" s="180">
        <v>100000</v>
      </c>
      <c r="AY4" s="180">
        <v>61160</v>
      </c>
      <c r="AZ4" s="180">
        <v>11333</v>
      </c>
      <c r="BA4" s="180">
        <v>0</v>
      </c>
      <c r="BB4" s="180">
        <v>0</v>
      </c>
      <c r="BC4" s="180">
        <v>0</v>
      </c>
      <c r="BD4" s="180">
        <v>0</v>
      </c>
      <c r="BE4" s="180">
        <v>0</v>
      </c>
      <c r="BF4" s="180">
        <v>0</v>
      </c>
      <c r="BG4" s="180">
        <v>0</v>
      </c>
      <c r="BH4" s="180">
        <v>162</v>
      </c>
      <c r="BI4" s="180">
        <v>0</v>
      </c>
      <c r="BJ4" s="180">
        <v>0</v>
      </c>
      <c r="BK4" s="180">
        <v>0</v>
      </c>
      <c r="BL4" s="180">
        <v>0</v>
      </c>
      <c r="BM4" s="180">
        <v>0</v>
      </c>
      <c r="BN4" s="180">
        <v>92402</v>
      </c>
      <c r="BO4" s="180">
        <v>1823</v>
      </c>
      <c r="BP4" s="180">
        <v>428092</v>
      </c>
      <c r="BQ4" s="180">
        <v>0</v>
      </c>
      <c r="BR4" s="180"/>
      <c r="BS4" s="180">
        <v>0</v>
      </c>
      <c r="BT4" s="180"/>
      <c r="BU4" s="180">
        <v>0</v>
      </c>
      <c r="BV4" s="180">
        <v>0</v>
      </c>
      <c r="BW4" s="180">
        <v>503717</v>
      </c>
      <c r="BX4" s="180">
        <v>0</v>
      </c>
      <c r="BY4" s="180"/>
      <c r="BZ4" s="180">
        <v>5676</v>
      </c>
      <c r="CA4" s="180">
        <v>0</v>
      </c>
      <c r="CB4" s="180">
        <v>3457</v>
      </c>
      <c r="CC4" s="180">
        <v>0</v>
      </c>
      <c r="CD4" s="180">
        <v>616</v>
      </c>
      <c r="CE4" s="180"/>
      <c r="CF4" s="180">
        <v>1536</v>
      </c>
      <c r="CG4" s="180">
        <v>0</v>
      </c>
      <c r="CH4" s="180">
        <v>0</v>
      </c>
      <c r="CI4" s="180">
        <v>1846</v>
      </c>
      <c r="CJ4" s="180"/>
      <c r="CK4" s="180">
        <v>0</v>
      </c>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c r="I5" s="180">
        <v>0</v>
      </c>
      <c r="J5" s="180">
        <v>0</v>
      </c>
      <c r="K5" s="180">
        <v>0</v>
      </c>
      <c r="L5" s="180">
        <v>0</v>
      </c>
      <c r="M5" s="180">
        <v>484372</v>
      </c>
      <c r="N5" s="180"/>
      <c r="O5" s="180">
        <v>8870823</v>
      </c>
      <c r="P5" s="180">
        <v>0</v>
      </c>
      <c r="Q5" s="180">
        <v>0</v>
      </c>
      <c r="R5" s="180">
        <v>0</v>
      </c>
      <c r="S5" s="180">
        <v>0</v>
      </c>
      <c r="T5" s="180">
        <v>0</v>
      </c>
      <c r="U5" s="180">
        <v>0</v>
      </c>
      <c r="V5" s="180">
        <v>0</v>
      </c>
      <c r="W5" s="180">
        <v>0</v>
      </c>
      <c r="X5" s="180">
        <v>1326306</v>
      </c>
      <c r="Y5" s="180">
        <v>14369000</v>
      </c>
      <c r="Z5" s="180">
        <v>0</v>
      </c>
      <c r="AA5" s="180">
        <v>0</v>
      </c>
      <c r="AB5" s="180">
        <v>107330</v>
      </c>
      <c r="AC5" s="180"/>
      <c r="AD5" s="180">
        <v>24027</v>
      </c>
      <c r="AE5" s="180">
        <v>0</v>
      </c>
      <c r="AF5" s="180">
        <v>0</v>
      </c>
      <c r="AG5" s="180">
        <v>574571</v>
      </c>
      <c r="AH5" s="180">
        <v>0</v>
      </c>
      <c r="AI5" s="180">
        <v>0</v>
      </c>
      <c r="AJ5" s="180">
        <v>0</v>
      </c>
      <c r="AK5" s="180">
        <v>0</v>
      </c>
      <c r="AL5" s="180">
        <v>0</v>
      </c>
      <c r="AM5" s="180"/>
      <c r="AN5" s="180">
        <v>0</v>
      </c>
      <c r="AO5" s="180"/>
      <c r="AP5" s="180">
        <v>0</v>
      </c>
      <c r="AQ5" s="180">
        <v>5465623</v>
      </c>
      <c r="AR5" s="180">
        <v>0</v>
      </c>
      <c r="AS5" s="180">
        <v>0</v>
      </c>
      <c r="AT5" s="180">
        <v>488354</v>
      </c>
      <c r="AU5" s="180">
        <v>0</v>
      </c>
      <c r="AV5" s="180">
        <v>0</v>
      </c>
      <c r="AW5" s="180">
        <v>0</v>
      </c>
      <c r="AX5" s="180">
        <v>0</v>
      </c>
      <c r="AY5" s="180">
        <v>0</v>
      </c>
      <c r="AZ5" s="180">
        <v>0</v>
      </c>
      <c r="BA5" s="180">
        <v>0</v>
      </c>
      <c r="BB5" s="180">
        <v>0</v>
      </c>
      <c r="BC5" s="180">
        <v>0</v>
      </c>
      <c r="BD5" s="180">
        <v>0</v>
      </c>
      <c r="BE5" s="180">
        <v>806172</v>
      </c>
      <c r="BF5" s="180">
        <v>0</v>
      </c>
      <c r="BG5" s="180">
        <v>0</v>
      </c>
      <c r="BH5" s="180">
        <v>0</v>
      </c>
      <c r="BI5" s="180">
        <v>0</v>
      </c>
      <c r="BJ5" s="180">
        <v>0</v>
      </c>
      <c r="BK5" s="180">
        <v>0</v>
      </c>
      <c r="BL5" s="180">
        <v>0</v>
      </c>
      <c r="BM5" s="180">
        <v>0</v>
      </c>
      <c r="BN5" s="180">
        <v>212161</v>
      </c>
      <c r="BO5" s="180">
        <v>0</v>
      </c>
      <c r="BP5" s="180">
        <v>10199904</v>
      </c>
      <c r="BQ5" s="180">
        <v>0</v>
      </c>
      <c r="BR5" s="180"/>
      <c r="BS5" s="180">
        <v>0</v>
      </c>
      <c r="BT5" s="180"/>
      <c r="BU5" s="180">
        <v>0</v>
      </c>
      <c r="BV5" s="180">
        <v>0</v>
      </c>
      <c r="BW5" s="180">
        <v>0</v>
      </c>
      <c r="BX5" s="180">
        <v>0</v>
      </c>
      <c r="BY5" s="180"/>
      <c r="BZ5" s="180">
        <v>0</v>
      </c>
      <c r="CA5" s="180">
        <v>0</v>
      </c>
      <c r="CB5" s="180">
        <v>252518</v>
      </c>
      <c r="CC5" s="180">
        <v>0</v>
      </c>
      <c r="CD5" s="180">
        <v>0</v>
      </c>
      <c r="CE5" s="180"/>
      <c r="CF5" s="180">
        <v>0</v>
      </c>
      <c r="CG5" s="180">
        <v>113304</v>
      </c>
      <c r="CH5" s="180">
        <v>0</v>
      </c>
      <c r="CI5" s="180">
        <v>0</v>
      </c>
      <c r="CJ5" s="180"/>
      <c r="CK5" s="180">
        <v>0</v>
      </c>
      <c r="CL5" s="180"/>
      <c r="CM5" s="180"/>
      <c r="CN5" s="180"/>
      <c r="CO5" s="180"/>
      <c r="CP5" s="180"/>
      <c r="CQ5" s="180"/>
      <c r="CR5" s="180"/>
      <c r="CS5" s="180"/>
      <c r="CT5" s="180"/>
      <c r="CU5" s="180"/>
    </row>
    <row r="6" spans="1:99" x14ac:dyDescent="0.3">
      <c r="A6" s="155">
        <v>7</v>
      </c>
      <c r="B6" s="180" t="s">
        <v>193</v>
      </c>
      <c r="C6" s="180"/>
      <c r="D6" s="180">
        <v>0</v>
      </c>
      <c r="E6" s="180">
        <v>0</v>
      </c>
      <c r="F6" s="180">
        <v>0</v>
      </c>
      <c r="G6" s="180">
        <v>0</v>
      </c>
      <c r="H6" s="180"/>
      <c r="I6" s="180">
        <v>11208</v>
      </c>
      <c r="J6" s="180">
        <v>4136</v>
      </c>
      <c r="K6" s="180">
        <v>0</v>
      </c>
      <c r="L6" s="180">
        <v>0</v>
      </c>
      <c r="M6" s="180">
        <v>603981</v>
      </c>
      <c r="N6" s="180"/>
      <c r="O6" s="180">
        <v>3200933</v>
      </c>
      <c r="P6" s="180">
        <v>0</v>
      </c>
      <c r="Q6" s="180">
        <v>5000</v>
      </c>
      <c r="R6" s="180">
        <v>0</v>
      </c>
      <c r="S6" s="180">
        <v>3513</v>
      </c>
      <c r="T6" s="180">
        <v>0</v>
      </c>
      <c r="U6" s="180">
        <v>0</v>
      </c>
      <c r="V6" s="180">
        <v>0</v>
      </c>
      <c r="W6" s="180">
        <v>0</v>
      </c>
      <c r="X6" s="180">
        <v>3822</v>
      </c>
      <c r="Y6" s="180">
        <v>199000</v>
      </c>
      <c r="Z6" s="180">
        <v>0</v>
      </c>
      <c r="AA6" s="180">
        <v>0</v>
      </c>
      <c r="AB6" s="180">
        <v>63092</v>
      </c>
      <c r="AC6" s="180"/>
      <c r="AD6" s="180">
        <v>26349</v>
      </c>
      <c r="AE6" s="180">
        <v>0</v>
      </c>
      <c r="AF6" s="180">
        <v>36200</v>
      </c>
      <c r="AG6" s="180">
        <v>88462</v>
      </c>
      <c r="AH6" s="180">
        <v>0</v>
      </c>
      <c r="AI6" s="180">
        <v>17510</v>
      </c>
      <c r="AJ6" s="180">
        <v>0</v>
      </c>
      <c r="AK6" s="180">
        <v>0</v>
      </c>
      <c r="AL6" s="180">
        <v>0</v>
      </c>
      <c r="AM6" s="180"/>
      <c r="AN6" s="180">
        <v>0</v>
      </c>
      <c r="AO6" s="180"/>
      <c r="AP6" s="180">
        <v>0</v>
      </c>
      <c r="AQ6" s="180">
        <v>241969</v>
      </c>
      <c r="AR6" s="180">
        <v>0</v>
      </c>
      <c r="AS6" s="180">
        <v>0</v>
      </c>
      <c r="AT6" s="180">
        <v>82232</v>
      </c>
      <c r="AU6" s="180">
        <v>0</v>
      </c>
      <c r="AV6" s="180">
        <v>0</v>
      </c>
      <c r="AW6" s="180">
        <v>165019</v>
      </c>
      <c r="AX6" s="180">
        <v>0</v>
      </c>
      <c r="AY6" s="180">
        <v>1644005</v>
      </c>
      <c r="AZ6" s="180">
        <v>1079</v>
      </c>
      <c r="BA6" s="180">
        <v>0</v>
      </c>
      <c r="BB6" s="180">
        <v>2029</v>
      </c>
      <c r="BC6" s="180">
        <v>312</v>
      </c>
      <c r="BD6" s="180">
        <v>0</v>
      </c>
      <c r="BE6" s="180">
        <v>0</v>
      </c>
      <c r="BF6" s="180">
        <v>0</v>
      </c>
      <c r="BG6" s="180">
        <v>0</v>
      </c>
      <c r="BH6" s="180">
        <v>0</v>
      </c>
      <c r="BI6" s="180">
        <v>21795</v>
      </c>
      <c r="BJ6" s="180">
        <v>0</v>
      </c>
      <c r="BK6" s="180">
        <v>0</v>
      </c>
      <c r="BL6" s="180">
        <v>0</v>
      </c>
      <c r="BM6" s="180">
        <v>0</v>
      </c>
      <c r="BN6" s="180">
        <v>158793</v>
      </c>
      <c r="BO6" s="180">
        <v>164901</v>
      </c>
      <c r="BP6" s="180">
        <v>629591</v>
      </c>
      <c r="BQ6" s="180">
        <v>0</v>
      </c>
      <c r="BR6" s="180"/>
      <c r="BS6" s="180">
        <v>0</v>
      </c>
      <c r="BT6" s="180"/>
      <c r="BU6" s="180">
        <v>25000</v>
      </c>
      <c r="BV6" s="180">
        <v>0</v>
      </c>
      <c r="BW6" s="180">
        <v>347111</v>
      </c>
      <c r="BX6" s="180">
        <v>14709</v>
      </c>
      <c r="BY6" s="180"/>
      <c r="BZ6" s="180">
        <v>0</v>
      </c>
      <c r="CA6" s="180">
        <v>0</v>
      </c>
      <c r="CB6" s="180">
        <v>0</v>
      </c>
      <c r="CC6" s="180">
        <v>11700</v>
      </c>
      <c r="CD6" s="180">
        <v>9803</v>
      </c>
      <c r="CE6" s="180"/>
      <c r="CF6" s="180">
        <v>0</v>
      </c>
      <c r="CG6" s="180">
        <v>39551</v>
      </c>
      <c r="CH6" s="180">
        <v>0</v>
      </c>
      <c r="CI6" s="180">
        <v>0</v>
      </c>
      <c r="CJ6" s="180"/>
      <c r="CK6" s="180">
        <v>2404</v>
      </c>
      <c r="CL6" s="180"/>
      <c r="CM6" s="180"/>
      <c r="CN6" s="180"/>
      <c r="CO6" s="180"/>
      <c r="CP6" s="180"/>
      <c r="CQ6" s="180"/>
      <c r="CR6" s="180"/>
      <c r="CS6" s="180"/>
      <c r="CT6" s="180"/>
      <c r="CU6" s="180"/>
    </row>
    <row r="7" spans="1:99" x14ac:dyDescent="0.3">
      <c r="A7" s="155">
        <v>9</v>
      </c>
      <c r="B7" s="180" t="s">
        <v>195</v>
      </c>
      <c r="C7" s="180"/>
      <c r="D7" s="180">
        <v>3454351</v>
      </c>
      <c r="E7" s="180">
        <v>2294772</v>
      </c>
      <c r="F7" s="180">
        <v>973959</v>
      </c>
      <c r="G7" s="180">
        <v>680135</v>
      </c>
      <c r="H7" s="180"/>
      <c r="I7" s="180">
        <v>4229383</v>
      </c>
      <c r="J7" s="180">
        <v>2300625</v>
      </c>
      <c r="K7" s="180">
        <v>9714788</v>
      </c>
      <c r="L7" s="180">
        <v>5189667</v>
      </c>
      <c r="M7" s="180">
        <v>15601262</v>
      </c>
      <c r="N7" s="180"/>
      <c r="O7" s="180">
        <v>182664805</v>
      </c>
      <c r="P7" s="180">
        <v>89047</v>
      </c>
      <c r="Q7" s="180">
        <v>332057</v>
      </c>
      <c r="R7" s="180">
        <v>1117895</v>
      </c>
      <c r="S7" s="180">
        <v>1288198</v>
      </c>
      <c r="T7" s="180">
        <v>1413181</v>
      </c>
      <c r="U7" s="180">
        <v>432813</v>
      </c>
      <c r="V7" s="180">
        <v>347193</v>
      </c>
      <c r="W7" s="180">
        <v>2365213</v>
      </c>
      <c r="X7" s="180">
        <v>36300291</v>
      </c>
      <c r="Y7" s="180">
        <v>212484000</v>
      </c>
      <c r="Z7" s="180">
        <v>5516695</v>
      </c>
      <c r="AA7" s="180">
        <v>513096</v>
      </c>
      <c r="AB7" s="180">
        <v>3473934</v>
      </c>
      <c r="AC7" s="180"/>
      <c r="AD7" s="180">
        <v>4636111</v>
      </c>
      <c r="AE7" s="180">
        <v>2643953</v>
      </c>
      <c r="AF7" s="180">
        <v>25437923</v>
      </c>
      <c r="AG7" s="180">
        <v>9247710</v>
      </c>
      <c r="AH7" s="180">
        <v>3445452</v>
      </c>
      <c r="AI7" s="180">
        <v>8527077</v>
      </c>
      <c r="AJ7" s="180">
        <v>1499926</v>
      </c>
      <c r="AK7" s="180">
        <v>1898004</v>
      </c>
      <c r="AL7" s="180">
        <v>997369</v>
      </c>
      <c r="AM7" s="180"/>
      <c r="AN7" s="180">
        <v>1037330</v>
      </c>
      <c r="AO7" s="180"/>
      <c r="AP7" s="180">
        <v>83352</v>
      </c>
      <c r="AQ7" s="180">
        <v>89286479</v>
      </c>
      <c r="AR7" s="180">
        <v>403794</v>
      </c>
      <c r="AS7" s="180">
        <v>2068634</v>
      </c>
      <c r="AT7" s="180">
        <v>12182386</v>
      </c>
      <c r="AU7" s="180">
        <v>641020</v>
      </c>
      <c r="AV7" s="180">
        <v>1204460</v>
      </c>
      <c r="AW7" s="180">
        <v>30406551</v>
      </c>
      <c r="AX7" s="180">
        <v>257086</v>
      </c>
      <c r="AY7" s="180">
        <v>5567849</v>
      </c>
      <c r="AZ7" s="180">
        <v>9783593</v>
      </c>
      <c r="BA7" s="180">
        <v>596822</v>
      </c>
      <c r="BB7" s="180">
        <v>331476</v>
      </c>
      <c r="BC7" s="180">
        <v>3876998</v>
      </c>
      <c r="BD7" s="180">
        <v>185591</v>
      </c>
      <c r="BE7" s="180">
        <v>13536145</v>
      </c>
      <c r="BF7" s="180">
        <v>2662232</v>
      </c>
      <c r="BG7" s="180">
        <v>860014</v>
      </c>
      <c r="BH7" s="180">
        <v>540551</v>
      </c>
      <c r="BI7" s="180">
        <v>1867314</v>
      </c>
      <c r="BJ7" s="180">
        <v>3347965</v>
      </c>
      <c r="BK7" s="180">
        <v>363876</v>
      </c>
      <c r="BL7" s="180">
        <v>2185680</v>
      </c>
      <c r="BM7" s="180">
        <v>1086236</v>
      </c>
      <c r="BN7" s="180">
        <v>11328460</v>
      </c>
      <c r="BO7" s="180">
        <v>6590480</v>
      </c>
      <c r="BP7" s="180">
        <v>123290886</v>
      </c>
      <c r="BQ7" s="180">
        <v>110300</v>
      </c>
      <c r="BR7" s="180"/>
      <c r="BS7" s="180">
        <v>925605</v>
      </c>
      <c r="BT7" s="180"/>
      <c r="BU7" s="180">
        <v>2365710</v>
      </c>
      <c r="BV7" s="180">
        <v>7326222</v>
      </c>
      <c r="BW7" s="180">
        <v>12378104</v>
      </c>
      <c r="BX7" s="180">
        <v>3557682</v>
      </c>
      <c r="BY7" s="180"/>
      <c r="BZ7" s="180">
        <v>2656101</v>
      </c>
      <c r="CA7" s="180">
        <v>755607</v>
      </c>
      <c r="CB7" s="180">
        <v>6243316</v>
      </c>
      <c r="CC7" s="180">
        <v>949189</v>
      </c>
      <c r="CD7" s="180">
        <v>1080908</v>
      </c>
      <c r="CE7" s="180"/>
      <c r="CF7" s="180">
        <v>9687042</v>
      </c>
      <c r="CG7" s="180">
        <v>3967067</v>
      </c>
      <c r="CH7" s="180">
        <v>516953</v>
      </c>
      <c r="CI7" s="180">
        <v>3933245</v>
      </c>
      <c r="CJ7" s="180"/>
      <c r="CK7" s="180">
        <v>74014</v>
      </c>
      <c r="CL7" s="180"/>
      <c r="CM7" s="180"/>
      <c r="CN7" s="180"/>
      <c r="CO7" s="180"/>
      <c r="CP7" s="180"/>
      <c r="CQ7" s="180"/>
      <c r="CR7" s="180"/>
      <c r="CS7" s="180"/>
      <c r="CT7" s="180"/>
      <c r="CU7" s="180"/>
    </row>
    <row r="8" spans="1:99" x14ac:dyDescent="0.3">
      <c r="A8" s="155">
        <v>11</v>
      </c>
      <c r="B8" s="180" t="s">
        <v>194</v>
      </c>
      <c r="C8" s="180"/>
      <c r="D8" s="180">
        <v>0</v>
      </c>
      <c r="E8" s="180">
        <v>0</v>
      </c>
      <c r="F8" s="180">
        <v>39114</v>
      </c>
      <c r="G8" s="180">
        <v>42965</v>
      </c>
      <c r="H8" s="180"/>
      <c r="I8" s="180">
        <v>99715</v>
      </c>
      <c r="J8" s="180">
        <v>16404</v>
      </c>
      <c r="K8" s="180">
        <v>639679</v>
      </c>
      <c r="L8" s="180">
        <v>0</v>
      </c>
      <c r="M8" s="180">
        <v>312385</v>
      </c>
      <c r="N8" s="180"/>
      <c r="O8" s="180">
        <v>9144916</v>
      </c>
      <c r="P8" s="180">
        <v>0</v>
      </c>
      <c r="Q8" s="180">
        <v>22764</v>
      </c>
      <c r="R8" s="180">
        <v>0</v>
      </c>
      <c r="S8" s="180">
        <v>474</v>
      </c>
      <c r="T8" s="180">
        <v>111156</v>
      </c>
      <c r="U8" s="180">
        <v>0</v>
      </c>
      <c r="V8" s="180">
        <v>32083</v>
      </c>
      <c r="W8" s="180">
        <v>79329</v>
      </c>
      <c r="X8" s="180">
        <v>0</v>
      </c>
      <c r="Y8" s="180">
        <v>0</v>
      </c>
      <c r="Z8" s="180">
        <v>268933</v>
      </c>
      <c r="AA8" s="180">
        <v>0</v>
      </c>
      <c r="AB8" s="180">
        <v>238186</v>
      </c>
      <c r="AC8" s="180"/>
      <c r="AD8" s="180">
        <v>30553</v>
      </c>
      <c r="AE8" s="180">
        <v>58714</v>
      </c>
      <c r="AF8" s="180">
        <v>296450</v>
      </c>
      <c r="AG8" s="180">
        <v>29478</v>
      </c>
      <c r="AH8" s="180">
        <v>177483</v>
      </c>
      <c r="AI8" s="180">
        <v>0</v>
      </c>
      <c r="AJ8" s="180">
        <v>42921</v>
      </c>
      <c r="AK8" s="180">
        <v>149190</v>
      </c>
      <c r="AL8" s="180">
        <v>43633</v>
      </c>
      <c r="AM8" s="180"/>
      <c r="AN8" s="180">
        <v>0</v>
      </c>
      <c r="AO8" s="180"/>
      <c r="AP8" s="180">
        <v>0</v>
      </c>
      <c r="AQ8" s="180">
        <v>1313931</v>
      </c>
      <c r="AR8" s="180">
        <v>82005</v>
      </c>
      <c r="AS8" s="180">
        <v>104393</v>
      </c>
      <c r="AT8" s="180">
        <v>220013</v>
      </c>
      <c r="AU8" s="180">
        <v>43508</v>
      </c>
      <c r="AV8" s="180">
        <v>64587</v>
      </c>
      <c r="AW8" s="180">
        <v>940853</v>
      </c>
      <c r="AX8" s="180">
        <v>67032</v>
      </c>
      <c r="AY8" s="180">
        <v>100444</v>
      </c>
      <c r="AZ8" s="180">
        <v>476555</v>
      </c>
      <c r="BA8" s="180">
        <v>84084</v>
      </c>
      <c r="BB8" s="180">
        <v>20380</v>
      </c>
      <c r="BC8" s="180">
        <v>109902</v>
      </c>
      <c r="BD8" s="180">
        <v>15540</v>
      </c>
      <c r="BE8" s="180">
        <v>270303</v>
      </c>
      <c r="BF8" s="180">
        <v>106188</v>
      </c>
      <c r="BG8" s="180">
        <v>11005</v>
      </c>
      <c r="BH8" s="180">
        <v>0</v>
      </c>
      <c r="BI8" s="180">
        <v>203559</v>
      </c>
      <c r="BJ8" s="180">
        <v>0</v>
      </c>
      <c r="BK8" s="180">
        <v>45225</v>
      </c>
      <c r="BL8" s="180">
        <v>65428</v>
      </c>
      <c r="BM8" s="180">
        <v>59615</v>
      </c>
      <c r="BN8" s="180">
        <v>0</v>
      </c>
      <c r="BO8" s="180">
        <v>0</v>
      </c>
      <c r="BP8" s="180">
        <v>0</v>
      </c>
      <c r="BQ8" s="180">
        <v>46529</v>
      </c>
      <c r="BR8" s="180"/>
      <c r="BS8" s="180">
        <v>2124</v>
      </c>
      <c r="BT8" s="180"/>
      <c r="BU8" s="180">
        <v>174611</v>
      </c>
      <c r="BV8" s="180">
        <v>693161</v>
      </c>
      <c r="BW8" s="180">
        <v>104894</v>
      </c>
      <c r="BX8" s="180">
        <v>65183</v>
      </c>
      <c r="BY8" s="180"/>
      <c r="BZ8" s="180">
        <v>733912</v>
      </c>
      <c r="CA8" s="180">
        <v>12150</v>
      </c>
      <c r="CB8" s="180">
        <v>83231</v>
      </c>
      <c r="CC8" s="180">
        <v>97325</v>
      </c>
      <c r="CD8" s="180">
        <v>198807</v>
      </c>
      <c r="CE8" s="180"/>
      <c r="CF8" s="180">
        <v>367458</v>
      </c>
      <c r="CG8" s="180">
        <v>11617</v>
      </c>
      <c r="CH8" s="180">
        <v>168197</v>
      </c>
      <c r="CI8" s="180">
        <v>205188</v>
      </c>
      <c r="CJ8" s="180"/>
      <c r="CK8" s="180">
        <v>6736</v>
      </c>
      <c r="CL8" s="180"/>
      <c r="CM8" s="180"/>
      <c r="CN8" s="180"/>
      <c r="CO8" s="180"/>
      <c r="CP8" s="180"/>
      <c r="CQ8" s="180"/>
      <c r="CR8" s="180"/>
      <c r="CS8" s="180"/>
      <c r="CT8" s="180"/>
      <c r="CU8" s="180"/>
    </row>
    <row r="9" spans="1:99" x14ac:dyDescent="0.3">
      <c r="A9" s="155">
        <v>16</v>
      </c>
      <c r="B9" s="180" t="s">
        <v>197</v>
      </c>
      <c r="C9" s="180"/>
      <c r="D9" s="180">
        <v>923619</v>
      </c>
      <c r="E9" s="180">
        <v>1729895</v>
      </c>
      <c r="F9" s="180">
        <v>573634</v>
      </c>
      <c r="G9" s="180">
        <v>285385</v>
      </c>
      <c r="H9" s="180"/>
      <c r="I9" s="180">
        <v>9438683</v>
      </c>
      <c r="J9" s="180">
        <v>2273184</v>
      </c>
      <c r="K9" s="180">
        <v>19839192</v>
      </c>
      <c r="L9" s="180">
        <v>4945821</v>
      </c>
      <c r="M9" s="180">
        <v>27591634</v>
      </c>
      <c r="N9" s="180"/>
      <c r="O9" s="180">
        <v>213697544</v>
      </c>
      <c r="P9" s="180">
        <v>46166</v>
      </c>
      <c r="Q9" s="180">
        <v>207061</v>
      </c>
      <c r="R9" s="180">
        <v>1210070</v>
      </c>
      <c r="S9" s="180">
        <v>1028268</v>
      </c>
      <c r="T9" s="180">
        <v>2364224</v>
      </c>
      <c r="U9" s="180">
        <v>266722</v>
      </c>
      <c r="V9" s="180">
        <v>288257</v>
      </c>
      <c r="W9" s="180">
        <v>1657961</v>
      </c>
      <c r="X9" s="180">
        <v>72540727</v>
      </c>
      <c r="Y9" s="180">
        <v>764641000</v>
      </c>
      <c r="Z9" s="180">
        <v>5614067</v>
      </c>
      <c r="AA9" s="180">
        <v>610876</v>
      </c>
      <c r="AB9" s="180">
        <v>4434547</v>
      </c>
      <c r="AC9" s="180"/>
      <c r="AD9" s="180">
        <v>4467700</v>
      </c>
      <c r="AE9" s="180">
        <v>872636</v>
      </c>
      <c r="AF9" s="180">
        <v>38058555</v>
      </c>
      <c r="AG9" s="180">
        <v>7685389</v>
      </c>
      <c r="AH9" s="180">
        <v>1249920</v>
      </c>
      <c r="AI9" s="180">
        <v>11003006</v>
      </c>
      <c r="AJ9" s="180">
        <v>1324473</v>
      </c>
      <c r="AK9" s="180">
        <v>1707416</v>
      </c>
      <c r="AL9" s="180">
        <v>331295</v>
      </c>
      <c r="AM9" s="180"/>
      <c r="AN9" s="180">
        <v>562750</v>
      </c>
      <c r="AO9" s="180"/>
      <c r="AP9" s="180">
        <v>33070</v>
      </c>
      <c r="AQ9" s="180">
        <v>115661413</v>
      </c>
      <c r="AR9" s="180">
        <v>116730</v>
      </c>
      <c r="AS9" s="180">
        <v>708548</v>
      </c>
      <c r="AT9" s="180">
        <v>11978214</v>
      </c>
      <c r="AU9" s="180">
        <v>798656</v>
      </c>
      <c r="AV9" s="180">
        <v>616921</v>
      </c>
      <c r="AW9" s="180">
        <v>30399641</v>
      </c>
      <c r="AX9" s="180">
        <v>210538</v>
      </c>
      <c r="AY9" s="180">
        <v>6669376</v>
      </c>
      <c r="AZ9" s="180">
        <v>4602744</v>
      </c>
      <c r="BA9" s="180">
        <v>177028</v>
      </c>
      <c r="BB9" s="180">
        <v>181581</v>
      </c>
      <c r="BC9" s="180">
        <v>3393332</v>
      </c>
      <c r="BD9" s="180">
        <v>80363</v>
      </c>
      <c r="BE9" s="180">
        <v>14724379</v>
      </c>
      <c r="BF9" s="180">
        <v>2161338</v>
      </c>
      <c r="BG9" s="180">
        <v>257559</v>
      </c>
      <c r="BH9" s="180">
        <v>452641</v>
      </c>
      <c r="BI9" s="180">
        <v>2109372</v>
      </c>
      <c r="BJ9" s="180">
        <v>396841</v>
      </c>
      <c r="BK9" s="180">
        <v>256173</v>
      </c>
      <c r="BL9" s="180">
        <v>1357181</v>
      </c>
      <c r="BM9" s="180">
        <v>599018</v>
      </c>
      <c r="BN9" s="180">
        <v>10976150</v>
      </c>
      <c r="BO9" s="180">
        <v>12199936</v>
      </c>
      <c r="BP9" s="180">
        <v>248188509</v>
      </c>
      <c r="BQ9" s="180">
        <v>52193</v>
      </c>
      <c r="BR9" s="180"/>
      <c r="BS9" s="180">
        <v>457691</v>
      </c>
      <c r="BT9" s="180"/>
      <c r="BU9" s="180">
        <v>2352385</v>
      </c>
      <c r="BV9" s="180">
        <v>1994808</v>
      </c>
      <c r="BW9" s="180">
        <v>16867355</v>
      </c>
      <c r="BX9" s="180">
        <v>5590031</v>
      </c>
      <c r="BY9" s="180"/>
      <c r="BZ9" s="180">
        <v>4981126</v>
      </c>
      <c r="CA9" s="180">
        <v>442774</v>
      </c>
      <c r="CB9" s="180">
        <v>6390534</v>
      </c>
      <c r="CC9" s="180">
        <v>224848</v>
      </c>
      <c r="CD9" s="180">
        <v>1545031</v>
      </c>
      <c r="CE9" s="180"/>
      <c r="CF9" s="180">
        <v>8830529</v>
      </c>
      <c r="CG9" s="180">
        <v>12015722</v>
      </c>
      <c r="CH9" s="180">
        <v>1682480</v>
      </c>
      <c r="CI9" s="180">
        <v>3663444</v>
      </c>
      <c r="CJ9" s="180"/>
      <c r="CK9" s="180">
        <v>73062</v>
      </c>
      <c r="CL9" s="180"/>
      <c r="CM9" s="180"/>
      <c r="CN9" s="180"/>
      <c r="CO9" s="180"/>
      <c r="CP9" s="180"/>
      <c r="CQ9" s="180"/>
      <c r="CR9" s="180"/>
      <c r="CS9" s="180"/>
      <c r="CT9" s="180"/>
      <c r="CU9" s="180"/>
    </row>
    <row r="10" spans="1:99" x14ac:dyDescent="0.3">
      <c r="A10" s="155">
        <v>17</v>
      </c>
      <c r="B10" s="180" t="s">
        <v>200</v>
      </c>
      <c r="C10" s="180"/>
      <c r="D10" s="180">
        <v>0</v>
      </c>
      <c r="E10" s="180">
        <v>31900</v>
      </c>
      <c r="F10" s="180">
        <v>0</v>
      </c>
      <c r="G10" s="180">
        <v>0</v>
      </c>
      <c r="H10" s="180"/>
      <c r="I10" s="180">
        <v>0</v>
      </c>
      <c r="J10" s="180">
        <v>0</v>
      </c>
      <c r="K10" s="180">
        <v>285555</v>
      </c>
      <c r="L10" s="180">
        <v>0</v>
      </c>
      <c r="M10" s="180">
        <v>87686</v>
      </c>
      <c r="N10" s="180"/>
      <c r="O10" s="180">
        <v>17204014</v>
      </c>
      <c r="P10" s="180">
        <v>0</v>
      </c>
      <c r="Q10" s="180">
        <v>43024</v>
      </c>
      <c r="R10" s="180">
        <v>198956</v>
      </c>
      <c r="S10" s="180">
        <v>176734</v>
      </c>
      <c r="T10" s="180">
        <v>0</v>
      </c>
      <c r="U10" s="180">
        <v>0</v>
      </c>
      <c r="V10" s="180">
        <v>0</v>
      </c>
      <c r="W10" s="180">
        <v>0</v>
      </c>
      <c r="X10" s="180">
        <v>45000</v>
      </c>
      <c r="Y10" s="180">
        <v>4797000</v>
      </c>
      <c r="Z10" s="180">
        <v>0</v>
      </c>
      <c r="AA10" s="180">
        <v>3593</v>
      </c>
      <c r="AB10" s="180">
        <v>0</v>
      </c>
      <c r="AC10" s="180"/>
      <c r="AD10" s="180">
        <v>0</v>
      </c>
      <c r="AE10" s="180">
        <v>0</v>
      </c>
      <c r="AF10" s="180">
        <v>0</v>
      </c>
      <c r="AG10" s="180">
        <v>738766</v>
      </c>
      <c r="AH10" s="180">
        <v>0</v>
      </c>
      <c r="AI10" s="180">
        <v>0</v>
      </c>
      <c r="AJ10" s="180">
        <v>0</v>
      </c>
      <c r="AK10" s="180">
        <v>0</v>
      </c>
      <c r="AL10" s="180">
        <v>0</v>
      </c>
      <c r="AM10" s="180"/>
      <c r="AN10" s="180">
        <v>0</v>
      </c>
      <c r="AO10" s="180"/>
      <c r="AP10" s="180">
        <v>0</v>
      </c>
      <c r="AQ10" s="180">
        <v>3824686</v>
      </c>
      <c r="AR10" s="180">
        <v>0</v>
      </c>
      <c r="AS10" s="180">
        <v>0</v>
      </c>
      <c r="AT10" s="180">
        <v>1486235</v>
      </c>
      <c r="AU10" s="180">
        <v>0</v>
      </c>
      <c r="AV10" s="180">
        <v>0</v>
      </c>
      <c r="AW10" s="180">
        <v>0</v>
      </c>
      <c r="AX10" s="180">
        <v>61827</v>
      </c>
      <c r="AY10" s="180">
        <v>748123</v>
      </c>
      <c r="AZ10" s="180">
        <v>0</v>
      </c>
      <c r="BA10" s="180">
        <v>0</v>
      </c>
      <c r="BB10" s="180">
        <v>19017</v>
      </c>
      <c r="BC10" s="180">
        <v>895733</v>
      </c>
      <c r="BD10" s="180">
        <v>0</v>
      </c>
      <c r="BE10" s="180">
        <v>0</v>
      </c>
      <c r="BF10" s="180">
        <v>267706</v>
      </c>
      <c r="BG10" s="180">
        <v>0</v>
      </c>
      <c r="BH10" s="180">
        <v>0</v>
      </c>
      <c r="BI10" s="180">
        <v>0</v>
      </c>
      <c r="BJ10" s="180">
        <v>65537</v>
      </c>
      <c r="BK10" s="180">
        <v>0</v>
      </c>
      <c r="BL10" s="180">
        <v>0</v>
      </c>
      <c r="BM10" s="180">
        <v>0</v>
      </c>
      <c r="BN10" s="180">
        <v>329832</v>
      </c>
      <c r="BO10" s="180">
        <v>35554</v>
      </c>
      <c r="BP10" s="180">
        <v>0</v>
      </c>
      <c r="BQ10" s="180">
        <v>0</v>
      </c>
      <c r="BR10" s="180"/>
      <c r="BS10" s="180">
        <v>0</v>
      </c>
      <c r="BT10" s="180"/>
      <c r="BU10" s="180">
        <v>247150</v>
      </c>
      <c r="BV10" s="180">
        <v>0</v>
      </c>
      <c r="BW10" s="180">
        <v>456961</v>
      </c>
      <c r="BX10" s="180">
        <v>332293</v>
      </c>
      <c r="BY10" s="180"/>
      <c r="BZ10" s="180">
        <v>0</v>
      </c>
      <c r="CA10" s="180">
        <v>35375</v>
      </c>
      <c r="CB10" s="180">
        <v>639148</v>
      </c>
      <c r="CC10" s="180">
        <v>0</v>
      </c>
      <c r="CD10" s="180">
        <v>0</v>
      </c>
      <c r="CE10" s="180"/>
      <c r="CF10" s="180">
        <v>0</v>
      </c>
      <c r="CG10" s="180">
        <v>9071</v>
      </c>
      <c r="CH10" s="180">
        <v>0</v>
      </c>
      <c r="CI10" s="180">
        <v>0</v>
      </c>
      <c r="CJ10" s="180"/>
      <c r="CK10" s="180">
        <v>22628</v>
      </c>
      <c r="CL10" s="180"/>
      <c r="CM10" s="180"/>
      <c r="CN10" s="180"/>
      <c r="CO10" s="180"/>
      <c r="CP10" s="180"/>
      <c r="CQ10" s="180"/>
      <c r="CR10" s="180"/>
      <c r="CS10" s="180"/>
      <c r="CT10" s="180"/>
      <c r="CU10" s="180"/>
    </row>
    <row r="11" spans="1:99" x14ac:dyDescent="0.3">
      <c r="A11" s="155">
        <v>20</v>
      </c>
      <c r="B11" s="180" t="s">
        <v>201</v>
      </c>
      <c r="C11" s="180"/>
      <c r="D11" s="180">
        <v>0</v>
      </c>
      <c r="E11" s="180">
        <v>263645</v>
      </c>
      <c r="F11" s="180">
        <v>11298</v>
      </c>
      <c r="G11" s="180">
        <v>0</v>
      </c>
      <c r="H11" s="180"/>
      <c r="I11" s="180">
        <v>0</v>
      </c>
      <c r="J11" s="180">
        <v>0</v>
      </c>
      <c r="K11" s="180">
        <v>461598</v>
      </c>
      <c r="L11" s="180">
        <v>0</v>
      </c>
      <c r="M11" s="180">
        <v>6928065</v>
      </c>
      <c r="N11" s="180"/>
      <c r="O11" s="180">
        <v>30018460</v>
      </c>
      <c r="P11" s="180">
        <v>0</v>
      </c>
      <c r="Q11" s="180">
        <v>0</v>
      </c>
      <c r="R11" s="180">
        <v>20420</v>
      </c>
      <c r="S11" s="180">
        <v>20750</v>
      </c>
      <c r="T11" s="180">
        <v>0</v>
      </c>
      <c r="U11" s="180">
        <v>0</v>
      </c>
      <c r="V11" s="180">
        <v>69550</v>
      </c>
      <c r="W11" s="180">
        <v>0</v>
      </c>
      <c r="X11" s="180">
        <v>5111813</v>
      </c>
      <c r="Y11" s="180">
        <v>32597000</v>
      </c>
      <c r="Z11" s="180">
        <v>0</v>
      </c>
      <c r="AA11" s="180">
        <v>0</v>
      </c>
      <c r="AB11" s="180">
        <v>0</v>
      </c>
      <c r="AC11" s="180"/>
      <c r="AD11" s="180">
        <v>385238</v>
      </c>
      <c r="AE11" s="180">
        <v>0</v>
      </c>
      <c r="AF11" s="180">
        <v>2500000</v>
      </c>
      <c r="AG11" s="180">
        <v>787782</v>
      </c>
      <c r="AH11" s="180">
        <v>0</v>
      </c>
      <c r="AI11" s="180">
        <v>195700</v>
      </c>
      <c r="AJ11" s="180">
        <v>0</v>
      </c>
      <c r="AK11" s="180">
        <v>0</v>
      </c>
      <c r="AL11" s="180">
        <v>0</v>
      </c>
      <c r="AM11" s="180"/>
      <c r="AN11" s="180">
        <v>0</v>
      </c>
      <c r="AO11" s="180"/>
      <c r="AP11" s="180">
        <v>0</v>
      </c>
      <c r="AQ11" s="180">
        <v>16061757</v>
      </c>
      <c r="AR11" s="180">
        <v>0</v>
      </c>
      <c r="AS11" s="180">
        <v>0</v>
      </c>
      <c r="AT11" s="180">
        <v>654912</v>
      </c>
      <c r="AU11" s="180">
        <v>0</v>
      </c>
      <c r="AV11" s="180">
        <v>0</v>
      </c>
      <c r="AW11" s="180">
        <v>1433803</v>
      </c>
      <c r="AX11" s="180">
        <v>0</v>
      </c>
      <c r="AY11" s="180">
        <v>1213739</v>
      </c>
      <c r="AZ11" s="180">
        <v>242395</v>
      </c>
      <c r="BA11" s="180">
        <v>0</v>
      </c>
      <c r="BB11" s="180">
        <v>0</v>
      </c>
      <c r="BC11" s="180">
        <v>0</v>
      </c>
      <c r="BD11" s="180">
        <v>0</v>
      </c>
      <c r="BE11" s="180">
        <v>441595</v>
      </c>
      <c r="BF11" s="180">
        <v>0</v>
      </c>
      <c r="BG11" s="180">
        <v>0</v>
      </c>
      <c r="BH11" s="180">
        <v>0</v>
      </c>
      <c r="BI11" s="180">
        <v>0</v>
      </c>
      <c r="BJ11" s="180">
        <v>0</v>
      </c>
      <c r="BK11" s="180">
        <v>0</v>
      </c>
      <c r="BL11" s="180">
        <v>0</v>
      </c>
      <c r="BM11" s="180">
        <v>0</v>
      </c>
      <c r="BN11" s="180">
        <v>0</v>
      </c>
      <c r="BO11" s="180">
        <v>0</v>
      </c>
      <c r="BP11" s="180">
        <v>12125032</v>
      </c>
      <c r="BQ11" s="180">
        <v>0</v>
      </c>
      <c r="BR11" s="180"/>
      <c r="BS11" s="180">
        <v>30000</v>
      </c>
      <c r="BT11" s="180"/>
      <c r="BU11" s="180">
        <v>0</v>
      </c>
      <c r="BV11" s="180">
        <v>0</v>
      </c>
      <c r="BW11" s="180">
        <v>0</v>
      </c>
      <c r="BX11" s="180">
        <v>140000</v>
      </c>
      <c r="BY11" s="180"/>
      <c r="BZ11" s="180">
        <v>60182</v>
      </c>
      <c r="CA11" s="180">
        <v>0</v>
      </c>
      <c r="CB11" s="180">
        <v>67363</v>
      </c>
      <c r="CC11" s="180">
        <v>0</v>
      </c>
      <c r="CD11" s="180">
        <v>99612</v>
      </c>
      <c r="CE11" s="180"/>
      <c r="CF11" s="180">
        <v>0</v>
      </c>
      <c r="CG11" s="180">
        <v>336500</v>
      </c>
      <c r="CH11" s="180">
        <v>0</v>
      </c>
      <c r="CI11" s="180">
        <v>0</v>
      </c>
      <c r="CJ11" s="180"/>
      <c r="CK11" s="180">
        <v>0</v>
      </c>
      <c r="CL11" s="180"/>
      <c r="CM11" s="180"/>
      <c r="CN11" s="180"/>
      <c r="CO11" s="180"/>
      <c r="CP11" s="180"/>
      <c r="CQ11" s="180"/>
      <c r="CR11" s="180"/>
      <c r="CS11" s="180"/>
      <c r="CT11" s="180"/>
      <c r="CU11" s="180"/>
    </row>
    <row r="12" spans="1:99" x14ac:dyDescent="0.3">
      <c r="A12" s="155">
        <v>22</v>
      </c>
      <c r="B12" s="180" t="s">
        <v>203</v>
      </c>
      <c r="C12" s="180"/>
      <c r="D12" s="180">
        <v>0</v>
      </c>
      <c r="E12" s="180">
        <v>0</v>
      </c>
      <c r="F12" s="180">
        <v>0</v>
      </c>
      <c r="G12" s="180">
        <v>0</v>
      </c>
      <c r="H12" s="180"/>
      <c r="I12" s="180">
        <v>-2078204</v>
      </c>
      <c r="J12" s="180">
        <v>30030</v>
      </c>
      <c r="K12" s="180">
        <v>141760</v>
      </c>
      <c r="L12" s="180">
        <v>0</v>
      </c>
      <c r="M12" s="180">
        <v>0</v>
      </c>
      <c r="N12" s="180"/>
      <c r="O12" s="180">
        <v>680116</v>
      </c>
      <c r="P12" s="180">
        <v>0</v>
      </c>
      <c r="Q12" s="180">
        <v>0</v>
      </c>
      <c r="R12" s="180">
        <v>0</v>
      </c>
      <c r="S12" s="180">
        <v>3051</v>
      </c>
      <c r="T12" s="180">
        <v>0</v>
      </c>
      <c r="U12" s="180">
        <v>0</v>
      </c>
      <c r="V12" s="180">
        <v>0</v>
      </c>
      <c r="W12" s="180">
        <v>0</v>
      </c>
      <c r="X12" s="180">
        <v>53634</v>
      </c>
      <c r="Y12" s="180">
        <v>15005000</v>
      </c>
      <c r="Z12" s="180">
        <v>0</v>
      </c>
      <c r="AA12" s="180">
        <v>0</v>
      </c>
      <c r="AB12" s="180">
        <v>44541</v>
      </c>
      <c r="AC12" s="180"/>
      <c r="AD12" s="180">
        <v>51077</v>
      </c>
      <c r="AE12" s="180">
        <v>0</v>
      </c>
      <c r="AF12" s="180">
        <v>0</v>
      </c>
      <c r="AG12" s="180">
        <v>0</v>
      </c>
      <c r="AH12" s="180">
        <v>0</v>
      </c>
      <c r="AI12" s="180">
        <v>10905</v>
      </c>
      <c r="AJ12" s="180">
        <v>-117866</v>
      </c>
      <c r="AK12" s="180">
        <v>34832</v>
      </c>
      <c r="AL12" s="180">
        <v>0</v>
      </c>
      <c r="AM12" s="180"/>
      <c r="AN12" s="180">
        <v>0</v>
      </c>
      <c r="AO12" s="180"/>
      <c r="AP12" s="180">
        <v>0</v>
      </c>
      <c r="AQ12" s="180">
        <v>534569</v>
      </c>
      <c r="AR12" s="180">
        <v>0</v>
      </c>
      <c r="AS12" s="180">
        <v>0</v>
      </c>
      <c r="AT12" s="180">
        <v>0</v>
      </c>
      <c r="AU12" s="180">
        <v>0</v>
      </c>
      <c r="AV12" s="180">
        <v>0</v>
      </c>
      <c r="AW12" s="180">
        <v>0</v>
      </c>
      <c r="AX12" s="180">
        <v>0</v>
      </c>
      <c r="AY12" s="180">
        <v>0</v>
      </c>
      <c r="AZ12" s="180">
        <v>950</v>
      </c>
      <c r="BA12" s="180">
        <v>0</v>
      </c>
      <c r="BB12" s="180">
        <v>0</v>
      </c>
      <c r="BC12" s="180">
        <v>0</v>
      </c>
      <c r="BD12" s="180">
        <v>0</v>
      </c>
      <c r="BE12" s="180">
        <v>452841</v>
      </c>
      <c r="BF12" s="180">
        <v>0</v>
      </c>
      <c r="BG12" s="180">
        <v>0</v>
      </c>
      <c r="BH12" s="180">
        <v>0</v>
      </c>
      <c r="BI12" s="180">
        <v>0</v>
      </c>
      <c r="BJ12" s="180">
        <v>0</v>
      </c>
      <c r="BK12" s="180">
        <v>0</v>
      </c>
      <c r="BL12" s="180">
        <v>0</v>
      </c>
      <c r="BM12" s="180">
        <v>0</v>
      </c>
      <c r="BN12" s="180">
        <v>0</v>
      </c>
      <c r="BO12" s="180">
        <v>0</v>
      </c>
      <c r="BP12" s="180">
        <v>2542976</v>
      </c>
      <c r="BQ12" s="180">
        <v>0</v>
      </c>
      <c r="BR12" s="180"/>
      <c r="BS12" s="180">
        <v>0</v>
      </c>
      <c r="BT12" s="180"/>
      <c r="BU12" s="180">
        <v>0</v>
      </c>
      <c r="BV12" s="180">
        <v>240000</v>
      </c>
      <c r="BW12" s="180">
        <v>0</v>
      </c>
      <c r="BX12" s="180">
        <v>109404</v>
      </c>
      <c r="BY12" s="180"/>
      <c r="BZ12" s="180">
        <v>0</v>
      </c>
      <c r="CA12" s="180">
        <v>0</v>
      </c>
      <c r="CB12" s="180">
        <v>0</v>
      </c>
      <c r="CC12" s="180">
        <v>0</v>
      </c>
      <c r="CD12" s="180">
        <v>0</v>
      </c>
      <c r="CE12" s="180"/>
      <c r="CF12" s="180">
        <v>3495</v>
      </c>
      <c r="CG12" s="180">
        <v>0</v>
      </c>
      <c r="CH12" s="180">
        <v>0</v>
      </c>
      <c r="CI12" s="180">
        <v>0</v>
      </c>
      <c r="CJ12" s="180"/>
      <c r="CK12" s="180">
        <v>0</v>
      </c>
      <c r="CL12" s="180"/>
      <c r="CM12" s="180"/>
      <c r="CN12" s="180"/>
      <c r="CO12" s="180"/>
      <c r="CP12" s="180"/>
      <c r="CQ12" s="180"/>
      <c r="CR12" s="180"/>
      <c r="CS12" s="180"/>
      <c r="CT12" s="180"/>
      <c r="CU12" s="180"/>
    </row>
    <row r="13" spans="1:99" x14ac:dyDescent="0.3">
      <c r="A13" s="155">
        <v>23</v>
      </c>
      <c r="B13" s="180" t="s">
        <v>206</v>
      </c>
      <c r="C13" s="180"/>
      <c r="D13" s="180">
        <v>298814</v>
      </c>
      <c r="E13" s="180">
        <v>175789</v>
      </c>
      <c r="F13" s="180">
        <v>188756</v>
      </c>
      <c r="G13" s="180">
        <v>69343</v>
      </c>
      <c r="H13" s="180"/>
      <c r="I13" s="180">
        <v>178579</v>
      </c>
      <c r="J13" s="180">
        <v>157319</v>
      </c>
      <c r="K13" s="180">
        <v>89026</v>
      </c>
      <c r="L13" s="180">
        <v>1663638</v>
      </c>
      <c r="M13" s="180">
        <v>-2217165</v>
      </c>
      <c r="N13" s="180"/>
      <c r="O13" s="180">
        <v>30415294</v>
      </c>
      <c r="P13" s="180">
        <v>4435</v>
      </c>
      <c r="Q13" s="180">
        <v>77831</v>
      </c>
      <c r="R13" s="180">
        <v>259459</v>
      </c>
      <c r="S13" s="180">
        <v>214844</v>
      </c>
      <c r="T13" s="180">
        <v>170626</v>
      </c>
      <c r="U13" s="180">
        <v>108416</v>
      </c>
      <c r="V13" s="180">
        <v>80365</v>
      </c>
      <c r="W13" s="180">
        <v>-74503</v>
      </c>
      <c r="X13" s="180">
        <v>1937965</v>
      </c>
      <c r="Y13" s="180">
        <v>15470000</v>
      </c>
      <c r="Z13" s="180">
        <v>-309870</v>
      </c>
      <c r="AA13" s="180">
        <v>96464</v>
      </c>
      <c r="AB13" s="180">
        <v>402976</v>
      </c>
      <c r="AC13" s="180"/>
      <c r="AD13" s="180">
        <v>-331208</v>
      </c>
      <c r="AE13" s="180">
        <v>206966</v>
      </c>
      <c r="AF13" s="180">
        <v>1923004</v>
      </c>
      <c r="AG13" s="180">
        <v>9237</v>
      </c>
      <c r="AH13" s="180">
        <v>-526968</v>
      </c>
      <c r="AI13" s="180">
        <v>845107</v>
      </c>
      <c r="AJ13" s="180">
        <v>97283</v>
      </c>
      <c r="AK13" s="180">
        <v>148874</v>
      </c>
      <c r="AL13" s="180">
        <v>-87183</v>
      </c>
      <c r="AM13" s="180"/>
      <c r="AN13" s="180">
        <v>6204</v>
      </c>
      <c r="AO13" s="180"/>
      <c r="AP13" s="180">
        <v>8274</v>
      </c>
      <c r="AQ13" s="180">
        <v>4960664</v>
      </c>
      <c r="AR13" s="180">
        <v>-13043</v>
      </c>
      <c r="AS13" s="180">
        <v>143896</v>
      </c>
      <c r="AT13" s="180">
        <v>2294732</v>
      </c>
      <c r="AU13" s="180">
        <v>57146</v>
      </c>
      <c r="AV13" s="180">
        <v>177246</v>
      </c>
      <c r="AW13" s="180">
        <v>4477692</v>
      </c>
      <c r="AX13" s="180">
        <v>-32545</v>
      </c>
      <c r="AY13" s="180">
        <v>1330346</v>
      </c>
      <c r="AZ13" s="180">
        <v>541360</v>
      </c>
      <c r="BA13" s="180">
        <v>25725</v>
      </c>
      <c r="BB13" s="180">
        <v>88924</v>
      </c>
      <c r="BC13" s="180">
        <v>199701</v>
      </c>
      <c r="BD13" s="180">
        <v>6591</v>
      </c>
      <c r="BE13" s="180">
        <v>269348</v>
      </c>
      <c r="BF13" s="180">
        <v>1001860</v>
      </c>
      <c r="BG13" s="180">
        <v>-370591</v>
      </c>
      <c r="BH13" s="180">
        <v>96132</v>
      </c>
      <c r="BI13" s="180">
        <v>161036</v>
      </c>
      <c r="BJ13" s="180">
        <v>-17059</v>
      </c>
      <c r="BK13" s="180">
        <v>1224</v>
      </c>
      <c r="BL13" s="180">
        <v>184700</v>
      </c>
      <c r="BM13" s="180">
        <v>195239</v>
      </c>
      <c r="BN13" s="180">
        <v>1384433</v>
      </c>
      <c r="BO13" s="180">
        <v>-527810</v>
      </c>
      <c r="BP13" s="180">
        <v>18684165</v>
      </c>
      <c r="BQ13" s="180">
        <v>-4489</v>
      </c>
      <c r="BR13" s="180"/>
      <c r="BS13" s="180">
        <v>76075</v>
      </c>
      <c r="BT13" s="180"/>
      <c r="BU13" s="180">
        <v>641500</v>
      </c>
      <c r="BV13" s="180">
        <v>703109</v>
      </c>
      <c r="BW13" s="180">
        <v>-24051</v>
      </c>
      <c r="BX13" s="180">
        <v>-283085</v>
      </c>
      <c r="BY13" s="180"/>
      <c r="BZ13" s="180">
        <v>403353</v>
      </c>
      <c r="CA13" s="180">
        <v>184633</v>
      </c>
      <c r="CB13" s="180">
        <v>1484135</v>
      </c>
      <c r="CC13" s="180">
        <v>-73055</v>
      </c>
      <c r="CD13" s="180">
        <v>585795</v>
      </c>
      <c r="CE13" s="180"/>
      <c r="CF13" s="180">
        <v>722237</v>
      </c>
      <c r="CG13" s="180">
        <v>397328</v>
      </c>
      <c r="CH13" s="180">
        <v>-181566</v>
      </c>
      <c r="CI13" s="180">
        <v>447486</v>
      </c>
      <c r="CJ13" s="180"/>
      <c r="CK13" s="180">
        <v>32971</v>
      </c>
      <c r="CL13" s="180"/>
      <c r="CM13" s="180"/>
      <c r="CN13" s="180"/>
      <c r="CO13" s="180"/>
      <c r="CP13" s="180"/>
      <c r="CQ13" s="180"/>
      <c r="CR13" s="180"/>
      <c r="CS13" s="180"/>
      <c r="CT13" s="180"/>
      <c r="CU13" s="180"/>
    </row>
    <row r="14" spans="1:99" s="559" customFormat="1" x14ac:dyDescent="0.3">
      <c r="A14" s="558">
        <v>44</v>
      </c>
      <c r="B14" s="559" t="s">
        <v>908</v>
      </c>
      <c r="D14" s="559">
        <v>173425</v>
      </c>
      <c r="E14" s="559">
        <v>0</v>
      </c>
      <c r="F14" s="559">
        <v>1212933</v>
      </c>
      <c r="G14" s="559">
        <v>268445</v>
      </c>
      <c r="I14" s="559">
        <v>5472907</v>
      </c>
      <c r="J14" s="559">
        <v>0</v>
      </c>
      <c r="K14" s="559">
        <v>5398599</v>
      </c>
      <c r="L14" s="559">
        <v>0</v>
      </c>
      <c r="M14" s="559">
        <v>0</v>
      </c>
      <c r="O14" s="559">
        <v>278842314</v>
      </c>
      <c r="P14" s="559">
        <v>0</v>
      </c>
      <c r="Q14" s="559">
        <v>0</v>
      </c>
      <c r="R14" s="559">
        <v>0</v>
      </c>
      <c r="S14" s="559">
        <v>0</v>
      </c>
      <c r="T14" s="559">
        <v>0</v>
      </c>
      <c r="U14" s="559">
        <v>0</v>
      </c>
      <c r="V14" s="559">
        <v>186952</v>
      </c>
      <c r="W14" s="559">
        <v>2190999</v>
      </c>
      <c r="X14" s="559">
        <v>0</v>
      </c>
      <c r="Y14" s="559">
        <v>296314000</v>
      </c>
      <c r="Z14" s="559">
        <v>2463927</v>
      </c>
      <c r="AA14" s="559">
        <v>269879</v>
      </c>
      <c r="AB14" s="559">
        <v>0</v>
      </c>
      <c r="AD14" s="559">
        <v>4341052</v>
      </c>
      <c r="AE14" s="559">
        <v>664332</v>
      </c>
      <c r="AF14" s="559">
        <v>13472392</v>
      </c>
      <c r="AG14" s="559">
        <v>0</v>
      </c>
      <c r="AH14" s="559">
        <v>2925970</v>
      </c>
      <c r="AI14" s="559">
        <v>7231870</v>
      </c>
      <c r="AJ14" s="559">
        <v>1110657</v>
      </c>
      <c r="AK14" s="559">
        <v>913912</v>
      </c>
      <c r="AL14" s="559">
        <v>549674</v>
      </c>
      <c r="AN14" s="559">
        <v>2896948</v>
      </c>
      <c r="AP14" s="559">
        <v>0</v>
      </c>
      <c r="AQ14" s="559">
        <v>101345216</v>
      </c>
      <c r="AR14" s="559">
        <v>0</v>
      </c>
      <c r="AS14" s="559">
        <v>67946</v>
      </c>
      <c r="AT14" s="559">
        <v>10379472</v>
      </c>
      <c r="AU14" s="559">
        <v>1194770</v>
      </c>
      <c r="AV14" s="559">
        <v>0</v>
      </c>
      <c r="AW14" s="559">
        <v>0</v>
      </c>
      <c r="AX14" s="559">
        <v>114746</v>
      </c>
      <c r="AY14" s="559">
        <v>0</v>
      </c>
      <c r="AZ14" s="559">
        <v>0</v>
      </c>
      <c r="BA14" s="559">
        <v>371905</v>
      </c>
      <c r="BB14" s="559">
        <v>58762</v>
      </c>
      <c r="BC14" s="559">
        <v>3184899</v>
      </c>
      <c r="BD14" s="559">
        <v>0</v>
      </c>
      <c r="BE14" s="559">
        <v>0</v>
      </c>
      <c r="BF14" s="559">
        <v>1081854</v>
      </c>
      <c r="BG14" s="559">
        <v>0</v>
      </c>
      <c r="BH14" s="559">
        <v>0</v>
      </c>
      <c r="BI14" s="559">
        <v>1241954</v>
      </c>
      <c r="BJ14" s="559">
        <v>0</v>
      </c>
      <c r="BK14" s="559">
        <v>112033</v>
      </c>
      <c r="BL14" s="559">
        <v>2814352</v>
      </c>
      <c r="BM14" s="559">
        <v>415844</v>
      </c>
      <c r="BN14" s="559">
        <v>0</v>
      </c>
      <c r="BO14" s="559">
        <v>3635667</v>
      </c>
      <c r="BP14" s="559">
        <v>157523961</v>
      </c>
      <c r="BQ14" s="559">
        <v>0</v>
      </c>
      <c r="BS14" s="559">
        <v>528152</v>
      </c>
      <c r="BU14" s="559">
        <v>287930</v>
      </c>
      <c r="BV14" s="559">
        <v>0</v>
      </c>
      <c r="BW14" s="559">
        <v>6069017</v>
      </c>
      <c r="BX14" s="559">
        <v>993938</v>
      </c>
      <c r="BZ14" s="559">
        <v>3430425</v>
      </c>
      <c r="CA14" s="559">
        <v>191385</v>
      </c>
      <c r="CB14" s="559">
        <v>2966079</v>
      </c>
      <c r="CC14" s="559">
        <v>1180959</v>
      </c>
      <c r="CD14" s="559">
        <v>120328</v>
      </c>
      <c r="CF14" s="559">
        <v>5914426</v>
      </c>
      <c r="CG14" s="559">
        <v>0</v>
      </c>
      <c r="CH14" s="559">
        <v>1085297</v>
      </c>
      <c r="CI14" s="559">
        <v>0</v>
      </c>
      <c r="CK14" s="559">
        <v>39345</v>
      </c>
    </row>
    <row r="15" spans="1:99" s="559" customFormat="1" x14ac:dyDescent="0.3">
      <c r="A15" s="558">
        <v>45</v>
      </c>
      <c r="B15" s="559" t="s">
        <v>909</v>
      </c>
      <c r="D15" s="559">
        <v>3003</v>
      </c>
      <c r="E15" s="559">
        <v>0</v>
      </c>
      <c r="F15" s="559">
        <v>20038</v>
      </c>
      <c r="G15" s="559">
        <v>193296</v>
      </c>
      <c r="I15" s="559">
        <v>389744</v>
      </c>
      <c r="J15" s="559">
        <v>0</v>
      </c>
      <c r="K15" s="559">
        <v>2391171</v>
      </c>
      <c r="L15" s="559">
        <v>0</v>
      </c>
      <c r="M15" s="559">
        <v>0</v>
      </c>
      <c r="O15" s="559">
        <v>16921041</v>
      </c>
      <c r="P15" s="559">
        <v>0</v>
      </c>
      <c r="Q15" s="559">
        <v>0</v>
      </c>
      <c r="R15" s="559">
        <v>0</v>
      </c>
      <c r="S15" s="559">
        <v>0</v>
      </c>
      <c r="T15" s="559">
        <v>0</v>
      </c>
      <c r="U15" s="559">
        <v>0</v>
      </c>
      <c r="V15" s="559">
        <v>9724</v>
      </c>
      <c r="W15" s="559">
        <v>252246</v>
      </c>
      <c r="X15" s="559">
        <v>0</v>
      </c>
      <c r="Y15" s="559">
        <v>277362000</v>
      </c>
      <c r="Z15" s="559">
        <v>1336366</v>
      </c>
      <c r="AA15" s="559">
        <v>5301</v>
      </c>
      <c r="AB15" s="559">
        <v>0</v>
      </c>
      <c r="AD15" s="559">
        <v>293554</v>
      </c>
      <c r="AE15" s="559">
        <v>44450</v>
      </c>
      <c r="AF15" s="559">
        <v>9141806</v>
      </c>
      <c r="AG15" s="559">
        <v>0</v>
      </c>
      <c r="AH15" s="559">
        <v>0</v>
      </c>
      <c r="AI15" s="559">
        <v>653635</v>
      </c>
      <c r="AJ15" s="559">
        <v>70777</v>
      </c>
      <c r="AK15" s="559">
        <v>51165</v>
      </c>
      <c r="AL15" s="559">
        <v>80593</v>
      </c>
      <c r="AN15" s="559">
        <v>141053</v>
      </c>
      <c r="AP15" s="559">
        <v>0</v>
      </c>
      <c r="AQ15" s="559">
        <v>4931108</v>
      </c>
      <c r="AR15" s="559">
        <v>0</v>
      </c>
      <c r="AS15" s="559">
        <v>0</v>
      </c>
      <c r="AT15" s="559">
        <v>681574</v>
      </c>
      <c r="AU15" s="559">
        <v>69232</v>
      </c>
      <c r="AV15" s="559">
        <v>0</v>
      </c>
      <c r="AW15" s="559">
        <v>0</v>
      </c>
      <c r="AX15" s="559">
        <v>47154</v>
      </c>
      <c r="AY15" s="559">
        <v>0</v>
      </c>
      <c r="AZ15" s="559">
        <v>0</v>
      </c>
      <c r="BA15" s="559">
        <v>11624</v>
      </c>
      <c r="BB15" s="559">
        <v>0</v>
      </c>
      <c r="BC15" s="559">
        <v>244899</v>
      </c>
      <c r="BD15" s="559">
        <v>0</v>
      </c>
      <c r="BE15" s="559">
        <v>0</v>
      </c>
      <c r="BF15" s="559">
        <v>246440</v>
      </c>
      <c r="BG15" s="559">
        <v>0</v>
      </c>
      <c r="BH15" s="559">
        <v>0</v>
      </c>
      <c r="BI15" s="559">
        <v>121894</v>
      </c>
      <c r="BJ15" s="559">
        <v>0</v>
      </c>
      <c r="BK15" s="559">
        <v>37260</v>
      </c>
      <c r="BL15" s="559">
        <v>2154669</v>
      </c>
      <c r="BM15" s="559">
        <v>81505</v>
      </c>
      <c r="BN15" s="559">
        <v>0</v>
      </c>
      <c r="BO15" s="559">
        <v>1995184</v>
      </c>
      <c r="BP15" s="559">
        <v>40944643</v>
      </c>
      <c r="BQ15" s="559">
        <v>0</v>
      </c>
      <c r="BS15" s="559">
        <v>31971</v>
      </c>
      <c r="BU15" s="559">
        <v>0</v>
      </c>
      <c r="BV15" s="559">
        <v>0</v>
      </c>
      <c r="BW15" s="559">
        <v>1774552</v>
      </c>
      <c r="BX15" s="559">
        <v>171004</v>
      </c>
      <c r="BZ15" s="559">
        <v>288665</v>
      </c>
      <c r="CA15" s="559">
        <v>9910</v>
      </c>
      <c r="CB15" s="559">
        <v>193120</v>
      </c>
      <c r="CC15" s="559">
        <v>653</v>
      </c>
      <c r="CD15" s="559">
        <v>1553</v>
      </c>
      <c r="CF15" s="559">
        <v>490187</v>
      </c>
      <c r="CG15" s="559">
        <v>0</v>
      </c>
      <c r="CH15" s="559">
        <v>109321</v>
      </c>
      <c r="CI15" s="559">
        <v>0</v>
      </c>
      <c r="CK15" s="559">
        <v>20129</v>
      </c>
    </row>
    <row r="16" spans="1:99" s="559" customFormat="1" x14ac:dyDescent="0.3">
      <c r="A16" s="558">
        <v>47</v>
      </c>
      <c r="B16" s="559" t="s">
        <v>910</v>
      </c>
      <c r="D16" s="559">
        <v>0</v>
      </c>
      <c r="E16" s="559">
        <v>0</v>
      </c>
      <c r="F16" s="559">
        <v>0</v>
      </c>
      <c r="G16" s="559">
        <v>0</v>
      </c>
      <c r="I16" s="559">
        <v>0</v>
      </c>
      <c r="J16" s="559">
        <v>0</v>
      </c>
      <c r="K16" s="559">
        <v>0</v>
      </c>
      <c r="L16" s="559">
        <v>0</v>
      </c>
      <c r="M16" s="559">
        <v>0</v>
      </c>
      <c r="O16" s="559">
        <v>0</v>
      </c>
      <c r="P16" s="559">
        <v>0</v>
      </c>
      <c r="Q16" s="559">
        <v>0</v>
      </c>
      <c r="R16" s="559">
        <v>0</v>
      </c>
      <c r="S16" s="559">
        <v>0</v>
      </c>
      <c r="T16" s="559">
        <v>0</v>
      </c>
      <c r="U16" s="559">
        <v>0</v>
      </c>
      <c r="V16" s="559">
        <v>0</v>
      </c>
      <c r="W16" s="559">
        <v>0</v>
      </c>
      <c r="X16" s="559">
        <v>0</v>
      </c>
      <c r="Y16" s="559">
        <v>0</v>
      </c>
      <c r="Z16" s="559">
        <v>4880810</v>
      </c>
      <c r="AA16" s="559">
        <v>0</v>
      </c>
      <c r="AB16" s="559">
        <v>0</v>
      </c>
      <c r="AD16" s="559">
        <v>0</v>
      </c>
      <c r="AE16" s="559">
        <v>0</v>
      </c>
      <c r="AF16" s="559">
        <v>8449949</v>
      </c>
      <c r="AG16" s="559">
        <v>0</v>
      </c>
      <c r="AH16" s="559">
        <v>0</v>
      </c>
      <c r="AI16" s="559">
        <v>0</v>
      </c>
      <c r="AJ16" s="559">
        <v>0</v>
      </c>
      <c r="AK16" s="559">
        <v>0</v>
      </c>
      <c r="AL16" s="559">
        <v>0</v>
      </c>
      <c r="AN16" s="559">
        <v>0</v>
      </c>
      <c r="AP16" s="559">
        <v>0</v>
      </c>
      <c r="AQ16" s="559">
        <v>107991281</v>
      </c>
      <c r="AR16" s="559">
        <v>0</v>
      </c>
      <c r="AS16" s="559">
        <v>0</v>
      </c>
      <c r="AT16" s="559">
        <v>0</v>
      </c>
      <c r="AU16" s="559">
        <v>0</v>
      </c>
      <c r="AV16" s="559">
        <v>0</v>
      </c>
      <c r="AW16" s="559">
        <v>6589266</v>
      </c>
      <c r="AX16" s="559">
        <v>0</v>
      </c>
      <c r="AY16" s="559">
        <v>0</v>
      </c>
      <c r="AZ16" s="559">
        <v>0</v>
      </c>
      <c r="BA16" s="559">
        <v>0</v>
      </c>
      <c r="BB16" s="559">
        <v>0</v>
      </c>
      <c r="BC16" s="559">
        <v>6067990</v>
      </c>
      <c r="BD16" s="559">
        <v>0</v>
      </c>
      <c r="BE16" s="559">
        <v>0</v>
      </c>
      <c r="BF16" s="559">
        <v>0</v>
      </c>
      <c r="BG16" s="559">
        <v>0</v>
      </c>
      <c r="BH16" s="559">
        <v>0</v>
      </c>
      <c r="BI16" s="559">
        <v>0</v>
      </c>
      <c r="BJ16" s="559">
        <v>0</v>
      </c>
      <c r="BK16" s="559">
        <v>0</v>
      </c>
      <c r="BL16" s="559">
        <v>4321892</v>
      </c>
      <c r="BM16" s="559">
        <v>0</v>
      </c>
      <c r="BN16" s="559">
        <v>0</v>
      </c>
      <c r="BO16" s="559">
        <v>0</v>
      </c>
      <c r="BP16" s="559">
        <v>0</v>
      </c>
      <c r="BQ16" s="559">
        <v>0</v>
      </c>
      <c r="BS16" s="559">
        <v>0</v>
      </c>
      <c r="BU16" s="559">
        <v>0</v>
      </c>
      <c r="BV16" s="559">
        <v>0</v>
      </c>
      <c r="BW16" s="559">
        <v>0</v>
      </c>
      <c r="BX16" s="559">
        <v>2830935</v>
      </c>
      <c r="BZ16" s="559">
        <v>0</v>
      </c>
      <c r="CA16" s="559">
        <v>0</v>
      </c>
      <c r="CB16" s="559">
        <v>0</v>
      </c>
      <c r="CC16" s="559">
        <v>0</v>
      </c>
      <c r="CD16" s="559">
        <v>0</v>
      </c>
      <c r="CF16" s="559">
        <v>0</v>
      </c>
      <c r="CG16" s="559">
        <v>0</v>
      </c>
      <c r="CH16" s="559">
        <v>8112122</v>
      </c>
      <c r="CI16" s="559">
        <v>0</v>
      </c>
      <c r="CK16" s="559">
        <v>0</v>
      </c>
    </row>
    <row r="17" spans="1:99" s="559" customFormat="1" x14ac:dyDescent="0.3">
      <c r="A17" s="558">
        <v>48</v>
      </c>
      <c r="B17" s="559" t="s">
        <v>115</v>
      </c>
      <c r="D17" s="559">
        <v>0</v>
      </c>
      <c r="E17" s="559">
        <v>0</v>
      </c>
      <c r="F17" s="559">
        <v>0</v>
      </c>
      <c r="G17" s="559">
        <v>0</v>
      </c>
      <c r="I17" s="559">
        <v>0</v>
      </c>
      <c r="J17" s="559">
        <v>0</v>
      </c>
      <c r="K17" s="559">
        <v>0</v>
      </c>
      <c r="L17" s="559">
        <v>0</v>
      </c>
      <c r="M17" s="559">
        <v>0</v>
      </c>
      <c r="O17" s="559">
        <v>0</v>
      </c>
      <c r="P17" s="559">
        <v>0</v>
      </c>
      <c r="Q17" s="559">
        <v>0</v>
      </c>
      <c r="R17" s="559">
        <v>0</v>
      </c>
      <c r="S17" s="559">
        <v>0</v>
      </c>
      <c r="T17" s="559">
        <v>0</v>
      </c>
      <c r="U17" s="559">
        <v>0</v>
      </c>
      <c r="V17" s="559">
        <v>0</v>
      </c>
      <c r="W17" s="559">
        <v>0</v>
      </c>
      <c r="X17" s="559">
        <v>0</v>
      </c>
      <c r="Y17" s="559">
        <v>0</v>
      </c>
      <c r="Z17" s="559">
        <v>460776</v>
      </c>
      <c r="AA17" s="559">
        <v>0</v>
      </c>
      <c r="AB17" s="559">
        <v>0</v>
      </c>
      <c r="AD17" s="559">
        <v>0</v>
      </c>
      <c r="AE17" s="559">
        <v>0</v>
      </c>
      <c r="AF17" s="559">
        <v>2511038</v>
      </c>
      <c r="AG17" s="559">
        <v>0</v>
      </c>
      <c r="AH17" s="559">
        <v>0</v>
      </c>
      <c r="AI17" s="559">
        <v>0</v>
      </c>
      <c r="AJ17" s="559">
        <v>0</v>
      </c>
      <c r="AK17" s="559">
        <v>0</v>
      </c>
      <c r="AL17" s="559">
        <v>0</v>
      </c>
      <c r="AN17" s="559">
        <v>0</v>
      </c>
      <c r="AP17" s="559">
        <v>0</v>
      </c>
      <c r="AQ17" s="559">
        <v>12400721</v>
      </c>
      <c r="AR17" s="559">
        <v>0</v>
      </c>
      <c r="AS17" s="559">
        <v>0</v>
      </c>
      <c r="AT17" s="559">
        <v>0</v>
      </c>
      <c r="AU17" s="559">
        <v>0</v>
      </c>
      <c r="AV17" s="559">
        <v>0</v>
      </c>
      <c r="AW17" s="559">
        <v>948202</v>
      </c>
      <c r="AX17" s="559">
        <v>0</v>
      </c>
      <c r="AY17" s="559">
        <v>0</v>
      </c>
      <c r="AZ17" s="559">
        <v>0</v>
      </c>
      <c r="BA17" s="559">
        <v>0</v>
      </c>
      <c r="BB17" s="559">
        <v>0</v>
      </c>
      <c r="BC17" s="559">
        <v>514536</v>
      </c>
      <c r="BD17" s="559">
        <v>0</v>
      </c>
      <c r="BE17" s="559">
        <v>0</v>
      </c>
      <c r="BF17" s="559">
        <v>0</v>
      </c>
      <c r="BG17" s="559">
        <v>0</v>
      </c>
      <c r="BH17" s="559">
        <v>0</v>
      </c>
      <c r="BI17" s="559">
        <v>0</v>
      </c>
      <c r="BJ17" s="559">
        <v>0</v>
      </c>
      <c r="BK17" s="559">
        <v>0</v>
      </c>
      <c r="BL17" s="559">
        <v>230258</v>
      </c>
      <c r="BM17" s="559">
        <v>0</v>
      </c>
      <c r="BN17" s="559">
        <v>0</v>
      </c>
      <c r="BO17" s="559">
        <v>0</v>
      </c>
      <c r="BP17" s="559">
        <v>0</v>
      </c>
      <c r="BQ17" s="559">
        <v>0</v>
      </c>
      <c r="BS17" s="559">
        <v>0</v>
      </c>
      <c r="BU17" s="559">
        <v>0</v>
      </c>
      <c r="BV17" s="559">
        <v>0</v>
      </c>
      <c r="BW17" s="559">
        <v>0</v>
      </c>
      <c r="BX17" s="559">
        <v>1109500</v>
      </c>
      <c r="BZ17" s="559">
        <v>0</v>
      </c>
      <c r="CA17" s="559">
        <v>0</v>
      </c>
      <c r="CB17" s="559">
        <v>0</v>
      </c>
      <c r="CC17" s="559">
        <v>0</v>
      </c>
      <c r="CD17" s="559">
        <v>0</v>
      </c>
      <c r="CF17" s="559">
        <v>0</v>
      </c>
      <c r="CG17" s="559">
        <v>0</v>
      </c>
      <c r="CH17" s="559">
        <v>460223</v>
      </c>
      <c r="CI17" s="559">
        <v>0</v>
      </c>
      <c r="CK17" s="559">
        <v>0</v>
      </c>
    </row>
    <row r="18" spans="1:99" x14ac:dyDescent="0.3">
      <c r="A18" s="155">
        <v>49</v>
      </c>
      <c r="B18" s="180" t="s">
        <v>219</v>
      </c>
      <c r="C18" s="180"/>
      <c r="D18" s="180">
        <v>130198</v>
      </c>
      <c r="E18" s="180">
        <v>0</v>
      </c>
      <c r="F18" s="180">
        <v>98050</v>
      </c>
      <c r="G18" s="180">
        <v>31261</v>
      </c>
      <c r="H18" s="180"/>
      <c r="I18" s="180">
        <v>426504</v>
      </c>
      <c r="J18" s="180">
        <v>0</v>
      </c>
      <c r="K18" s="180">
        <v>2028260</v>
      </c>
      <c r="L18" s="180">
        <v>0</v>
      </c>
      <c r="M18" s="180">
        <v>0</v>
      </c>
      <c r="N18" s="180"/>
      <c r="O18" s="180">
        <v>20267903</v>
      </c>
      <c r="P18" s="180">
        <v>0</v>
      </c>
      <c r="Q18" s="180">
        <v>0</v>
      </c>
      <c r="R18" s="180">
        <v>0</v>
      </c>
      <c r="S18" s="180">
        <v>0</v>
      </c>
      <c r="T18" s="180">
        <v>0</v>
      </c>
      <c r="U18" s="180">
        <v>0</v>
      </c>
      <c r="V18" s="180">
        <v>79229</v>
      </c>
      <c r="W18" s="180">
        <v>377861</v>
      </c>
      <c r="X18" s="180">
        <v>0</v>
      </c>
      <c r="Y18" s="180">
        <v>158534000</v>
      </c>
      <c r="Z18" s="180">
        <v>582139</v>
      </c>
      <c r="AA18" s="180">
        <v>93037</v>
      </c>
      <c r="AB18" s="180">
        <v>0</v>
      </c>
      <c r="AC18" s="180"/>
      <c r="AD18" s="180">
        <v>252070</v>
      </c>
      <c r="AE18" s="180">
        <v>168313</v>
      </c>
      <c r="AF18" s="180">
        <v>3994938</v>
      </c>
      <c r="AG18" s="180">
        <v>0</v>
      </c>
      <c r="AH18" s="180">
        <v>187235</v>
      </c>
      <c r="AI18" s="180">
        <v>1335424</v>
      </c>
      <c r="AJ18" s="180">
        <v>108798</v>
      </c>
      <c r="AK18" s="180">
        <v>21095</v>
      </c>
      <c r="AL18" s="180">
        <v>99135</v>
      </c>
      <c r="AM18" s="180"/>
      <c r="AN18" s="180">
        <v>386483</v>
      </c>
      <c r="AO18" s="180"/>
      <c r="AP18" s="180">
        <v>0</v>
      </c>
      <c r="AQ18" s="180">
        <v>8381194</v>
      </c>
      <c r="AR18" s="180">
        <v>0</v>
      </c>
      <c r="AS18" s="180">
        <v>101538</v>
      </c>
      <c r="AT18" s="180">
        <v>1166436</v>
      </c>
      <c r="AU18" s="180">
        <v>132680</v>
      </c>
      <c r="AV18" s="180">
        <v>0</v>
      </c>
      <c r="AW18" s="180">
        <v>0</v>
      </c>
      <c r="AX18" s="180">
        <v>178751</v>
      </c>
      <c r="AY18" s="180">
        <v>0</v>
      </c>
      <c r="AZ18" s="180">
        <v>0</v>
      </c>
      <c r="BA18" s="180">
        <v>191395</v>
      </c>
      <c r="BB18" s="180">
        <v>37805</v>
      </c>
      <c r="BC18" s="180">
        <v>401561</v>
      </c>
      <c r="BD18" s="180">
        <v>0</v>
      </c>
      <c r="BE18" s="180">
        <v>0</v>
      </c>
      <c r="BF18" s="180">
        <v>319736</v>
      </c>
      <c r="BG18" s="180">
        <v>0</v>
      </c>
      <c r="BH18" s="180">
        <v>0</v>
      </c>
      <c r="BI18" s="180">
        <v>459536</v>
      </c>
      <c r="BJ18" s="180">
        <v>0</v>
      </c>
      <c r="BK18" s="180">
        <v>257851</v>
      </c>
      <c r="BL18" s="180">
        <v>44973</v>
      </c>
      <c r="BM18" s="180">
        <v>60238</v>
      </c>
      <c r="BN18" s="180">
        <v>0</v>
      </c>
      <c r="BO18" s="180">
        <v>1234921</v>
      </c>
      <c r="BP18" s="180">
        <v>26436969</v>
      </c>
      <c r="BQ18" s="180">
        <v>0</v>
      </c>
      <c r="BR18" s="180"/>
      <c r="BS18" s="180">
        <v>47644</v>
      </c>
      <c r="BT18" s="180"/>
      <c r="BU18" s="180">
        <v>130282</v>
      </c>
      <c r="BV18" s="180">
        <v>0</v>
      </c>
      <c r="BW18" s="180">
        <v>2323325</v>
      </c>
      <c r="BX18" s="180">
        <v>324986</v>
      </c>
      <c r="BY18" s="180"/>
      <c r="BZ18" s="180">
        <v>640950</v>
      </c>
      <c r="CA18" s="180">
        <v>114720</v>
      </c>
      <c r="CB18" s="180">
        <v>208233</v>
      </c>
      <c r="CC18" s="180">
        <v>105198</v>
      </c>
      <c r="CD18" s="180">
        <v>146892</v>
      </c>
      <c r="CE18" s="180"/>
      <c r="CF18" s="180">
        <v>252076</v>
      </c>
      <c r="CG18" s="180">
        <v>0</v>
      </c>
      <c r="CH18" s="180">
        <v>274966</v>
      </c>
      <c r="CI18" s="180">
        <v>0</v>
      </c>
      <c r="CJ18" s="180"/>
      <c r="CK18" s="180">
        <v>55289</v>
      </c>
      <c r="CL18" s="180"/>
      <c r="CM18" s="180"/>
      <c r="CN18" s="180"/>
      <c r="CO18" s="180"/>
      <c r="CP18" s="180"/>
      <c r="CQ18" s="180"/>
      <c r="CR18" s="180"/>
      <c r="CS18" s="180"/>
      <c r="CT18" s="180"/>
      <c r="CU18" s="180"/>
    </row>
    <row r="19" spans="1:99" x14ac:dyDescent="0.3">
      <c r="A19" s="155">
        <v>50</v>
      </c>
      <c r="B19" s="180" t="s">
        <v>92</v>
      </c>
      <c r="C19" s="180"/>
      <c r="D19" s="180">
        <v>-110805</v>
      </c>
      <c r="E19" s="180">
        <v>0</v>
      </c>
      <c r="F19" s="180">
        <v>47333</v>
      </c>
      <c r="G19" s="180">
        <v>-16691</v>
      </c>
      <c r="H19" s="180"/>
      <c r="I19" s="180">
        <v>357025</v>
      </c>
      <c r="J19" s="180">
        <v>0</v>
      </c>
      <c r="K19" s="180">
        <v>1459835</v>
      </c>
      <c r="L19" s="180">
        <v>0</v>
      </c>
      <c r="M19" s="180">
        <v>0</v>
      </c>
      <c r="N19" s="180"/>
      <c r="O19" s="180">
        <v>17990069</v>
      </c>
      <c r="P19" s="180">
        <v>0</v>
      </c>
      <c r="Q19" s="180">
        <v>0</v>
      </c>
      <c r="R19" s="180">
        <v>0</v>
      </c>
      <c r="S19" s="180">
        <v>0</v>
      </c>
      <c r="T19" s="180">
        <v>0</v>
      </c>
      <c r="U19" s="180">
        <v>0</v>
      </c>
      <c r="V19" s="180">
        <v>2751</v>
      </c>
      <c r="W19" s="180">
        <v>-66854</v>
      </c>
      <c r="X19" s="180">
        <v>0</v>
      </c>
      <c r="Y19" s="180">
        <v>183891000</v>
      </c>
      <c r="Z19" s="180">
        <v>159634</v>
      </c>
      <c r="AA19" s="180">
        <v>1739968</v>
      </c>
      <c r="AB19" s="180">
        <v>0</v>
      </c>
      <c r="AC19" s="180"/>
      <c r="AD19" s="180">
        <v>529976</v>
      </c>
      <c r="AE19" s="180">
        <v>27105</v>
      </c>
      <c r="AF19" s="180">
        <v>6541439</v>
      </c>
      <c r="AG19" s="180">
        <v>0</v>
      </c>
      <c r="AH19" s="180">
        <v>51254</v>
      </c>
      <c r="AI19" s="180">
        <v>952798</v>
      </c>
      <c r="AJ19" s="180">
        <v>473267</v>
      </c>
      <c r="AK19" s="180">
        <v>19121</v>
      </c>
      <c r="AL19" s="180">
        <v>-47142</v>
      </c>
      <c r="AM19" s="180"/>
      <c r="AN19" s="180">
        <v>240439</v>
      </c>
      <c r="AO19" s="180"/>
      <c r="AP19" s="180">
        <v>0</v>
      </c>
      <c r="AQ19" s="180">
        <v>8710927</v>
      </c>
      <c r="AR19" s="180">
        <v>0</v>
      </c>
      <c r="AS19" s="180">
        <v>-82596</v>
      </c>
      <c r="AT19" s="180">
        <v>934788</v>
      </c>
      <c r="AU19" s="180">
        <v>85723</v>
      </c>
      <c r="AV19" s="180">
        <v>0</v>
      </c>
      <c r="AW19" s="180">
        <v>0</v>
      </c>
      <c r="AX19" s="180">
        <v>-181449</v>
      </c>
      <c r="AY19" s="180">
        <v>0</v>
      </c>
      <c r="AZ19" s="180">
        <v>0</v>
      </c>
      <c r="BA19" s="180">
        <v>-71964</v>
      </c>
      <c r="BB19" s="180">
        <v>-24740</v>
      </c>
      <c r="BC19" s="180">
        <v>601615</v>
      </c>
      <c r="BD19" s="180">
        <v>0</v>
      </c>
      <c r="BE19" s="180">
        <v>0</v>
      </c>
      <c r="BF19" s="180">
        <v>156522</v>
      </c>
      <c r="BG19" s="180">
        <v>0</v>
      </c>
      <c r="BH19" s="180">
        <v>0</v>
      </c>
      <c r="BI19" s="180">
        <v>-280188</v>
      </c>
      <c r="BJ19" s="180">
        <v>0</v>
      </c>
      <c r="BK19" s="180">
        <v>-186750</v>
      </c>
      <c r="BL19" s="180">
        <v>76753</v>
      </c>
      <c r="BM19" s="180">
        <v>24433</v>
      </c>
      <c r="BN19" s="180">
        <v>0</v>
      </c>
      <c r="BO19" s="180">
        <v>755720</v>
      </c>
      <c r="BP19" s="180">
        <v>31445389</v>
      </c>
      <c r="BQ19" s="180">
        <v>0</v>
      </c>
      <c r="BR19" s="180"/>
      <c r="BS19" s="180">
        <v>43442</v>
      </c>
      <c r="BT19" s="180"/>
      <c r="BU19" s="180">
        <v>-8673</v>
      </c>
      <c r="BV19" s="180">
        <v>0</v>
      </c>
      <c r="BW19" s="180">
        <v>256730</v>
      </c>
      <c r="BX19" s="180">
        <v>533705</v>
      </c>
      <c r="BY19" s="180"/>
      <c r="BZ19" s="180">
        <v>209195</v>
      </c>
      <c r="CA19" s="180">
        <v>-71594</v>
      </c>
      <c r="CB19" s="180">
        <v>594607</v>
      </c>
      <c r="CC19" s="180">
        <v>23907</v>
      </c>
      <c r="CD19" s="180">
        <v>-39039</v>
      </c>
      <c r="CE19" s="180"/>
      <c r="CF19" s="180">
        <v>1286118</v>
      </c>
      <c r="CG19" s="180">
        <v>0</v>
      </c>
      <c r="CH19" s="180">
        <v>-4290</v>
      </c>
      <c r="CI19" s="180">
        <v>0</v>
      </c>
      <c r="CJ19" s="180"/>
      <c r="CK19" s="180">
        <v>-37145</v>
      </c>
      <c r="CL19" s="180"/>
      <c r="CM19" s="180"/>
      <c r="CN19" s="180"/>
      <c r="CO19" s="180"/>
      <c r="CP19" s="180"/>
      <c r="CQ19" s="180"/>
      <c r="CR19" s="180"/>
      <c r="CS19" s="180"/>
      <c r="CT19" s="180"/>
      <c r="CU19" s="180"/>
    </row>
    <row r="20" spans="1:99" x14ac:dyDescent="0.3">
      <c r="A20" s="155">
        <v>51</v>
      </c>
      <c r="B20" s="180" t="s">
        <v>237</v>
      </c>
      <c r="C20" s="180"/>
      <c r="D20" s="180">
        <v>12442</v>
      </c>
      <c r="E20" s="180">
        <v>0</v>
      </c>
      <c r="F20" s="180">
        <v>111457</v>
      </c>
      <c r="G20" s="180">
        <v>85360</v>
      </c>
      <c r="H20" s="180"/>
      <c r="I20" s="180">
        <v>694266</v>
      </c>
      <c r="J20" s="180">
        <v>0</v>
      </c>
      <c r="K20" s="180">
        <v>4407830</v>
      </c>
      <c r="L20" s="180">
        <v>0</v>
      </c>
      <c r="M20" s="180">
        <v>0</v>
      </c>
      <c r="N20" s="180"/>
      <c r="O20" s="180">
        <v>38154337</v>
      </c>
      <c r="P20" s="180">
        <v>0</v>
      </c>
      <c r="Q20" s="180">
        <v>0</v>
      </c>
      <c r="R20" s="180">
        <v>0</v>
      </c>
      <c r="S20" s="180">
        <v>0</v>
      </c>
      <c r="T20" s="180">
        <v>0</v>
      </c>
      <c r="U20" s="180">
        <v>0</v>
      </c>
      <c r="V20" s="180">
        <v>13009</v>
      </c>
      <c r="W20" s="180">
        <v>274501</v>
      </c>
      <c r="X20" s="180">
        <v>0</v>
      </c>
      <c r="Y20" s="180">
        <v>334482000</v>
      </c>
      <c r="Z20" s="180">
        <v>1241341</v>
      </c>
      <c r="AA20" s="180">
        <v>38444</v>
      </c>
      <c r="AB20" s="180">
        <v>0</v>
      </c>
      <c r="AC20" s="180"/>
      <c r="AD20" s="180">
        <v>663183</v>
      </c>
      <c r="AE20" s="180">
        <v>100712</v>
      </c>
      <c r="AF20" s="180">
        <v>17396398</v>
      </c>
      <c r="AG20" s="180">
        <v>0</v>
      </c>
      <c r="AH20" s="180">
        <v>209942</v>
      </c>
      <c r="AI20" s="180">
        <v>955201</v>
      </c>
      <c r="AJ20" s="180">
        <v>-6300</v>
      </c>
      <c r="AK20" s="180">
        <v>38337</v>
      </c>
      <c r="AL20" s="180">
        <v>48037</v>
      </c>
      <c r="AM20" s="180"/>
      <c r="AN20" s="180">
        <v>227844</v>
      </c>
      <c r="AO20" s="180"/>
      <c r="AP20" s="180">
        <v>0</v>
      </c>
      <c r="AQ20" s="180">
        <v>16601027</v>
      </c>
      <c r="AR20" s="180">
        <v>0</v>
      </c>
      <c r="AS20" s="180">
        <v>17809</v>
      </c>
      <c r="AT20" s="180">
        <v>2103660</v>
      </c>
      <c r="AU20" s="180">
        <v>216249</v>
      </c>
      <c r="AV20" s="180">
        <v>0</v>
      </c>
      <c r="AW20" s="180">
        <v>0</v>
      </c>
      <c r="AX20" s="180">
        <v>-18020</v>
      </c>
      <c r="AY20" s="180">
        <v>0</v>
      </c>
      <c r="AZ20" s="180">
        <v>0</v>
      </c>
      <c r="BA20" s="180">
        <v>27426</v>
      </c>
      <c r="BB20" s="180">
        <v>-8947</v>
      </c>
      <c r="BC20" s="180">
        <v>493411</v>
      </c>
      <c r="BD20" s="180">
        <v>0</v>
      </c>
      <c r="BE20" s="180">
        <v>0</v>
      </c>
      <c r="BF20" s="180">
        <v>512842</v>
      </c>
      <c r="BG20" s="180">
        <v>0</v>
      </c>
      <c r="BH20" s="180">
        <v>0</v>
      </c>
      <c r="BI20" s="180">
        <v>99449</v>
      </c>
      <c r="BJ20" s="180">
        <v>0</v>
      </c>
      <c r="BK20" s="180">
        <v>55306</v>
      </c>
      <c r="BL20" s="180">
        <v>55098</v>
      </c>
      <c r="BM20" s="180">
        <v>39695</v>
      </c>
      <c r="BN20" s="180">
        <v>0</v>
      </c>
      <c r="BO20" s="180">
        <v>2329782</v>
      </c>
      <c r="BP20" s="180">
        <v>56144208</v>
      </c>
      <c r="BQ20" s="180">
        <v>0</v>
      </c>
      <c r="BR20" s="180"/>
      <c r="BS20" s="180">
        <v>92074</v>
      </c>
      <c r="BT20" s="180"/>
      <c r="BU20" s="180">
        <v>96390</v>
      </c>
      <c r="BV20" s="180">
        <v>0</v>
      </c>
      <c r="BW20" s="180">
        <v>4262301</v>
      </c>
      <c r="BX20" s="180">
        <v>390300</v>
      </c>
      <c r="BY20" s="180"/>
      <c r="BZ20" s="180">
        <v>311316</v>
      </c>
      <c r="CA20" s="180">
        <v>44651</v>
      </c>
      <c r="CB20" s="180">
        <v>798738</v>
      </c>
      <c r="CC20" s="180">
        <v>101057</v>
      </c>
      <c r="CD20" s="180">
        <v>-50090</v>
      </c>
      <c r="CE20" s="180"/>
      <c r="CF20" s="180">
        <v>1478198</v>
      </c>
      <c r="CG20" s="180">
        <v>0</v>
      </c>
      <c r="CH20" s="180">
        <v>293142</v>
      </c>
      <c r="CI20" s="180">
        <v>0</v>
      </c>
      <c r="CJ20" s="180"/>
      <c r="CK20" s="180">
        <v>3307</v>
      </c>
      <c r="CL20" s="180"/>
      <c r="CM20" s="180"/>
      <c r="CN20" s="180"/>
      <c r="CO20" s="180"/>
      <c r="CP20" s="180"/>
      <c r="CQ20" s="180"/>
      <c r="CR20" s="180"/>
      <c r="CS20" s="180"/>
      <c r="CT20" s="180"/>
      <c r="CU20" s="180"/>
    </row>
    <row r="21" spans="1:99" x14ac:dyDescent="0.3">
      <c r="A21" s="155">
        <v>52</v>
      </c>
      <c r="B21" s="180" t="s">
        <v>230</v>
      </c>
      <c r="C21" s="180"/>
      <c r="D21" s="180">
        <v>0</v>
      </c>
      <c r="E21" s="180">
        <v>0</v>
      </c>
      <c r="F21" s="180">
        <v>0</v>
      </c>
      <c r="G21" s="180">
        <v>0</v>
      </c>
      <c r="H21" s="180"/>
      <c r="I21" s="180">
        <v>0</v>
      </c>
      <c r="J21" s="180">
        <v>0</v>
      </c>
      <c r="K21" s="180">
        <v>0</v>
      </c>
      <c r="L21" s="180">
        <v>0</v>
      </c>
      <c r="M21" s="180">
        <v>0</v>
      </c>
      <c r="N21" s="180"/>
      <c r="O21" s="180">
        <v>0</v>
      </c>
      <c r="P21" s="180">
        <v>0</v>
      </c>
      <c r="Q21" s="180">
        <v>0</v>
      </c>
      <c r="R21" s="180">
        <v>0</v>
      </c>
      <c r="S21" s="180">
        <v>0</v>
      </c>
      <c r="T21" s="180">
        <v>0</v>
      </c>
      <c r="U21" s="180">
        <v>0</v>
      </c>
      <c r="V21" s="180">
        <v>0</v>
      </c>
      <c r="W21" s="180">
        <v>0</v>
      </c>
      <c r="X21" s="180">
        <v>0</v>
      </c>
      <c r="Y21" s="180">
        <v>0</v>
      </c>
      <c r="Z21" s="180">
        <v>245027</v>
      </c>
      <c r="AA21" s="180">
        <v>0</v>
      </c>
      <c r="AB21" s="180">
        <v>0</v>
      </c>
      <c r="AC21" s="180"/>
      <c r="AD21" s="180">
        <v>0</v>
      </c>
      <c r="AE21" s="180">
        <v>0</v>
      </c>
      <c r="AF21" s="180">
        <v>831239</v>
      </c>
      <c r="AG21" s="180">
        <v>0</v>
      </c>
      <c r="AH21" s="180">
        <v>0</v>
      </c>
      <c r="AI21" s="180">
        <v>0</v>
      </c>
      <c r="AJ21" s="180">
        <v>0</v>
      </c>
      <c r="AK21" s="180">
        <v>0</v>
      </c>
      <c r="AL21" s="180">
        <v>0</v>
      </c>
      <c r="AM21" s="180"/>
      <c r="AN21" s="180">
        <v>0</v>
      </c>
      <c r="AO21" s="180"/>
      <c r="AP21" s="180">
        <v>0</v>
      </c>
      <c r="AQ21" s="180">
        <v>4010545</v>
      </c>
      <c r="AR21" s="180">
        <v>0</v>
      </c>
      <c r="AS21" s="180">
        <v>0</v>
      </c>
      <c r="AT21" s="180">
        <v>0</v>
      </c>
      <c r="AU21" s="180">
        <v>0</v>
      </c>
      <c r="AV21" s="180">
        <v>0</v>
      </c>
      <c r="AW21" s="180">
        <v>252815</v>
      </c>
      <c r="AX21" s="180">
        <v>0</v>
      </c>
      <c r="AY21" s="180">
        <v>0</v>
      </c>
      <c r="AZ21" s="180">
        <v>0</v>
      </c>
      <c r="BA21" s="180">
        <v>0</v>
      </c>
      <c r="BB21" s="180">
        <v>0</v>
      </c>
      <c r="BC21" s="180">
        <v>397570</v>
      </c>
      <c r="BD21" s="180">
        <v>0</v>
      </c>
      <c r="BE21" s="180">
        <v>0</v>
      </c>
      <c r="BF21" s="180">
        <v>0</v>
      </c>
      <c r="BG21" s="180">
        <v>0</v>
      </c>
      <c r="BH21" s="180">
        <v>0</v>
      </c>
      <c r="BI21" s="180">
        <v>0</v>
      </c>
      <c r="BJ21" s="180">
        <v>0</v>
      </c>
      <c r="BK21" s="180">
        <v>0</v>
      </c>
      <c r="BL21" s="180">
        <v>29809</v>
      </c>
      <c r="BM21" s="180">
        <v>0</v>
      </c>
      <c r="BN21" s="180">
        <v>0</v>
      </c>
      <c r="BO21" s="180">
        <v>0</v>
      </c>
      <c r="BP21" s="180">
        <v>0</v>
      </c>
      <c r="BQ21" s="180">
        <v>0</v>
      </c>
      <c r="BR21" s="180"/>
      <c r="BS21" s="180">
        <v>0</v>
      </c>
      <c r="BT21" s="180"/>
      <c r="BU21" s="180">
        <v>0</v>
      </c>
      <c r="BV21" s="180">
        <v>0</v>
      </c>
      <c r="BW21" s="180">
        <v>0</v>
      </c>
      <c r="BX21" s="180">
        <v>218694</v>
      </c>
      <c r="BY21" s="180"/>
      <c r="BZ21" s="180">
        <v>0</v>
      </c>
      <c r="CA21" s="180">
        <v>0</v>
      </c>
      <c r="CB21" s="180">
        <v>0</v>
      </c>
      <c r="CC21" s="180">
        <v>0</v>
      </c>
      <c r="CD21" s="180">
        <v>0</v>
      </c>
      <c r="CE21" s="180"/>
      <c r="CF21" s="180">
        <v>0</v>
      </c>
      <c r="CG21" s="180">
        <v>0</v>
      </c>
      <c r="CH21" s="180">
        <v>27200</v>
      </c>
      <c r="CI21" s="180">
        <v>0</v>
      </c>
      <c r="CJ21" s="180"/>
      <c r="CK21" s="180">
        <v>0</v>
      </c>
      <c r="CL21" s="180"/>
      <c r="CM21" s="180"/>
      <c r="CN21" s="180"/>
      <c r="CO21" s="180"/>
      <c r="CP21" s="180"/>
      <c r="CQ21" s="180"/>
      <c r="CR21" s="180"/>
      <c r="CS21" s="180"/>
      <c r="CT21" s="180"/>
      <c r="CU21" s="180"/>
    </row>
    <row r="22" spans="1:99" x14ac:dyDescent="0.3">
      <c r="A22" s="155">
        <v>53</v>
      </c>
      <c r="B22" s="180" t="s">
        <v>93</v>
      </c>
      <c r="C22" s="180"/>
      <c r="D22" s="180">
        <v>0</v>
      </c>
      <c r="E22" s="180">
        <v>0</v>
      </c>
      <c r="F22" s="180">
        <v>0</v>
      </c>
      <c r="G22" s="180">
        <v>0</v>
      </c>
      <c r="H22" s="180"/>
      <c r="I22" s="180">
        <v>0</v>
      </c>
      <c r="J22" s="180">
        <v>0</v>
      </c>
      <c r="K22" s="180">
        <v>0</v>
      </c>
      <c r="L22" s="180">
        <v>0</v>
      </c>
      <c r="M22" s="180">
        <v>0</v>
      </c>
      <c r="N22" s="180"/>
      <c r="O22" s="180">
        <v>0</v>
      </c>
      <c r="P22" s="180">
        <v>0</v>
      </c>
      <c r="Q22" s="180">
        <v>0</v>
      </c>
      <c r="R22" s="180">
        <v>0</v>
      </c>
      <c r="S22" s="180">
        <v>0</v>
      </c>
      <c r="T22" s="180">
        <v>0</v>
      </c>
      <c r="U22" s="180">
        <v>0</v>
      </c>
      <c r="V22" s="180">
        <v>0</v>
      </c>
      <c r="W22" s="180">
        <v>0</v>
      </c>
      <c r="X22" s="180">
        <v>0</v>
      </c>
      <c r="Y22" s="180">
        <v>0</v>
      </c>
      <c r="Z22" s="180">
        <v>539313</v>
      </c>
      <c r="AA22" s="180">
        <v>0</v>
      </c>
      <c r="AB22" s="180">
        <v>0</v>
      </c>
      <c r="AC22" s="180"/>
      <c r="AD22" s="180">
        <v>0</v>
      </c>
      <c r="AE22" s="180">
        <v>0</v>
      </c>
      <c r="AF22" s="180">
        <v>770140</v>
      </c>
      <c r="AG22" s="180">
        <v>0</v>
      </c>
      <c r="AH22" s="180">
        <v>0</v>
      </c>
      <c r="AI22" s="180">
        <v>0</v>
      </c>
      <c r="AJ22" s="180">
        <v>0</v>
      </c>
      <c r="AK22" s="180">
        <v>0</v>
      </c>
      <c r="AL22" s="180">
        <v>0</v>
      </c>
      <c r="AM22" s="180"/>
      <c r="AN22" s="180">
        <v>0</v>
      </c>
      <c r="AO22" s="180"/>
      <c r="AP22" s="180">
        <v>0</v>
      </c>
      <c r="AQ22" s="180">
        <v>-11172934</v>
      </c>
      <c r="AR22" s="180">
        <v>0</v>
      </c>
      <c r="AS22" s="180">
        <v>0</v>
      </c>
      <c r="AT22" s="180">
        <v>0</v>
      </c>
      <c r="AU22" s="180">
        <v>0</v>
      </c>
      <c r="AV22" s="180">
        <v>0</v>
      </c>
      <c r="AW22" s="180">
        <v>254621</v>
      </c>
      <c r="AX22" s="180">
        <v>0</v>
      </c>
      <c r="AY22" s="180">
        <v>0</v>
      </c>
      <c r="AZ22" s="180">
        <v>0</v>
      </c>
      <c r="BA22" s="180">
        <v>0</v>
      </c>
      <c r="BB22" s="180">
        <v>0</v>
      </c>
      <c r="BC22" s="180">
        <v>321939</v>
      </c>
      <c r="BD22" s="180">
        <v>0</v>
      </c>
      <c r="BE22" s="180">
        <v>0</v>
      </c>
      <c r="BF22" s="180">
        <v>0</v>
      </c>
      <c r="BG22" s="180">
        <v>0</v>
      </c>
      <c r="BH22" s="180">
        <v>0</v>
      </c>
      <c r="BI22" s="180">
        <v>0</v>
      </c>
      <c r="BJ22" s="180">
        <v>0</v>
      </c>
      <c r="BK22" s="180">
        <v>0</v>
      </c>
      <c r="BL22" s="180">
        <v>179016</v>
      </c>
      <c r="BM22" s="180">
        <v>0</v>
      </c>
      <c r="BN22" s="180">
        <v>0</v>
      </c>
      <c r="BO22" s="180">
        <v>0</v>
      </c>
      <c r="BP22" s="180">
        <v>0</v>
      </c>
      <c r="BQ22" s="180">
        <v>0</v>
      </c>
      <c r="BR22" s="180"/>
      <c r="BS22" s="180">
        <v>0</v>
      </c>
      <c r="BT22" s="180"/>
      <c r="BU22" s="180">
        <v>0</v>
      </c>
      <c r="BV22" s="180">
        <v>0</v>
      </c>
      <c r="BW22" s="180">
        <v>0</v>
      </c>
      <c r="BX22" s="180">
        <v>-52943</v>
      </c>
      <c r="BY22" s="180"/>
      <c r="BZ22" s="180">
        <v>0</v>
      </c>
      <c r="CA22" s="180">
        <v>0</v>
      </c>
      <c r="CB22" s="180">
        <v>0</v>
      </c>
      <c r="CC22" s="180">
        <v>0</v>
      </c>
      <c r="CD22" s="180">
        <v>0</v>
      </c>
      <c r="CE22" s="180"/>
      <c r="CF22" s="180">
        <v>0</v>
      </c>
      <c r="CG22" s="180">
        <v>0</v>
      </c>
      <c r="CH22" s="180">
        <v>172859</v>
      </c>
      <c r="CI22" s="180">
        <v>0</v>
      </c>
      <c r="CJ22" s="180"/>
      <c r="CK22" s="180">
        <v>0</v>
      </c>
      <c r="CL22" s="180"/>
      <c r="CM22" s="180"/>
      <c r="CN22" s="180"/>
      <c r="CO22" s="180"/>
      <c r="CP22" s="180"/>
      <c r="CQ22" s="180"/>
      <c r="CR22" s="180"/>
      <c r="CS22" s="180"/>
      <c r="CT22" s="180"/>
      <c r="CU22" s="180"/>
    </row>
    <row r="23" spans="1:99" x14ac:dyDescent="0.3">
      <c r="A23" s="155">
        <v>55</v>
      </c>
      <c r="B23" s="180" t="s">
        <v>240</v>
      </c>
      <c r="C23" s="180"/>
      <c r="D23" s="180">
        <v>0</v>
      </c>
      <c r="E23" s="180">
        <v>0</v>
      </c>
      <c r="F23" s="180">
        <v>0</v>
      </c>
      <c r="G23" s="180">
        <v>0</v>
      </c>
      <c r="H23" s="180"/>
      <c r="I23" s="180">
        <v>0</v>
      </c>
      <c r="J23" s="180">
        <v>0</v>
      </c>
      <c r="K23" s="180">
        <v>0</v>
      </c>
      <c r="L23" s="180">
        <v>0</v>
      </c>
      <c r="M23" s="180">
        <v>0</v>
      </c>
      <c r="N23" s="180"/>
      <c r="O23" s="180">
        <v>0</v>
      </c>
      <c r="P23" s="180">
        <v>0</v>
      </c>
      <c r="Q23" s="180">
        <v>0</v>
      </c>
      <c r="R23" s="180">
        <v>0</v>
      </c>
      <c r="S23" s="180">
        <v>0</v>
      </c>
      <c r="T23" s="180">
        <v>0</v>
      </c>
      <c r="U23" s="180">
        <v>0</v>
      </c>
      <c r="V23" s="180">
        <v>0</v>
      </c>
      <c r="W23" s="180">
        <v>0</v>
      </c>
      <c r="X23" s="180">
        <v>0</v>
      </c>
      <c r="Y23" s="180">
        <v>0</v>
      </c>
      <c r="Z23" s="180">
        <v>585169</v>
      </c>
      <c r="AA23" s="180">
        <v>0</v>
      </c>
      <c r="AB23" s="180">
        <v>0</v>
      </c>
      <c r="AC23" s="180"/>
      <c r="AD23" s="180">
        <v>0</v>
      </c>
      <c r="AE23" s="180">
        <v>0</v>
      </c>
      <c r="AF23" s="180">
        <v>1335215</v>
      </c>
      <c r="AG23" s="180">
        <v>0</v>
      </c>
      <c r="AH23" s="180">
        <v>0</v>
      </c>
      <c r="AI23" s="180">
        <v>0</v>
      </c>
      <c r="AJ23" s="180">
        <v>0</v>
      </c>
      <c r="AK23" s="180">
        <v>0</v>
      </c>
      <c r="AL23" s="180">
        <v>0</v>
      </c>
      <c r="AM23" s="180"/>
      <c r="AN23" s="180">
        <v>0</v>
      </c>
      <c r="AO23" s="180"/>
      <c r="AP23" s="180">
        <v>0</v>
      </c>
      <c r="AQ23" s="180">
        <v>4494483</v>
      </c>
      <c r="AR23" s="180">
        <v>0</v>
      </c>
      <c r="AS23" s="180">
        <v>0</v>
      </c>
      <c r="AT23" s="180">
        <v>0</v>
      </c>
      <c r="AU23" s="180">
        <v>0</v>
      </c>
      <c r="AV23" s="180">
        <v>0</v>
      </c>
      <c r="AW23" s="180">
        <v>271041</v>
      </c>
      <c r="AX23" s="180">
        <v>0</v>
      </c>
      <c r="AY23" s="180">
        <v>0</v>
      </c>
      <c r="AZ23" s="180">
        <v>0</v>
      </c>
      <c r="BA23" s="180">
        <v>0</v>
      </c>
      <c r="BB23" s="180">
        <v>0</v>
      </c>
      <c r="BC23" s="180">
        <v>1959436</v>
      </c>
      <c r="BD23" s="180">
        <v>0</v>
      </c>
      <c r="BE23" s="180">
        <v>0</v>
      </c>
      <c r="BF23" s="180">
        <v>0</v>
      </c>
      <c r="BG23" s="180">
        <v>0</v>
      </c>
      <c r="BH23" s="180">
        <v>0</v>
      </c>
      <c r="BI23" s="180">
        <v>0</v>
      </c>
      <c r="BJ23" s="180">
        <v>0</v>
      </c>
      <c r="BK23" s="180">
        <v>0</v>
      </c>
      <c r="BL23" s="180">
        <v>199453</v>
      </c>
      <c r="BM23" s="180">
        <v>0</v>
      </c>
      <c r="BN23" s="180">
        <v>0</v>
      </c>
      <c r="BO23" s="180">
        <v>0</v>
      </c>
      <c r="BP23" s="180">
        <v>0</v>
      </c>
      <c r="BQ23" s="180">
        <v>0</v>
      </c>
      <c r="BR23" s="180"/>
      <c r="BS23" s="180">
        <v>0</v>
      </c>
      <c r="BT23" s="180"/>
      <c r="BU23" s="180">
        <v>0</v>
      </c>
      <c r="BV23" s="180">
        <v>0</v>
      </c>
      <c r="BW23" s="180">
        <v>0</v>
      </c>
      <c r="BX23" s="180">
        <v>370772</v>
      </c>
      <c r="BY23" s="180"/>
      <c r="BZ23" s="180">
        <v>0</v>
      </c>
      <c r="CA23" s="180">
        <v>0</v>
      </c>
      <c r="CB23" s="180">
        <v>0</v>
      </c>
      <c r="CC23" s="180">
        <v>0</v>
      </c>
      <c r="CD23" s="180">
        <v>0</v>
      </c>
      <c r="CE23" s="180"/>
      <c r="CF23" s="180">
        <v>0</v>
      </c>
      <c r="CG23" s="180">
        <v>0</v>
      </c>
      <c r="CH23" s="180">
        <v>186813</v>
      </c>
      <c r="CI23" s="180">
        <v>0</v>
      </c>
      <c r="CJ23" s="180"/>
      <c r="CK23" s="180">
        <v>0</v>
      </c>
      <c r="CL23" s="180"/>
      <c r="CM23" s="180"/>
      <c r="CN23" s="180"/>
      <c r="CO23" s="180"/>
      <c r="CP23" s="180"/>
      <c r="CQ23" s="180"/>
      <c r="CR23" s="180"/>
      <c r="CS23" s="180"/>
      <c r="CT23" s="180"/>
      <c r="CU23" s="180"/>
    </row>
    <row r="24" spans="1:99" x14ac:dyDescent="0.3">
      <c r="A24" s="155">
        <v>61</v>
      </c>
      <c r="B24" s="180" t="s">
        <v>254</v>
      </c>
      <c r="C24" s="180"/>
      <c r="D24" s="180">
        <v>0</v>
      </c>
      <c r="E24" s="180">
        <v>98.89</v>
      </c>
      <c r="F24" s="180">
        <v>95.46</v>
      </c>
      <c r="G24" s="180">
        <v>98.6</v>
      </c>
      <c r="H24" s="180"/>
      <c r="I24" s="180">
        <v>98.8</v>
      </c>
      <c r="J24" s="180">
        <v>99.45</v>
      </c>
      <c r="K24" s="180">
        <v>99.38</v>
      </c>
      <c r="L24" s="180">
        <v>99.32</v>
      </c>
      <c r="M24" s="180">
        <v>99.5</v>
      </c>
      <c r="N24" s="180"/>
      <c r="O24" s="180">
        <v>99.89</v>
      </c>
      <c r="P24" s="180">
        <v>97.14</v>
      </c>
      <c r="Q24" s="180">
        <v>96.49</v>
      </c>
      <c r="R24" s="180">
        <v>99.78</v>
      </c>
      <c r="S24" s="180">
        <v>98.92</v>
      </c>
      <c r="T24" s="180">
        <v>97.96</v>
      </c>
      <c r="U24" s="180">
        <v>99.97</v>
      </c>
      <c r="V24" s="180">
        <v>99.33</v>
      </c>
      <c r="W24" s="180">
        <v>97.35</v>
      </c>
      <c r="X24" s="180">
        <v>99.71</v>
      </c>
      <c r="Y24" s="180">
        <v>99.45</v>
      </c>
      <c r="Z24" s="180">
        <v>99.88</v>
      </c>
      <c r="AA24" s="180">
        <v>98.64</v>
      </c>
      <c r="AB24" s="180">
        <v>98.33</v>
      </c>
      <c r="AC24" s="180"/>
      <c r="AD24" s="180">
        <v>99.9</v>
      </c>
      <c r="AE24" s="180">
        <v>91.49</v>
      </c>
      <c r="AF24" s="180">
        <v>99.96</v>
      </c>
      <c r="AG24" s="180">
        <v>99.66</v>
      </c>
      <c r="AH24" s="180">
        <v>98.95</v>
      </c>
      <c r="AI24" s="180">
        <v>98.3</v>
      </c>
      <c r="AJ24" s="180">
        <v>96.98</v>
      </c>
      <c r="AK24" s="180">
        <v>99.4</v>
      </c>
      <c r="AL24" s="180">
        <v>95.93</v>
      </c>
      <c r="AM24" s="180"/>
      <c r="AN24" s="180">
        <v>94.76</v>
      </c>
      <c r="AO24" s="180"/>
      <c r="AP24" s="180">
        <v>98.45</v>
      </c>
      <c r="AQ24" s="180">
        <v>99.49</v>
      </c>
      <c r="AR24" s="180">
        <v>94.98</v>
      </c>
      <c r="AS24" s="180">
        <v>97.03</v>
      </c>
      <c r="AT24" s="180">
        <v>99.24</v>
      </c>
      <c r="AU24" s="180">
        <v>96.4</v>
      </c>
      <c r="AV24" s="180">
        <v>97.86</v>
      </c>
      <c r="AW24" s="180">
        <v>99.66</v>
      </c>
      <c r="AX24" s="180">
        <v>93.3</v>
      </c>
      <c r="AY24" s="180">
        <v>99.71</v>
      </c>
      <c r="AZ24" s="180">
        <v>99.61</v>
      </c>
      <c r="BA24" s="180">
        <v>91.66</v>
      </c>
      <c r="BB24" s="180">
        <v>96.68</v>
      </c>
      <c r="BC24" s="180">
        <v>99.12</v>
      </c>
      <c r="BD24" s="180">
        <v>98.33</v>
      </c>
      <c r="BE24" s="180">
        <v>99.81</v>
      </c>
      <c r="BF24" s="180">
        <v>97.81</v>
      </c>
      <c r="BG24" s="180">
        <v>99.68</v>
      </c>
      <c r="BH24" s="180">
        <v>84.46</v>
      </c>
      <c r="BI24" s="180">
        <v>99.66</v>
      </c>
      <c r="BJ24" s="180">
        <v>0</v>
      </c>
      <c r="BK24" s="180">
        <v>95.1</v>
      </c>
      <c r="BL24" s="180">
        <v>97.93</v>
      </c>
      <c r="BM24" s="180">
        <v>98.32</v>
      </c>
      <c r="BN24" s="180">
        <v>99.99</v>
      </c>
      <c r="BO24" s="180">
        <v>99.36</v>
      </c>
      <c r="BP24" s="180">
        <v>99.81</v>
      </c>
      <c r="BQ24" s="180">
        <v>96.47</v>
      </c>
      <c r="BR24" s="180"/>
      <c r="BS24" s="180">
        <v>98.33</v>
      </c>
      <c r="BT24" s="180"/>
      <c r="BU24" s="180">
        <v>95.98</v>
      </c>
      <c r="BV24" s="180">
        <v>99.22</v>
      </c>
      <c r="BW24" s="180">
        <v>98.68</v>
      </c>
      <c r="BX24" s="180">
        <v>98.74</v>
      </c>
      <c r="BY24" s="180"/>
      <c r="BZ24" s="180">
        <v>96.73</v>
      </c>
      <c r="CA24" s="180">
        <v>99.83</v>
      </c>
      <c r="CB24" s="180">
        <v>97.73</v>
      </c>
      <c r="CC24" s="180">
        <v>96.32</v>
      </c>
      <c r="CD24" s="180">
        <v>95.13</v>
      </c>
      <c r="CE24" s="180"/>
      <c r="CF24" s="180">
        <v>99.75</v>
      </c>
      <c r="CG24" s="180">
        <v>99.33</v>
      </c>
      <c r="CH24" s="180">
        <v>96.04</v>
      </c>
      <c r="CI24" s="180">
        <v>99</v>
      </c>
      <c r="CJ24" s="180"/>
      <c r="CK24" s="180">
        <v>89.65</v>
      </c>
      <c r="CL24" s="180"/>
      <c r="CM24" s="180"/>
      <c r="CN24" s="180"/>
      <c r="CO24" s="180"/>
      <c r="CP24" s="180"/>
      <c r="CQ24" s="180"/>
      <c r="CR24" s="180"/>
      <c r="CS24" s="180"/>
      <c r="CT24" s="180"/>
      <c r="CU24" s="180"/>
    </row>
    <row r="25" spans="1:99" x14ac:dyDescent="0.3">
      <c r="A25" s="155">
        <v>80</v>
      </c>
      <c r="B25" s="180" t="s">
        <v>209</v>
      </c>
      <c r="C25" s="180"/>
      <c r="D25" s="180">
        <v>161294</v>
      </c>
      <c r="E25" s="180">
        <v>0</v>
      </c>
      <c r="F25" s="180">
        <v>1157953</v>
      </c>
      <c r="G25" s="180">
        <v>201443</v>
      </c>
      <c r="H25" s="180"/>
      <c r="I25" s="180">
        <v>4981669</v>
      </c>
      <c r="J25" s="180">
        <v>0</v>
      </c>
      <c r="K25" s="180">
        <v>4380702</v>
      </c>
      <c r="L25" s="180">
        <v>0</v>
      </c>
      <c r="M25" s="180">
        <v>0</v>
      </c>
      <c r="N25" s="180"/>
      <c r="O25" s="180">
        <v>265035470</v>
      </c>
      <c r="P25" s="180">
        <v>0</v>
      </c>
      <c r="Q25" s="180">
        <v>0</v>
      </c>
      <c r="R25" s="180">
        <v>0</v>
      </c>
      <c r="S25" s="180">
        <v>0</v>
      </c>
      <c r="T25" s="180">
        <v>0</v>
      </c>
      <c r="U25" s="180">
        <v>0</v>
      </c>
      <c r="V25" s="180">
        <v>179341</v>
      </c>
      <c r="W25" s="180">
        <v>2069365</v>
      </c>
      <c r="X25" s="180">
        <v>0</v>
      </c>
      <c r="Y25" s="180">
        <v>227741000</v>
      </c>
      <c r="Z25" s="180">
        <v>1854490</v>
      </c>
      <c r="AA25" s="180">
        <v>258904</v>
      </c>
      <c r="AB25" s="180">
        <v>0</v>
      </c>
      <c r="AC25" s="180"/>
      <c r="AD25" s="180">
        <v>3978237</v>
      </c>
      <c r="AE25" s="180">
        <v>585746</v>
      </c>
      <c r="AF25" s="180">
        <v>10299313</v>
      </c>
      <c r="AG25" s="180">
        <v>0</v>
      </c>
      <c r="AH25" s="180">
        <v>2874463</v>
      </c>
      <c r="AI25" s="180">
        <v>6282547</v>
      </c>
      <c r="AJ25" s="180">
        <v>858322</v>
      </c>
      <c r="AK25" s="180">
        <v>854839</v>
      </c>
      <c r="AL25" s="180">
        <v>505566</v>
      </c>
      <c r="AM25" s="180"/>
      <c r="AN25" s="180">
        <v>2814250</v>
      </c>
      <c r="AO25" s="180"/>
      <c r="AP25" s="180">
        <v>0</v>
      </c>
      <c r="AQ25" s="180">
        <v>94225707</v>
      </c>
      <c r="AR25" s="180">
        <v>0</v>
      </c>
      <c r="AS25" s="180">
        <v>65726</v>
      </c>
      <c r="AT25" s="180">
        <v>8817984</v>
      </c>
      <c r="AU25" s="180">
        <v>1100164</v>
      </c>
      <c r="AV25" s="180">
        <v>0</v>
      </c>
      <c r="AW25" s="180">
        <v>0</v>
      </c>
      <c r="AX25" s="180">
        <v>92297</v>
      </c>
      <c r="AY25" s="180">
        <v>0</v>
      </c>
      <c r="AZ25" s="180">
        <v>0</v>
      </c>
      <c r="BA25" s="180">
        <v>303661</v>
      </c>
      <c r="BB25" s="180">
        <v>43252</v>
      </c>
      <c r="BC25" s="180">
        <v>2495017</v>
      </c>
      <c r="BD25" s="180">
        <v>0</v>
      </c>
      <c r="BE25" s="180">
        <v>0</v>
      </c>
      <c r="BF25" s="180">
        <v>711619</v>
      </c>
      <c r="BG25" s="180">
        <v>0</v>
      </c>
      <c r="BH25" s="180">
        <v>0</v>
      </c>
      <c r="BI25" s="180">
        <v>690279</v>
      </c>
      <c r="BJ25" s="180">
        <v>0</v>
      </c>
      <c r="BK25" s="180">
        <v>74831</v>
      </c>
      <c r="BL25" s="180">
        <v>2669635</v>
      </c>
      <c r="BM25" s="180">
        <v>373151</v>
      </c>
      <c r="BN25" s="180">
        <v>0</v>
      </c>
      <c r="BO25" s="180">
        <v>1476999</v>
      </c>
      <c r="BP25" s="180">
        <v>127188436</v>
      </c>
      <c r="BQ25" s="180">
        <v>0</v>
      </c>
      <c r="BR25" s="180"/>
      <c r="BS25" s="180">
        <v>464790</v>
      </c>
      <c r="BT25" s="180"/>
      <c r="BU25" s="180">
        <v>-22499</v>
      </c>
      <c r="BV25" s="180">
        <v>0</v>
      </c>
      <c r="BW25" s="180">
        <v>4060901</v>
      </c>
      <c r="BX25" s="180">
        <v>589021</v>
      </c>
      <c r="BY25" s="180"/>
      <c r="BZ25" s="180">
        <v>3101983</v>
      </c>
      <c r="CA25" s="180">
        <v>167876</v>
      </c>
      <c r="CB25" s="180">
        <v>2558243</v>
      </c>
      <c r="CC25" s="180">
        <v>1110141</v>
      </c>
      <c r="CD25" s="180">
        <v>2755</v>
      </c>
      <c r="CE25" s="180"/>
      <c r="CF25" s="180">
        <v>5069533</v>
      </c>
      <c r="CG25" s="180">
        <v>0</v>
      </c>
      <c r="CH25" s="180">
        <v>380557</v>
      </c>
      <c r="CI25" s="180">
        <v>0</v>
      </c>
      <c r="CJ25" s="180"/>
      <c r="CK25" s="180">
        <v>5440</v>
      </c>
      <c r="CL25" s="180"/>
      <c r="CM25" s="180"/>
      <c r="CN25" s="180"/>
      <c r="CO25" s="180"/>
      <c r="CP25" s="180"/>
      <c r="CQ25" s="180"/>
      <c r="CR25" s="180"/>
      <c r="CS25" s="180"/>
      <c r="CT25" s="180"/>
      <c r="CU25" s="180"/>
    </row>
    <row r="26" spans="1:99" x14ac:dyDescent="0.3">
      <c r="A26" s="155">
        <v>81</v>
      </c>
      <c r="B26" s="180" t="s">
        <v>210</v>
      </c>
      <c r="C26" s="180"/>
      <c r="D26" s="180">
        <v>12131</v>
      </c>
      <c r="E26" s="180">
        <v>0</v>
      </c>
      <c r="F26" s="180">
        <v>54980</v>
      </c>
      <c r="G26" s="180">
        <v>8757</v>
      </c>
      <c r="H26" s="180"/>
      <c r="I26" s="180">
        <v>250565</v>
      </c>
      <c r="J26" s="180">
        <v>0</v>
      </c>
      <c r="K26" s="180">
        <v>935616</v>
      </c>
      <c r="L26" s="180">
        <v>0</v>
      </c>
      <c r="M26" s="180">
        <v>0</v>
      </c>
      <c r="N26" s="180"/>
      <c r="O26" s="180">
        <v>12997721</v>
      </c>
      <c r="P26" s="180">
        <v>0</v>
      </c>
      <c r="Q26" s="180">
        <v>0</v>
      </c>
      <c r="R26" s="180">
        <v>0</v>
      </c>
      <c r="S26" s="180">
        <v>0</v>
      </c>
      <c r="T26" s="180">
        <v>0</v>
      </c>
      <c r="U26" s="180">
        <v>0</v>
      </c>
      <c r="V26" s="180">
        <v>7611</v>
      </c>
      <c r="W26" s="180">
        <v>121634</v>
      </c>
      <c r="X26" s="180">
        <v>0</v>
      </c>
      <c r="Y26" s="180">
        <v>59777000</v>
      </c>
      <c r="Z26" s="180">
        <v>541621</v>
      </c>
      <c r="AA26" s="180">
        <v>10975</v>
      </c>
      <c r="AB26" s="180">
        <v>0</v>
      </c>
      <c r="AC26" s="180"/>
      <c r="AD26" s="180">
        <v>203444</v>
      </c>
      <c r="AE26" s="180">
        <v>120959</v>
      </c>
      <c r="AF26" s="180">
        <v>2913465</v>
      </c>
      <c r="AG26" s="180">
        <v>0</v>
      </c>
      <c r="AH26" s="180">
        <v>51507</v>
      </c>
      <c r="AI26" s="180">
        <v>844856</v>
      </c>
      <c r="AJ26" s="180">
        <v>133623</v>
      </c>
      <c r="AK26" s="180">
        <v>35430</v>
      </c>
      <c r="AL26" s="180">
        <v>44108</v>
      </c>
      <c r="AM26" s="180"/>
      <c r="AN26" s="180">
        <v>82698</v>
      </c>
      <c r="AO26" s="180"/>
      <c r="AP26" s="180">
        <v>0</v>
      </c>
      <c r="AQ26" s="180">
        <v>5820957</v>
      </c>
      <c r="AR26" s="180">
        <v>0</v>
      </c>
      <c r="AS26" s="180">
        <v>2220</v>
      </c>
      <c r="AT26" s="180">
        <v>1490859</v>
      </c>
      <c r="AU26" s="180">
        <v>61175</v>
      </c>
      <c r="AV26" s="180">
        <v>0</v>
      </c>
      <c r="AW26" s="180">
        <v>0</v>
      </c>
      <c r="AX26" s="180">
        <v>21214</v>
      </c>
      <c r="AY26" s="180">
        <v>0</v>
      </c>
      <c r="AZ26" s="180">
        <v>0</v>
      </c>
      <c r="BA26" s="180">
        <v>55358</v>
      </c>
      <c r="BB26" s="180">
        <v>13110</v>
      </c>
      <c r="BC26" s="180">
        <v>447106</v>
      </c>
      <c r="BD26" s="180">
        <v>0</v>
      </c>
      <c r="BE26" s="180">
        <v>0</v>
      </c>
      <c r="BF26" s="180">
        <v>240955</v>
      </c>
      <c r="BG26" s="180">
        <v>0</v>
      </c>
      <c r="BH26" s="180">
        <v>0</v>
      </c>
      <c r="BI26" s="180">
        <v>253891</v>
      </c>
      <c r="BJ26" s="180">
        <v>0</v>
      </c>
      <c r="BK26" s="180">
        <v>24601</v>
      </c>
      <c r="BL26" s="180">
        <v>63783</v>
      </c>
      <c r="BM26" s="180">
        <v>22800</v>
      </c>
      <c r="BN26" s="180">
        <v>0</v>
      </c>
      <c r="BO26" s="180">
        <v>973420</v>
      </c>
      <c r="BP26" s="180">
        <v>16931566</v>
      </c>
      <c r="BQ26" s="180">
        <v>0</v>
      </c>
      <c r="BR26" s="180"/>
      <c r="BS26" s="180">
        <v>63362</v>
      </c>
      <c r="BT26" s="180"/>
      <c r="BU26" s="180">
        <v>310429</v>
      </c>
      <c r="BV26" s="180">
        <v>0</v>
      </c>
      <c r="BW26" s="180">
        <v>1385938</v>
      </c>
      <c r="BX26" s="180">
        <v>269232</v>
      </c>
      <c r="BY26" s="180"/>
      <c r="BZ26" s="180">
        <v>240631</v>
      </c>
      <c r="CA26" s="180">
        <v>23509</v>
      </c>
      <c r="CB26" s="180">
        <v>243796</v>
      </c>
      <c r="CC26" s="180">
        <v>68206</v>
      </c>
      <c r="CD26" s="180">
        <v>102323</v>
      </c>
      <c r="CE26" s="180"/>
      <c r="CF26" s="180">
        <v>844893</v>
      </c>
      <c r="CG26" s="180">
        <v>0</v>
      </c>
      <c r="CH26" s="180">
        <v>443860</v>
      </c>
      <c r="CI26" s="180">
        <v>0</v>
      </c>
      <c r="CJ26" s="180"/>
      <c r="CK26" s="180">
        <v>33905</v>
      </c>
      <c r="CL26" s="180"/>
      <c r="CM26" s="180"/>
      <c r="CN26" s="180"/>
      <c r="CO26" s="180"/>
      <c r="CP26" s="180"/>
      <c r="CQ26" s="180"/>
      <c r="CR26" s="180"/>
      <c r="CS26" s="180"/>
      <c r="CT26" s="180"/>
      <c r="CU26" s="180"/>
    </row>
    <row r="27" spans="1:99" s="561" customFormat="1" x14ac:dyDescent="0.3">
      <c r="A27" s="560">
        <v>82</v>
      </c>
      <c r="B27" s="561" t="s">
        <v>309</v>
      </c>
      <c r="D27" s="561">
        <v>0</v>
      </c>
      <c r="E27" s="561">
        <v>0</v>
      </c>
      <c r="F27" s="561">
        <v>0</v>
      </c>
      <c r="G27" s="561">
        <v>10185</v>
      </c>
      <c r="I27" s="561">
        <v>2474751</v>
      </c>
      <c r="J27" s="561">
        <v>0</v>
      </c>
      <c r="K27" s="561">
        <v>27692900</v>
      </c>
      <c r="L27" s="561">
        <v>0</v>
      </c>
      <c r="M27" s="561">
        <v>0</v>
      </c>
      <c r="O27" s="561">
        <v>256885375</v>
      </c>
      <c r="P27" s="561">
        <v>0</v>
      </c>
      <c r="Q27" s="561">
        <v>0</v>
      </c>
      <c r="R27" s="561">
        <v>0</v>
      </c>
      <c r="S27" s="561">
        <v>0</v>
      </c>
      <c r="T27" s="561">
        <v>0</v>
      </c>
      <c r="U27" s="561">
        <v>0</v>
      </c>
      <c r="V27" s="561">
        <v>0</v>
      </c>
      <c r="W27" s="561">
        <v>3094000</v>
      </c>
      <c r="X27" s="561">
        <v>0</v>
      </c>
      <c r="Y27" s="561">
        <v>1769322000</v>
      </c>
      <c r="Z27" s="561">
        <v>0</v>
      </c>
      <c r="AA27" s="561">
        <v>0</v>
      </c>
      <c r="AB27" s="561">
        <v>0</v>
      </c>
      <c r="AD27" s="561">
        <v>0</v>
      </c>
      <c r="AE27" s="561">
        <v>393165</v>
      </c>
      <c r="AF27" s="561">
        <v>35686903</v>
      </c>
      <c r="AG27" s="561">
        <v>0</v>
      </c>
      <c r="AH27" s="561">
        <v>0</v>
      </c>
      <c r="AI27" s="561">
        <v>7096968</v>
      </c>
      <c r="AJ27" s="561">
        <v>0</v>
      </c>
      <c r="AK27" s="561">
        <v>0</v>
      </c>
      <c r="AL27" s="561">
        <v>591500</v>
      </c>
      <c r="AN27" s="561">
        <v>2066590</v>
      </c>
      <c r="AP27" s="561">
        <v>0</v>
      </c>
      <c r="AQ27" s="561">
        <v>21294640</v>
      </c>
      <c r="AR27" s="561">
        <v>0</v>
      </c>
      <c r="AS27" s="561">
        <v>0</v>
      </c>
      <c r="AT27" s="561">
        <v>2448779</v>
      </c>
      <c r="AU27" s="561">
        <v>0</v>
      </c>
      <c r="AV27" s="561">
        <v>0</v>
      </c>
      <c r="AW27" s="561">
        <v>0</v>
      </c>
      <c r="AX27" s="561">
        <v>91200</v>
      </c>
      <c r="AY27" s="561">
        <v>0</v>
      </c>
      <c r="AZ27" s="561">
        <v>0</v>
      </c>
      <c r="BA27" s="561">
        <v>169508</v>
      </c>
      <c r="BB27" s="561">
        <v>0</v>
      </c>
      <c r="BC27" s="561">
        <v>2303926</v>
      </c>
      <c r="BD27" s="561">
        <v>0</v>
      </c>
      <c r="BE27" s="561">
        <v>0</v>
      </c>
      <c r="BF27" s="561">
        <v>2306378</v>
      </c>
      <c r="BG27" s="561">
        <v>0</v>
      </c>
      <c r="BH27" s="561">
        <v>0</v>
      </c>
      <c r="BI27" s="561">
        <v>2798147</v>
      </c>
      <c r="BJ27" s="561">
        <v>0</v>
      </c>
      <c r="BK27" s="561">
        <v>182244</v>
      </c>
      <c r="BL27" s="561">
        <v>306206</v>
      </c>
      <c r="BM27" s="561">
        <v>11114</v>
      </c>
      <c r="BN27" s="561">
        <v>0</v>
      </c>
      <c r="BO27" s="561">
        <v>8782059</v>
      </c>
      <c r="BP27" s="561">
        <v>323967014</v>
      </c>
      <c r="BQ27" s="561">
        <v>0</v>
      </c>
      <c r="BS27" s="561">
        <v>0</v>
      </c>
      <c r="BU27" s="561">
        <v>1373000</v>
      </c>
      <c r="BV27" s="561">
        <v>0</v>
      </c>
      <c r="BW27" s="561">
        <v>16003574</v>
      </c>
      <c r="BX27" s="561">
        <v>4745161</v>
      </c>
      <c r="BZ27" s="561">
        <v>831018</v>
      </c>
      <c r="CA27" s="561">
        <v>182000</v>
      </c>
      <c r="CB27" s="561">
        <v>2017458</v>
      </c>
      <c r="CC27" s="561">
        <v>0</v>
      </c>
      <c r="CD27" s="561">
        <v>1771000</v>
      </c>
      <c r="CF27" s="561">
        <v>58057</v>
      </c>
      <c r="CG27" s="561">
        <v>0</v>
      </c>
      <c r="CH27" s="561">
        <v>1782475</v>
      </c>
      <c r="CI27" s="561">
        <v>0</v>
      </c>
      <c r="CK27" s="561">
        <v>0</v>
      </c>
    </row>
    <row r="28" spans="1:99" s="561" customFormat="1" x14ac:dyDescent="0.3">
      <c r="A28" s="560">
        <v>83</v>
      </c>
      <c r="B28" s="561" t="s">
        <v>94</v>
      </c>
      <c r="D28" s="561">
        <v>3085460</v>
      </c>
      <c r="E28" s="561">
        <v>0</v>
      </c>
      <c r="F28" s="561">
        <v>4333242</v>
      </c>
      <c r="G28" s="561">
        <v>585343</v>
      </c>
      <c r="I28" s="561">
        <v>11636279</v>
      </c>
      <c r="J28" s="561">
        <v>0</v>
      </c>
      <c r="K28" s="561">
        <v>22654411</v>
      </c>
      <c r="L28" s="561">
        <v>0</v>
      </c>
      <c r="M28" s="561">
        <v>0</v>
      </c>
      <c r="O28" s="561">
        <v>875460888</v>
      </c>
      <c r="P28" s="561">
        <v>0</v>
      </c>
      <c r="Q28" s="561">
        <v>0</v>
      </c>
      <c r="R28" s="561">
        <v>0</v>
      </c>
      <c r="S28" s="561">
        <v>0</v>
      </c>
      <c r="T28" s="561">
        <v>0</v>
      </c>
      <c r="U28" s="561">
        <v>0</v>
      </c>
      <c r="V28" s="561">
        <v>2282220</v>
      </c>
      <c r="W28" s="561">
        <v>10346170</v>
      </c>
      <c r="X28" s="561">
        <v>0</v>
      </c>
      <c r="Y28" s="561">
        <v>2962917000</v>
      </c>
      <c r="Z28" s="561">
        <v>11030732</v>
      </c>
      <c r="AA28" s="561">
        <v>3720024</v>
      </c>
      <c r="AB28" s="561">
        <v>0</v>
      </c>
      <c r="AD28" s="561">
        <v>8601360</v>
      </c>
      <c r="AE28" s="561">
        <v>4857089</v>
      </c>
      <c r="AF28" s="561">
        <v>100422328</v>
      </c>
      <c r="AG28" s="561">
        <v>0</v>
      </c>
      <c r="AH28" s="561">
        <v>6394233</v>
      </c>
      <c r="AI28" s="561">
        <v>21264127</v>
      </c>
      <c r="AJ28" s="561">
        <v>3518156</v>
      </c>
      <c r="AK28" s="561">
        <v>1011229</v>
      </c>
      <c r="AL28" s="561">
        <v>1728636</v>
      </c>
      <c r="AN28" s="561">
        <v>11116689</v>
      </c>
      <c r="AP28" s="561">
        <v>0</v>
      </c>
      <c r="AQ28" s="561">
        <v>271980937</v>
      </c>
      <c r="AR28" s="561">
        <v>0</v>
      </c>
      <c r="AS28" s="561">
        <v>2035443</v>
      </c>
      <c r="AT28" s="561">
        <v>36023613</v>
      </c>
      <c r="AU28" s="561">
        <v>4057991</v>
      </c>
      <c r="AV28" s="561">
        <v>0</v>
      </c>
      <c r="AW28" s="561">
        <v>0</v>
      </c>
      <c r="AX28" s="561">
        <v>5059807</v>
      </c>
      <c r="AY28" s="561">
        <v>0</v>
      </c>
      <c r="AZ28" s="561">
        <v>0</v>
      </c>
      <c r="BA28" s="561">
        <v>5225298</v>
      </c>
      <c r="BB28" s="561">
        <v>1129886</v>
      </c>
      <c r="BC28" s="561">
        <v>8767544</v>
      </c>
      <c r="BD28" s="561">
        <v>0</v>
      </c>
      <c r="BE28" s="561">
        <v>0</v>
      </c>
      <c r="BF28" s="561">
        <v>8862088</v>
      </c>
      <c r="BG28" s="561">
        <v>0</v>
      </c>
      <c r="BH28" s="561">
        <v>0</v>
      </c>
      <c r="BI28" s="561">
        <v>10207159</v>
      </c>
      <c r="BJ28" s="561">
        <v>0</v>
      </c>
      <c r="BK28" s="561">
        <v>7739172</v>
      </c>
      <c r="BL28" s="561">
        <v>854466</v>
      </c>
      <c r="BM28" s="561">
        <v>2100155</v>
      </c>
      <c r="BN28" s="561">
        <v>0</v>
      </c>
      <c r="BO28" s="561">
        <v>23695101</v>
      </c>
      <c r="BP28" s="561">
        <v>914600316</v>
      </c>
      <c r="BQ28" s="561">
        <v>0</v>
      </c>
      <c r="BS28" s="561">
        <v>1067949</v>
      </c>
      <c r="BU28" s="561">
        <v>1930021</v>
      </c>
      <c r="BV28" s="561">
        <v>0</v>
      </c>
      <c r="BW28" s="561">
        <v>60799407</v>
      </c>
      <c r="BX28" s="561">
        <v>7838219</v>
      </c>
      <c r="BZ28" s="561">
        <v>16091348</v>
      </c>
      <c r="CA28" s="561">
        <v>1643426</v>
      </c>
      <c r="CB28" s="561">
        <v>6664534</v>
      </c>
      <c r="CC28" s="561">
        <v>4409057</v>
      </c>
      <c r="CD28" s="561">
        <v>4217509</v>
      </c>
      <c r="CF28" s="561">
        <v>9847382</v>
      </c>
      <c r="CG28" s="561">
        <v>0</v>
      </c>
      <c r="CH28" s="561">
        <v>5811520</v>
      </c>
      <c r="CI28" s="561">
        <v>0</v>
      </c>
      <c r="CK28" s="561">
        <v>1682263</v>
      </c>
    </row>
    <row r="29" spans="1:99" s="561" customFormat="1" x14ac:dyDescent="0.3">
      <c r="A29" s="560">
        <v>84</v>
      </c>
      <c r="B29" s="561" t="s">
        <v>218</v>
      </c>
      <c r="D29" s="561">
        <v>178928</v>
      </c>
      <c r="E29" s="561">
        <v>0</v>
      </c>
      <c r="F29" s="561">
        <v>383736</v>
      </c>
      <c r="G29" s="561">
        <v>84700</v>
      </c>
      <c r="I29" s="561">
        <v>2819038</v>
      </c>
      <c r="J29" s="561">
        <v>0</v>
      </c>
      <c r="K29" s="561">
        <v>9543421</v>
      </c>
      <c r="L29" s="561">
        <v>0</v>
      </c>
      <c r="M29" s="561">
        <v>0</v>
      </c>
      <c r="O29" s="561">
        <v>86416882</v>
      </c>
      <c r="P29" s="561">
        <v>0</v>
      </c>
      <c r="Q29" s="561">
        <v>0</v>
      </c>
      <c r="R29" s="561">
        <v>0</v>
      </c>
      <c r="S29" s="561">
        <v>0</v>
      </c>
      <c r="T29" s="561">
        <v>0</v>
      </c>
      <c r="U29" s="561">
        <v>0</v>
      </c>
      <c r="V29" s="561">
        <v>59145</v>
      </c>
      <c r="W29" s="561">
        <v>885981</v>
      </c>
      <c r="X29" s="561">
        <v>0</v>
      </c>
      <c r="Y29" s="561">
        <v>499139000</v>
      </c>
      <c r="Z29" s="561">
        <v>3005342</v>
      </c>
      <c r="AA29" s="561">
        <v>89013</v>
      </c>
      <c r="AB29" s="561">
        <v>0</v>
      </c>
      <c r="AD29" s="561">
        <v>1949331</v>
      </c>
      <c r="AE29" s="561">
        <v>684995</v>
      </c>
      <c r="AF29" s="561">
        <v>23322221</v>
      </c>
      <c r="AG29" s="561">
        <v>0</v>
      </c>
      <c r="AH29" s="561">
        <v>524911</v>
      </c>
      <c r="AI29" s="561">
        <v>5861283</v>
      </c>
      <c r="AJ29" s="561">
        <v>1127071</v>
      </c>
      <c r="AK29" s="561">
        <v>451011</v>
      </c>
      <c r="AL29" s="561">
        <v>262320</v>
      </c>
      <c r="AN29" s="561">
        <v>642802</v>
      </c>
      <c r="AP29" s="561">
        <v>0</v>
      </c>
      <c r="AQ29" s="561">
        <v>50275591</v>
      </c>
      <c r="AR29" s="561">
        <v>0</v>
      </c>
      <c r="AS29" s="561">
        <v>56479</v>
      </c>
      <c r="AT29" s="561">
        <v>5684632</v>
      </c>
      <c r="AU29" s="561">
        <v>484854</v>
      </c>
      <c r="AV29" s="561">
        <v>0</v>
      </c>
      <c r="AW29" s="561">
        <v>0</v>
      </c>
      <c r="AX29" s="561">
        <v>203850</v>
      </c>
      <c r="AY29" s="561">
        <v>0</v>
      </c>
      <c r="AZ29" s="561">
        <v>0</v>
      </c>
      <c r="BA29" s="561">
        <v>407996</v>
      </c>
      <c r="BB29" s="561">
        <v>102000</v>
      </c>
      <c r="BC29" s="561">
        <v>3323339</v>
      </c>
      <c r="BD29" s="561">
        <v>0</v>
      </c>
      <c r="BE29" s="561">
        <v>0</v>
      </c>
      <c r="BF29" s="561">
        <v>1582405</v>
      </c>
      <c r="BG29" s="561">
        <v>0</v>
      </c>
      <c r="BH29" s="561">
        <v>0</v>
      </c>
      <c r="BI29" s="561">
        <v>1921242</v>
      </c>
      <c r="BJ29" s="561">
        <v>0</v>
      </c>
      <c r="BK29" s="561">
        <v>261724</v>
      </c>
      <c r="BL29" s="561">
        <v>679405</v>
      </c>
      <c r="BM29" s="561">
        <v>236188</v>
      </c>
      <c r="BN29" s="561">
        <v>0</v>
      </c>
      <c r="BO29" s="561">
        <v>6573067</v>
      </c>
      <c r="BP29" s="561">
        <v>114666950</v>
      </c>
      <c r="BQ29" s="561">
        <v>0</v>
      </c>
      <c r="BS29" s="561">
        <v>352420</v>
      </c>
      <c r="BU29" s="561">
        <v>962642</v>
      </c>
      <c r="BV29" s="561">
        <v>0</v>
      </c>
      <c r="BW29" s="561">
        <v>9422190</v>
      </c>
      <c r="BX29" s="561">
        <v>2707730</v>
      </c>
      <c r="BZ29" s="561">
        <v>1731436</v>
      </c>
      <c r="CA29" s="561">
        <v>301287</v>
      </c>
      <c r="CB29" s="561">
        <v>1848605</v>
      </c>
      <c r="CC29" s="561">
        <v>601935</v>
      </c>
      <c r="CD29" s="561">
        <v>546136</v>
      </c>
      <c r="CF29" s="561">
        <v>5221567</v>
      </c>
      <c r="CG29" s="561">
        <v>0</v>
      </c>
      <c r="CH29" s="561">
        <v>1179972</v>
      </c>
      <c r="CI29" s="561">
        <v>0</v>
      </c>
      <c r="CK29" s="561">
        <v>159173</v>
      </c>
    </row>
    <row r="30" spans="1:99" s="561" customFormat="1" ht="13.95" customHeight="1" x14ac:dyDescent="0.3">
      <c r="A30" s="560">
        <v>85</v>
      </c>
      <c r="B30" s="561" t="s">
        <v>220</v>
      </c>
      <c r="D30" s="561">
        <v>289733</v>
      </c>
      <c r="E30" s="561">
        <v>0</v>
      </c>
      <c r="F30" s="561">
        <v>336468</v>
      </c>
      <c r="G30" s="561">
        <v>115956</v>
      </c>
      <c r="I30" s="561">
        <v>2428454</v>
      </c>
      <c r="J30" s="561">
        <v>0</v>
      </c>
      <c r="K30" s="561">
        <v>6943864</v>
      </c>
      <c r="L30" s="561">
        <v>0</v>
      </c>
      <c r="M30" s="561">
        <v>0</v>
      </c>
      <c r="O30" s="561">
        <v>71313725</v>
      </c>
      <c r="P30" s="561">
        <v>0</v>
      </c>
      <c r="Q30" s="561">
        <v>0</v>
      </c>
      <c r="R30" s="561">
        <v>0</v>
      </c>
      <c r="S30" s="561">
        <v>0</v>
      </c>
      <c r="T30" s="561">
        <v>0</v>
      </c>
      <c r="U30" s="561">
        <v>0</v>
      </c>
      <c r="V30" s="561">
        <v>125945</v>
      </c>
      <c r="W30" s="561">
        <v>1002183</v>
      </c>
      <c r="X30" s="561">
        <v>0</v>
      </c>
      <c r="Y30" s="561">
        <v>429609000</v>
      </c>
      <c r="Z30" s="561">
        <v>2886518</v>
      </c>
      <c r="AA30" s="561">
        <v>144371</v>
      </c>
      <c r="AB30" s="561">
        <v>0</v>
      </c>
      <c r="AD30" s="561">
        <v>1481418</v>
      </c>
      <c r="AE30" s="561">
        <v>668775</v>
      </c>
      <c r="AF30" s="561">
        <v>20371375</v>
      </c>
      <c r="AG30" s="561">
        <v>0</v>
      </c>
      <c r="AH30" s="561">
        <v>479554</v>
      </c>
      <c r="AI30" s="561">
        <v>5708644</v>
      </c>
      <c r="AJ30" s="561">
        <v>1176263</v>
      </c>
      <c r="AK30" s="561">
        <v>432547</v>
      </c>
      <c r="AL30" s="561">
        <v>291865</v>
      </c>
      <c r="AN30" s="561">
        <v>1087101</v>
      </c>
      <c r="AP30" s="561">
        <v>0</v>
      </c>
      <c r="AQ30" s="561">
        <v>41527635</v>
      </c>
      <c r="AR30" s="561">
        <v>0</v>
      </c>
      <c r="AS30" s="561">
        <v>139075</v>
      </c>
      <c r="AT30" s="561">
        <v>4616212</v>
      </c>
      <c r="AU30" s="561">
        <v>515590</v>
      </c>
      <c r="AV30" s="561">
        <v>0</v>
      </c>
      <c r="AW30" s="561">
        <v>0</v>
      </c>
      <c r="AX30" s="561">
        <v>385310</v>
      </c>
      <c r="AY30" s="561">
        <v>0</v>
      </c>
      <c r="AZ30" s="561">
        <v>0</v>
      </c>
      <c r="BA30" s="561">
        <v>530220</v>
      </c>
      <c r="BB30" s="561">
        <v>145807</v>
      </c>
      <c r="BC30" s="561">
        <v>3032264</v>
      </c>
      <c r="BD30" s="561">
        <v>0</v>
      </c>
      <c r="BE30" s="561">
        <v>0</v>
      </c>
      <c r="BF30" s="561">
        <v>1440113</v>
      </c>
      <c r="BG30" s="561">
        <v>0</v>
      </c>
      <c r="BH30" s="561">
        <v>0</v>
      </c>
      <c r="BI30" s="561">
        <v>2215679</v>
      </c>
      <c r="BJ30" s="561">
        <v>0</v>
      </c>
      <c r="BK30" s="561">
        <v>448474</v>
      </c>
      <c r="BL30" s="561">
        <v>629402</v>
      </c>
      <c r="BM30" s="561">
        <v>259851</v>
      </c>
      <c r="BN30" s="561">
        <v>0</v>
      </c>
      <c r="BO30" s="561">
        <v>6169708</v>
      </c>
      <c r="BP30" s="561">
        <v>94371083</v>
      </c>
      <c r="BQ30" s="561">
        <v>0</v>
      </c>
      <c r="BS30" s="561">
        <v>320500</v>
      </c>
      <c r="BU30" s="561">
        <v>976365</v>
      </c>
      <c r="BV30" s="561">
        <v>0</v>
      </c>
      <c r="BW30" s="561">
        <v>10387770</v>
      </c>
      <c r="BX30" s="561">
        <v>2572916</v>
      </c>
      <c r="BZ30" s="561">
        <v>2030333</v>
      </c>
      <c r="CA30" s="561">
        <v>399061</v>
      </c>
      <c r="CB30" s="561">
        <v>1221010</v>
      </c>
      <c r="CC30" s="561">
        <v>579733</v>
      </c>
      <c r="CD30" s="561">
        <v>721473</v>
      </c>
      <c r="CF30" s="561">
        <v>3937415</v>
      </c>
      <c r="CG30" s="561">
        <v>0</v>
      </c>
      <c r="CH30" s="561">
        <v>1154831</v>
      </c>
      <c r="CI30" s="561">
        <v>0</v>
      </c>
      <c r="CK30" s="561">
        <v>196756</v>
      </c>
    </row>
    <row r="31" spans="1:99" x14ac:dyDescent="0.3">
      <c r="A31" s="155">
        <v>88</v>
      </c>
      <c r="B31" s="180" t="s">
        <v>217</v>
      </c>
      <c r="C31" s="180"/>
      <c r="D31" s="180">
        <v>178928</v>
      </c>
      <c r="E31" s="180">
        <v>0</v>
      </c>
      <c r="F31" s="180">
        <v>376694</v>
      </c>
      <c r="G31" s="180">
        <v>83051</v>
      </c>
      <c r="H31" s="180"/>
      <c r="I31" s="180">
        <v>2714008</v>
      </c>
      <c r="J31" s="180">
        <v>0</v>
      </c>
      <c r="K31" s="180">
        <v>8894951</v>
      </c>
      <c r="L31" s="180">
        <v>0</v>
      </c>
      <c r="M31" s="180">
        <v>0</v>
      </c>
      <c r="N31" s="180"/>
      <c r="O31" s="180">
        <v>84215302</v>
      </c>
      <c r="P31" s="180">
        <v>0</v>
      </c>
      <c r="Q31" s="180">
        <v>0</v>
      </c>
      <c r="R31" s="180">
        <v>0</v>
      </c>
      <c r="S31" s="180">
        <v>0</v>
      </c>
      <c r="T31" s="180">
        <v>0</v>
      </c>
      <c r="U31" s="180">
        <v>0</v>
      </c>
      <c r="V31" s="180">
        <v>59145</v>
      </c>
      <c r="W31" s="180">
        <v>849653</v>
      </c>
      <c r="X31" s="180">
        <v>0</v>
      </c>
      <c r="Y31" s="180">
        <v>396831000</v>
      </c>
      <c r="Z31" s="180">
        <v>2841249</v>
      </c>
      <c r="AA31" s="180">
        <v>89013</v>
      </c>
      <c r="AB31" s="180">
        <v>0</v>
      </c>
      <c r="AC31" s="180"/>
      <c r="AD31" s="180">
        <v>1893986</v>
      </c>
      <c r="AE31" s="180">
        <v>657953</v>
      </c>
      <c r="AF31" s="180">
        <v>21908375</v>
      </c>
      <c r="AG31" s="180">
        <v>0</v>
      </c>
      <c r="AH31" s="180">
        <v>486982</v>
      </c>
      <c r="AI31" s="180">
        <v>5750142</v>
      </c>
      <c r="AJ31" s="180">
        <v>1110655</v>
      </c>
      <c r="AK31" s="180">
        <v>396557</v>
      </c>
      <c r="AL31" s="180">
        <v>262270</v>
      </c>
      <c r="AM31" s="180"/>
      <c r="AN31" s="180">
        <v>641187</v>
      </c>
      <c r="AO31" s="180"/>
      <c r="AP31" s="180">
        <v>0</v>
      </c>
      <c r="AQ31" s="180">
        <v>45306098</v>
      </c>
      <c r="AR31" s="180">
        <v>0</v>
      </c>
      <c r="AS31" s="180">
        <v>56479</v>
      </c>
      <c r="AT31" s="180">
        <v>5684632</v>
      </c>
      <c r="AU31" s="180">
        <v>484854</v>
      </c>
      <c r="AV31" s="180">
        <v>0</v>
      </c>
      <c r="AW31" s="180">
        <v>0</v>
      </c>
      <c r="AX31" s="180">
        <v>197427</v>
      </c>
      <c r="AY31" s="180">
        <v>0</v>
      </c>
      <c r="AZ31" s="180">
        <v>0</v>
      </c>
      <c r="BA31" s="180">
        <v>407996</v>
      </c>
      <c r="BB31" s="180">
        <v>100198</v>
      </c>
      <c r="BC31" s="180">
        <v>3129895</v>
      </c>
      <c r="BD31" s="180">
        <v>0</v>
      </c>
      <c r="BE31" s="180">
        <v>0</v>
      </c>
      <c r="BF31" s="180">
        <v>1496010</v>
      </c>
      <c r="BG31" s="180">
        <v>0</v>
      </c>
      <c r="BH31" s="180">
        <v>0</v>
      </c>
      <c r="BI31" s="180">
        <v>1893736</v>
      </c>
      <c r="BJ31" s="180">
        <v>0</v>
      </c>
      <c r="BK31" s="180">
        <v>224221</v>
      </c>
      <c r="BL31" s="180">
        <v>659335</v>
      </c>
      <c r="BM31" s="180">
        <v>232395</v>
      </c>
      <c r="BN31" s="180">
        <v>0</v>
      </c>
      <c r="BO31" s="180">
        <v>6235436</v>
      </c>
      <c r="BP31" s="180">
        <v>114666950</v>
      </c>
      <c r="BQ31" s="180">
        <v>0</v>
      </c>
      <c r="BR31" s="180"/>
      <c r="BS31" s="180">
        <v>334037</v>
      </c>
      <c r="BT31" s="180"/>
      <c r="BU31" s="180">
        <v>929418</v>
      </c>
      <c r="BV31" s="180">
        <v>0</v>
      </c>
      <c r="BW31" s="180">
        <v>9422190</v>
      </c>
      <c r="BX31" s="180">
        <v>2692173</v>
      </c>
      <c r="BY31" s="180"/>
      <c r="BZ31" s="180">
        <v>1579389</v>
      </c>
      <c r="CA31" s="180">
        <v>299044</v>
      </c>
      <c r="CB31" s="180">
        <v>1717648</v>
      </c>
      <c r="CC31" s="180">
        <v>560553</v>
      </c>
      <c r="CD31" s="180">
        <v>508501</v>
      </c>
      <c r="CE31" s="180"/>
      <c r="CF31" s="180">
        <v>5151004</v>
      </c>
      <c r="CG31" s="180">
        <v>0</v>
      </c>
      <c r="CH31" s="180">
        <v>1179972</v>
      </c>
      <c r="CI31" s="180">
        <v>0</v>
      </c>
      <c r="CJ31" s="180"/>
      <c r="CK31" s="180">
        <v>156768</v>
      </c>
      <c r="CL31" s="180"/>
      <c r="CM31" s="180"/>
      <c r="CN31" s="180"/>
      <c r="CO31" s="180"/>
      <c r="CP31" s="180"/>
      <c r="CQ31" s="180"/>
      <c r="CR31" s="180"/>
      <c r="CS31" s="180"/>
      <c r="CT31" s="180"/>
      <c r="CU31" s="180"/>
    </row>
    <row r="32" spans="1:99" x14ac:dyDescent="0.3">
      <c r="A32" s="155">
        <v>89</v>
      </c>
      <c r="B32" s="180" t="s">
        <v>221</v>
      </c>
      <c r="C32" s="180"/>
      <c r="D32" s="180">
        <v>0</v>
      </c>
      <c r="E32" s="180">
        <v>0</v>
      </c>
      <c r="F32" s="180">
        <v>0</v>
      </c>
      <c r="G32" s="180">
        <v>175</v>
      </c>
      <c r="H32" s="180"/>
      <c r="I32" s="180">
        <v>58308</v>
      </c>
      <c r="J32" s="180">
        <v>0</v>
      </c>
      <c r="K32" s="180">
        <v>1009529</v>
      </c>
      <c r="L32" s="180">
        <v>0</v>
      </c>
      <c r="M32" s="180">
        <v>0</v>
      </c>
      <c r="N32" s="180"/>
      <c r="O32" s="180">
        <v>6449150</v>
      </c>
      <c r="P32" s="180">
        <v>0</v>
      </c>
      <c r="Q32" s="180">
        <v>0</v>
      </c>
      <c r="R32" s="180">
        <v>0</v>
      </c>
      <c r="S32" s="180">
        <v>0</v>
      </c>
      <c r="T32" s="180">
        <v>0</v>
      </c>
      <c r="U32" s="180">
        <v>0</v>
      </c>
      <c r="V32" s="180">
        <v>0</v>
      </c>
      <c r="W32" s="180">
        <v>60545</v>
      </c>
      <c r="X32" s="180">
        <v>0</v>
      </c>
      <c r="Y32" s="180">
        <v>45146000</v>
      </c>
      <c r="Z32" s="180">
        <v>136319</v>
      </c>
      <c r="AA32" s="180">
        <v>0</v>
      </c>
      <c r="AB32" s="180">
        <v>0</v>
      </c>
      <c r="AC32" s="180"/>
      <c r="AD32" s="180">
        <v>0</v>
      </c>
      <c r="AE32" s="180">
        <v>0</v>
      </c>
      <c r="AF32" s="180">
        <v>766350</v>
      </c>
      <c r="AG32" s="180">
        <v>0</v>
      </c>
      <c r="AH32" s="180">
        <v>0</v>
      </c>
      <c r="AI32" s="180">
        <v>162382</v>
      </c>
      <c r="AJ32" s="180">
        <v>73</v>
      </c>
      <c r="AK32" s="180">
        <v>0</v>
      </c>
      <c r="AL32" s="180">
        <v>17597</v>
      </c>
      <c r="AM32" s="180"/>
      <c r="AN32" s="180">
        <v>65155</v>
      </c>
      <c r="AO32" s="180"/>
      <c r="AP32" s="180">
        <v>0</v>
      </c>
      <c r="AQ32" s="180">
        <v>805328</v>
      </c>
      <c r="AR32" s="180">
        <v>0</v>
      </c>
      <c r="AS32" s="180">
        <v>0</v>
      </c>
      <c r="AT32" s="180">
        <v>2434</v>
      </c>
      <c r="AU32" s="180">
        <v>0</v>
      </c>
      <c r="AV32" s="180">
        <v>0</v>
      </c>
      <c r="AW32" s="180">
        <v>0</v>
      </c>
      <c r="AX32" s="180">
        <v>0</v>
      </c>
      <c r="AY32" s="180">
        <v>0</v>
      </c>
      <c r="AZ32" s="180">
        <v>0</v>
      </c>
      <c r="BA32" s="180">
        <v>0</v>
      </c>
      <c r="BB32" s="180">
        <v>0</v>
      </c>
      <c r="BC32" s="180">
        <v>88311</v>
      </c>
      <c r="BD32" s="180">
        <v>0</v>
      </c>
      <c r="BE32" s="180">
        <v>0</v>
      </c>
      <c r="BF32" s="180">
        <v>35156</v>
      </c>
      <c r="BG32" s="180">
        <v>0</v>
      </c>
      <c r="BH32" s="180">
        <v>0</v>
      </c>
      <c r="BI32" s="180">
        <v>44856</v>
      </c>
      <c r="BJ32" s="180">
        <v>0</v>
      </c>
      <c r="BK32" s="180">
        <v>0</v>
      </c>
      <c r="BL32" s="180">
        <v>0</v>
      </c>
      <c r="BM32" s="180">
        <v>0</v>
      </c>
      <c r="BN32" s="180">
        <v>0</v>
      </c>
      <c r="BO32" s="180">
        <v>157266</v>
      </c>
      <c r="BP32" s="180">
        <v>9680478</v>
      </c>
      <c r="BQ32" s="180">
        <v>0</v>
      </c>
      <c r="BR32" s="180"/>
      <c r="BS32" s="180">
        <v>0</v>
      </c>
      <c r="BT32" s="180"/>
      <c r="BU32" s="180">
        <v>58369</v>
      </c>
      <c r="BV32" s="180">
        <v>0</v>
      </c>
      <c r="BW32" s="180">
        <v>118122</v>
      </c>
      <c r="BX32" s="180">
        <v>72384</v>
      </c>
      <c r="BY32" s="180"/>
      <c r="BZ32" s="180">
        <v>12585</v>
      </c>
      <c r="CA32" s="180">
        <v>9287</v>
      </c>
      <c r="CB32" s="180">
        <v>45970</v>
      </c>
      <c r="CC32" s="180">
        <v>0</v>
      </c>
      <c r="CD32" s="180">
        <v>49665</v>
      </c>
      <c r="CE32" s="180"/>
      <c r="CF32" s="180">
        <v>0</v>
      </c>
      <c r="CG32" s="180">
        <v>0</v>
      </c>
      <c r="CH32" s="180">
        <v>80800</v>
      </c>
      <c r="CI32" s="180">
        <v>0</v>
      </c>
      <c r="CJ32" s="180"/>
      <c r="CK32" s="180">
        <v>0</v>
      </c>
      <c r="CL32" s="180"/>
      <c r="CM32" s="180"/>
      <c r="CN32" s="180"/>
      <c r="CO32" s="180"/>
      <c r="CP32" s="180"/>
      <c r="CQ32" s="180"/>
      <c r="CR32" s="180"/>
      <c r="CS32" s="180"/>
      <c r="CT32" s="180"/>
      <c r="CU32" s="180"/>
    </row>
    <row r="33" spans="1:99" x14ac:dyDescent="0.3">
      <c r="A33" s="155">
        <v>90</v>
      </c>
      <c r="B33" s="180" t="s">
        <v>214</v>
      </c>
      <c r="C33" s="180"/>
      <c r="D33" s="180">
        <v>0</v>
      </c>
      <c r="E33" s="180">
        <v>0</v>
      </c>
      <c r="F33" s="180">
        <v>0</v>
      </c>
      <c r="G33" s="180">
        <v>0</v>
      </c>
      <c r="H33" s="180"/>
      <c r="I33" s="180">
        <v>0</v>
      </c>
      <c r="J33" s="180">
        <v>0</v>
      </c>
      <c r="K33" s="180">
        <v>0</v>
      </c>
      <c r="L33" s="180">
        <v>0</v>
      </c>
      <c r="M33" s="180">
        <v>0</v>
      </c>
      <c r="N33" s="180"/>
      <c r="O33" s="180">
        <v>0</v>
      </c>
      <c r="P33" s="180">
        <v>0</v>
      </c>
      <c r="Q33" s="180">
        <v>0</v>
      </c>
      <c r="R33" s="180">
        <v>0</v>
      </c>
      <c r="S33" s="180">
        <v>0</v>
      </c>
      <c r="T33" s="180">
        <v>0</v>
      </c>
      <c r="U33" s="180">
        <v>0</v>
      </c>
      <c r="V33" s="180">
        <v>0</v>
      </c>
      <c r="W33" s="180">
        <v>0</v>
      </c>
      <c r="X33" s="180">
        <v>0</v>
      </c>
      <c r="Y33" s="180">
        <v>0</v>
      </c>
      <c r="Z33" s="180">
        <v>3134830</v>
      </c>
      <c r="AA33" s="180">
        <v>0</v>
      </c>
      <c r="AB33" s="180">
        <v>0</v>
      </c>
      <c r="AC33" s="180"/>
      <c r="AD33" s="180">
        <v>0</v>
      </c>
      <c r="AE33" s="180">
        <v>0</v>
      </c>
      <c r="AF33" s="180">
        <v>4840315</v>
      </c>
      <c r="AG33" s="180">
        <v>0</v>
      </c>
      <c r="AH33" s="180">
        <v>0</v>
      </c>
      <c r="AI33" s="180">
        <v>0</v>
      </c>
      <c r="AJ33" s="180">
        <v>0</v>
      </c>
      <c r="AK33" s="180">
        <v>0</v>
      </c>
      <c r="AL33" s="180">
        <v>0</v>
      </c>
      <c r="AM33" s="180"/>
      <c r="AN33" s="180">
        <v>0</v>
      </c>
      <c r="AO33" s="180"/>
      <c r="AP33" s="180">
        <v>0</v>
      </c>
      <c r="AQ33" s="180">
        <v>90283631</v>
      </c>
      <c r="AR33" s="180">
        <v>0</v>
      </c>
      <c r="AS33" s="180">
        <v>0</v>
      </c>
      <c r="AT33" s="180">
        <v>0</v>
      </c>
      <c r="AU33" s="180">
        <v>0</v>
      </c>
      <c r="AV33" s="180">
        <v>0</v>
      </c>
      <c r="AW33" s="180">
        <v>5629038</v>
      </c>
      <c r="AX33" s="180">
        <v>0</v>
      </c>
      <c r="AY33" s="180">
        <v>0</v>
      </c>
      <c r="AZ33" s="180">
        <v>0</v>
      </c>
      <c r="BA33" s="180">
        <v>0</v>
      </c>
      <c r="BB33" s="180">
        <v>0</v>
      </c>
      <c r="BC33" s="180">
        <v>4181442</v>
      </c>
      <c r="BD33" s="180">
        <v>0</v>
      </c>
      <c r="BE33" s="180">
        <v>0</v>
      </c>
      <c r="BF33" s="180">
        <v>0</v>
      </c>
      <c r="BG33" s="180">
        <v>0</v>
      </c>
      <c r="BH33" s="180">
        <v>0</v>
      </c>
      <c r="BI33" s="180">
        <v>0</v>
      </c>
      <c r="BJ33" s="180">
        <v>0</v>
      </c>
      <c r="BK33" s="180">
        <v>0</v>
      </c>
      <c r="BL33" s="180">
        <v>4048212</v>
      </c>
      <c r="BM33" s="180">
        <v>0</v>
      </c>
      <c r="BN33" s="180">
        <v>0</v>
      </c>
      <c r="BO33" s="180">
        <v>0</v>
      </c>
      <c r="BP33" s="180">
        <v>0</v>
      </c>
      <c r="BQ33" s="180">
        <v>0</v>
      </c>
      <c r="BR33" s="180"/>
      <c r="BS33" s="180">
        <v>0</v>
      </c>
      <c r="BT33" s="180"/>
      <c r="BU33" s="180">
        <v>0</v>
      </c>
      <c r="BV33" s="180">
        <v>0</v>
      </c>
      <c r="BW33" s="180">
        <v>0</v>
      </c>
      <c r="BX33" s="180">
        <v>2064588</v>
      </c>
      <c r="BY33" s="180"/>
      <c r="BZ33" s="180">
        <v>0</v>
      </c>
      <c r="CA33" s="180">
        <v>0</v>
      </c>
      <c r="CB33" s="180">
        <v>0</v>
      </c>
      <c r="CC33" s="180">
        <v>0</v>
      </c>
      <c r="CD33" s="180">
        <v>0</v>
      </c>
      <c r="CE33" s="180"/>
      <c r="CF33" s="180">
        <v>0</v>
      </c>
      <c r="CG33" s="180">
        <v>0</v>
      </c>
      <c r="CH33" s="180">
        <v>7204430</v>
      </c>
      <c r="CI33" s="180">
        <v>0</v>
      </c>
      <c r="CJ33" s="180"/>
      <c r="CK33" s="180">
        <v>0</v>
      </c>
      <c r="CL33" s="180"/>
      <c r="CM33" s="180"/>
      <c r="CN33" s="180"/>
      <c r="CO33" s="180"/>
      <c r="CP33" s="180"/>
      <c r="CQ33" s="180"/>
      <c r="CR33" s="180"/>
      <c r="CS33" s="180"/>
      <c r="CT33" s="180"/>
      <c r="CU33" s="180"/>
    </row>
    <row r="34" spans="1:99" x14ac:dyDescent="0.3">
      <c r="A34" s="155">
        <v>91</v>
      </c>
      <c r="B34" s="180" t="s">
        <v>215</v>
      </c>
      <c r="C34" s="180"/>
      <c r="D34" s="180">
        <v>0</v>
      </c>
      <c r="E34" s="180">
        <v>0</v>
      </c>
      <c r="F34" s="180">
        <v>0</v>
      </c>
      <c r="G34" s="180">
        <v>0</v>
      </c>
      <c r="H34" s="180"/>
      <c r="I34" s="180">
        <v>0</v>
      </c>
      <c r="J34" s="180">
        <v>0</v>
      </c>
      <c r="K34" s="180">
        <v>0</v>
      </c>
      <c r="L34" s="180">
        <v>0</v>
      </c>
      <c r="M34" s="180">
        <v>0</v>
      </c>
      <c r="N34" s="180"/>
      <c r="O34" s="180">
        <v>0</v>
      </c>
      <c r="P34" s="180">
        <v>0</v>
      </c>
      <c r="Q34" s="180">
        <v>0</v>
      </c>
      <c r="R34" s="180">
        <v>0</v>
      </c>
      <c r="S34" s="180">
        <v>0</v>
      </c>
      <c r="T34" s="180">
        <v>0</v>
      </c>
      <c r="U34" s="180">
        <v>0</v>
      </c>
      <c r="V34" s="180">
        <v>0</v>
      </c>
      <c r="W34" s="180">
        <v>0</v>
      </c>
      <c r="X34" s="180">
        <v>0</v>
      </c>
      <c r="Y34" s="180">
        <v>0</v>
      </c>
      <c r="Z34" s="180">
        <v>1111419</v>
      </c>
      <c r="AA34" s="180">
        <v>0</v>
      </c>
      <c r="AB34" s="180">
        <v>0</v>
      </c>
      <c r="AC34" s="180"/>
      <c r="AD34" s="180">
        <v>0</v>
      </c>
      <c r="AE34" s="180">
        <v>0</v>
      </c>
      <c r="AF34" s="180">
        <v>1949041</v>
      </c>
      <c r="AG34" s="180">
        <v>0</v>
      </c>
      <c r="AH34" s="180">
        <v>0</v>
      </c>
      <c r="AI34" s="180">
        <v>0</v>
      </c>
      <c r="AJ34" s="180">
        <v>0</v>
      </c>
      <c r="AK34" s="180">
        <v>0</v>
      </c>
      <c r="AL34" s="180">
        <v>0</v>
      </c>
      <c r="AM34" s="180"/>
      <c r="AN34" s="180">
        <v>0</v>
      </c>
      <c r="AO34" s="180"/>
      <c r="AP34" s="180">
        <v>0</v>
      </c>
      <c r="AQ34" s="180">
        <v>11458248</v>
      </c>
      <c r="AR34" s="180">
        <v>0</v>
      </c>
      <c r="AS34" s="180">
        <v>0</v>
      </c>
      <c r="AT34" s="180">
        <v>0</v>
      </c>
      <c r="AU34" s="180">
        <v>0</v>
      </c>
      <c r="AV34" s="180">
        <v>0</v>
      </c>
      <c r="AW34" s="180">
        <v>826063</v>
      </c>
      <c r="AX34" s="180">
        <v>0</v>
      </c>
      <c r="AY34" s="180">
        <v>0</v>
      </c>
      <c r="AZ34" s="180">
        <v>0</v>
      </c>
      <c r="BA34" s="180">
        <v>0</v>
      </c>
      <c r="BB34" s="180">
        <v>0</v>
      </c>
      <c r="BC34" s="180">
        <v>1416543</v>
      </c>
      <c r="BD34" s="180">
        <v>0</v>
      </c>
      <c r="BE34" s="180">
        <v>0</v>
      </c>
      <c r="BF34" s="180">
        <v>0</v>
      </c>
      <c r="BG34" s="180">
        <v>0</v>
      </c>
      <c r="BH34" s="180">
        <v>0</v>
      </c>
      <c r="BI34" s="180">
        <v>0</v>
      </c>
      <c r="BJ34" s="180">
        <v>0</v>
      </c>
      <c r="BK34" s="180">
        <v>0</v>
      </c>
      <c r="BL34" s="180">
        <v>187248</v>
      </c>
      <c r="BM34" s="180">
        <v>0</v>
      </c>
      <c r="BN34" s="180">
        <v>0</v>
      </c>
      <c r="BO34" s="180">
        <v>0</v>
      </c>
      <c r="BP34" s="180">
        <v>0</v>
      </c>
      <c r="BQ34" s="180">
        <v>0</v>
      </c>
      <c r="BR34" s="180"/>
      <c r="BS34" s="180">
        <v>0</v>
      </c>
      <c r="BT34" s="180"/>
      <c r="BU34" s="180">
        <v>0</v>
      </c>
      <c r="BV34" s="180">
        <v>0</v>
      </c>
      <c r="BW34" s="180">
        <v>0</v>
      </c>
      <c r="BX34" s="180">
        <v>140711</v>
      </c>
      <c r="BY34" s="180"/>
      <c r="BZ34" s="180">
        <v>0</v>
      </c>
      <c r="CA34" s="180">
        <v>0</v>
      </c>
      <c r="CB34" s="180">
        <v>0</v>
      </c>
      <c r="CC34" s="180">
        <v>0</v>
      </c>
      <c r="CD34" s="180">
        <v>0</v>
      </c>
      <c r="CE34" s="180"/>
      <c r="CF34" s="180">
        <v>0</v>
      </c>
      <c r="CG34" s="180">
        <v>0</v>
      </c>
      <c r="CH34" s="180">
        <v>818278</v>
      </c>
      <c r="CI34" s="180">
        <v>0</v>
      </c>
      <c r="CJ34" s="180"/>
      <c r="CK34" s="180">
        <v>0</v>
      </c>
      <c r="CL34" s="180"/>
      <c r="CM34" s="180"/>
      <c r="CN34" s="180"/>
      <c r="CO34" s="180"/>
      <c r="CP34" s="180"/>
      <c r="CQ34" s="180"/>
      <c r="CR34" s="180"/>
      <c r="CS34" s="180"/>
      <c r="CT34" s="180"/>
      <c r="CU34" s="180"/>
    </row>
    <row r="35" spans="1:99" x14ac:dyDescent="0.3">
      <c r="A35" s="155">
        <v>93</v>
      </c>
      <c r="B35" s="180" t="s">
        <v>228</v>
      </c>
      <c r="C35" s="180"/>
      <c r="D35" s="180">
        <v>0</v>
      </c>
      <c r="E35" s="180">
        <v>0</v>
      </c>
      <c r="F35" s="180">
        <v>0</v>
      </c>
      <c r="G35" s="180">
        <v>0</v>
      </c>
      <c r="H35" s="180"/>
      <c r="I35" s="180">
        <v>0</v>
      </c>
      <c r="J35" s="180">
        <v>0</v>
      </c>
      <c r="K35" s="180">
        <v>0</v>
      </c>
      <c r="L35" s="180">
        <v>0</v>
      </c>
      <c r="M35" s="180">
        <v>0</v>
      </c>
      <c r="N35" s="180"/>
      <c r="O35" s="180">
        <v>0</v>
      </c>
      <c r="P35" s="180">
        <v>0</v>
      </c>
      <c r="Q35" s="180">
        <v>0</v>
      </c>
      <c r="R35" s="180">
        <v>0</v>
      </c>
      <c r="S35" s="180">
        <v>0</v>
      </c>
      <c r="T35" s="180">
        <v>0</v>
      </c>
      <c r="U35" s="180">
        <v>0</v>
      </c>
      <c r="V35" s="180">
        <v>0</v>
      </c>
      <c r="W35" s="180">
        <v>0</v>
      </c>
      <c r="X35" s="180">
        <v>0</v>
      </c>
      <c r="Y35" s="180">
        <v>0</v>
      </c>
      <c r="Z35" s="180">
        <v>6427852</v>
      </c>
      <c r="AA35" s="180">
        <v>0</v>
      </c>
      <c r="AB35" s="180">
        <v>0</v>
      </c>
      <c r="AC35" s="180"/>
      <c r="AD35" s="180">
        <v>0</v>
      </c>
      <c r="AE35" s="180">
        <v>0</v>
      </c>
      <c r="AF35" s="180">
        <v>15509453</v>
      </c>
      <c r="AG35" s="180">
        <v>0</v>
      </c>
      <c r="AH35" s="180">
        <v>0</v>
      </c>
      <c r="AI35" s="180">
        <v>0</v>
      </c>
      <c r="AJ35" s="180">
        <v>0</v>
      </c>
      <c r="AK35" s="180">
        <v>0</v>
      </c>
      <c r="AL35" s="180">
        <v>0</v>
      </c>
      <c r="AM35" s="180"/>
      <c r="AN35" s="180">
        <v>0</v>
      </c>
      <c r="AO35" s="180"/>
      <c r="AP35" s="180">
        <v>0</v>
      </c>
      <c r="AQ35" s="180">
        <v>86847414</v>
      </c>
      <c r="AR35" s="180">
        <v>0</v>
      </c>
      <c r="AS35" s="180">
        <v>0</v>
      </c>
      <c r="AT35" s="180">
        <v>0</v>
      </c>
      <c r="AU35" s="180">
        <v>0</v>
      </c>
      <c r="AV35" s="180">
        <v>0</v>
      </c>
      <c r="AW35" s="180">
        <v>7014691</v>
      </c>
      <c r="AX35" s="180">
        <v>0</v>
      </c>
      <c r="AY35" s="180">
        <v>0</v>
      </c>
      <c r="AZ35" s="180">
        <v>0</v>
      </c>
      <c r="BA35" s="180">
        <v>0</v>
      </c>
      <c r="BB35" s="180">
        <v>0</v>
      </c>
      <c r="BC35" s="180">
        <v>8222957</v>
      </c>
      <c r="BD35" s="180">
        <v>0</v>
      </c>
      <c r="BE35" s="180">
        <v>0</v>
      </c>
      <c r="BF35" s="180">
        <v>0</v>
      </c>
      <c r="BG35" s="180">
        <v>0</v>
      </c>
      <c r="BH35" s="180">
        <v>0</v>
      </c>
      <c r="BI35" s="180">
        <v>0</v>
      </c>
      <c r="BJ35" s="180">
        <v>0</v>
      </c>
      <c r="BK35" s="180">
        <v>0</v>
      </c>
      <c r="BL35" s="180">
        <v>2329231</v>
      </c>
      <c r="BM35" s="180">
        <v>0</v>
      </c>
      <c r="BN35" s="180">
        <v>0</v>
      </c>
      <c r="BO35" s="180">
        <v>0</v>
      </c>
      <c r="BP35" s="180">
        <v>0</v>
      </c>
      <c r="BQ35" s="180">
        <v>0</v>
      </c>
      <c r="BR35" s="180"/>
      <c r="BS35" s="180">
        <v>0</v>
      </c>
      <c r="BT35" s="180"/>
      <c r="BU35" s="180">
        <v>0</v>
      </c>
      <c r="BV35" s="180">
        <v>0</v>
      </c>
      <c r="BW35" s="180">
        <v>0</v>
      </c>
      <c r="BX35" s="180">
        <v>12507254</v>
      </c>
      <c r="BY35" s="180"/>
      <c r="BZ35" s="180">
        <v>0</v>
      </c>
      <c r="CA35" s="180">
        <v>0</v>
      </c>
      <c r="CB35" s="180">
        <v>0</v>
      </c>
      <c r="CC35" s="180">
        <v>0</v>
      </c>
      <c r="CD35" s="180">
        <v>0</v>
      </c>
      <c r="CE35" s="180"/>
      <c r="CF35" s="180">
        <v>0</v>
      </c>
      <c r="CG35" s="180">
        <v>0</v>
      </c>
      <c r="CH35" s="180">
        <v>2589848</v>
      </c>
      <c r="CI35" s="180">
        <v>0</v>
      </c>
      <c r="CJ35" s="180"/>
      <c r="CK35" s="180">
        <v>0</v>
      </c>
      <c r="CL35" s="180"/>
      <c r="CM35" s="180"/>
      <c r="CN35" s="180"/>
      <c r="CO35" s="180"/>
      <c r="CP35" s="180"/>
      <c r="CQ35" s="180"/>
      <c r="CR35" s="180"/>
      <c r="CS35" s="180"/>
      <c r="CT35" s="180"/>
      <c r="CU35" s="180"/>
    </row>
    <row r="36" spans="1:99" x14ac:dyDescent="0.3">
      <c r="A36" s="155">
        <v>94</v>
      </c>
      <c r="B36" s="180" t="s">
        <v>231</v>
      </c>
      <c r="C36" s="180"/>
      <c r="D36" s="180">
        <v>0</v>
      </c>
      <c r="E36" s="180">
        <v>0</v>
      </c>
      <c r="F36" s="180">
        <v>0</v>
      </c>
      <c r="G36" s="180">
        <v>0</v>
      </c>
      <c r="H36" s="180"/>
      <c r="I36" s="180">
        <v>0</v>
      </c>
      <c r="J36" s="180">
        <v>0</v>
      </c>
      <c r="K36" s="180">
        <v>0</v>
      </c>
      <c r="L36" s="180">
        <v>0</v>
      </c>
      <c r="M36" s="180">
        <v>0</v>
      </c>
      <c r="N36" s="180"/>
      <c r="O36" s="180">
        <v>0</v>
      </c>
      <c r="P36" s="180">
        <v>0</v>
      </c>
      <c r="Q36" s="180">
        <v>0</v>
      </c>
      <c r="R36" s="180">
        <v>0</v>
      </c>
      <c r="S36" s="180">
        <v>0</v>
      </c>
      <c r="T36" s="180">
        <v>0</v>
      </c>
      <c r="U36" s="180">
        <v>0</v>
      </c>
      <c r="V36" s="180">
        <v>0</v>
      </c>
      <c r="W36" s="180">
        <v>0</v>
      </c>
      <c r="X36" s="180">
        <v>0</v>
      </c>
      <c r="Y36" s="180">
        <v>0</v>
      </c>
      <c r="Z36" s="180">
        <v>5904025</v>
      </c>
      <c r="AA36" s="180">
        <v>0</v>
      </c>
      <c r="AB36" s="180">
        <v>0</v>
      </c>
      <c r="AC36" s="180"/>
      <c r="AD36" s="180">
        <v>0</v>
      </c>
      <c r="AE36" s="180">
        <v>0</v>
      </c>
      <c r="AF36" s="180">
        <v>14780385</v>
      </c>
      <c r="AG36" s="180">
        <v>0</v>
      </c>
      <c r="AH36" s="180">
        <v>0</v>
      </c>
      <c r="AI36" s="180">
        <v>0</v>
      </c>
      <c r="AJ36" s="180">
        <v>0</v>
      </c>
      <c r="AK36" s="180">
        <v>0</v>
      </c>
      <c r="AL36" s="180">
        <v>0</v>
      </c>
      <c r="AM36" s="180"/>
      <c r="AN36" s="180">
        <v>0</v>
      </c>
      <c r="AO36" s="180"/>
      <c r="AP36" s="180">
        <v>0</v>
      </c>
      <c r="AQ36" s="180">
        <v>91186064</v>
      </c>
      <c r="AR36" s="180">
        <v>0</v>
      </c>
      <c r="AS36" s="180">
        <v>0</v>
      </c>
      <c r="AT36" s="180">
        <v>0</v>
      </c>
      <c r="AU36" s="180">
        <v>0</v>
      </c>
      <c r="AV36" s="180">
        <v>0</v>
      </c>
      <c r="AW36" s="180">
        <v>6800880</v>
      </c>
      <c r="AX36" s="180">
        <v>0</v>
      </c>
      <c r="AY36" s="180">
        <v>0</v>
      </c>
      <c r="AZ36" s="180">
        <v>0</v>
      </c>
      <c r="BA36" s="180">
        <v>0</v>
      </c>
      <c r="BB36" s="180">
        <v>0</v>
      </c>
      <c r="BC36" s="180">
        <v>6443321</v>
      </c>
      <c r="BD36" s="180">
        <v>0</v>
      </c>
      <c r="BE36" s="180">
        <v>0</v>
      </c>
      <c r="BF36" s="180">
        <v>0</v>
      </c>
      <c r="BG36" s="180">
        <v>0</v>
      </c>
      <c r="BH36" s="180">
        <v>0</v>
      </c>
      <c r="BI36" s="180">
        <v>0</v>
      </c>
      <c r="BJ36" s="180">
        <v>0</v>
      </c>
      <c r="BK36" s="180">
        <v>0</v>
      </c>
      <c r="BL36" s="180">
        <v>2153415</v>
      </c>
      <c r="BM36" s="180">
        <v>0</v>
      </c>
      <c r="BN36" s="180">
        <v>0</v>
      </c>
      <c r="BO36" s="180">
        <v>0</v>
      </c>
      <c r="BP36" s="180">
        <v>0</v>
      </c>
      <c r="BQ36" s="180">
        <v>0</v>
      </c>
      <c r="BR36" s="180"/>
      <c r="BS36" s="180">
        <v>0</v>
      </c>
      <c r="BT36" s="180"/>
      <c r="BU36" s="180">
        <v>0</v>
      </c>
      <c r="BV36" s="180">
        <v>0</v>
      </c>
      <c r="BW36" s="180">
        <v>0</v>
      </c>
      <c r="BX36" s="180">
        <v>12223456</v>
      </c>
      <c r="BY36" s="180"/>
      <c r="BZ36" s="180">
        <v>0</v>
      </c>
      <c r="CA36" s="180">
        <v>0</v>
      </c>
      <c r="CB36" s="180">
        <v>0</v>
      </c>
      <c r="CC36" s="180">
        <v>0</v>
      </c>
      <c r="CD36" s="180">
        <v>0</v>
      </c>
      <c r="CE36" s="180"/>
      <c r="CF36" s="180">
        <v>0</v>
      </c>
      <c r="CG36" s="180">
        <v>0</v>
      </c>
      <c r="CH36" s="180">
        <v>2419812</v>
      </c>
      <c r="CI36" s="180">
        <v>0</v>
      </c>
      <c r="CJ36" s="180"/>
      <c r="CK36" s="180">
        <v>0</v>
      </c>
      <c r="CL36" s="180"/>
      <c r="CM36" s="180"/>
      <c r="CN36" s="180"/>
      <c r="CO36" s="180"/>
      <c r="CP36" s="180"/>
      <c r="CQ36" s="180"/>
      <c r="CR36" s="180"/>
      <c r="CS36" s="180"/>
      <c r="CT36" s="180"/>
      <c r="CU36" s="180"/>
    </row>
    <row r="37" spans="1:99" x14ac:dyDescent="0.3">
      <c r="A37" s="155">
        <v>97</v>
      </c>
      <c r="B37" s="180" t="s">
        <v>227</v>
      </c>
      <c r="C37" s="180"/>
      <c r="D37" s="180">
        <v>0</v>
      </c>
      <c r="E37" s="180">
        <v>0</v>
      </c>
      <c r="F37" s="180">
        <v>0</v>
      </c>
      <c r="G37" s="180">
        <v>0</v>
      </c>
      <c r="H37" s="180"/>
      <c r="I37" s="180">
        <v>0</v>
      </c>
      <c r="J37" s="180">
        <v>0</v>
      </c>
      <c r="K37" s="180">
        <v>0</v>
      </c>
      <c r="L37" s="180">
        <v>0</v>
      </c>
      <c r="M37" s="180">
        <v>0</v>
      </c>
      <c r="N37" s="180"/>
      <c r="O37" s="180">
        <v>0</v>
      </c>
      <c r="P37" s="180">
        <v>0</v>
      </c>
      <c r="Q37" s="180">
        <v>0</v>
      </c>
      <c r="R37" s="180">
        <v>0</v>
      </c>
      <c r="S37" s="180">
        <v>0</v>
      </c>
      <c r="T37" s="180">
        <v>0</v>
      </c>
      <c r="U37" s="180">
        <v>0</v>
      </c>
      <c r="V37" s="180">
        <v>0</v>
      </c>
      <c r="W37" s="180">
        <v>0</v>
      </c>
      <c r="X37" s="180">
        <v>0</v>
      </c>
      <c r="Y37" s="180">
        <v>0</v>
      </c>
      <c r="Z37" s="180">
        <v>6421288</v>
      </c>
      <c r="AA37" s="180">
        <v>0</v>
      </c>
      <c r="AB37" s="180">
        <v>0</v>
      </c>
      <c r="AC37" s="180"/>
      <c r="AD37" s="180">
        <v>0</v>
      </c>
      <c r="AE37" s="180">
        <v>0</v>
      </c>
      <c r="AF37" s="180">
        <v>15315675</v>
      </c>
      <c r="AG37" s="180">
        <v>0</v>
      </c>
      <c r="AH37" s="180">
        <v>0</v>
      </c>
      <c r="AI37" s="180">
        <v>0</v>
      </c>
      <c r="AJ37" s="180">
        <v>0</v>
      </c>
      <c r="AK37" s="180">
        <v>0</v>
      </c>
      <c r="AL37" s="180">
        <v>0</v>
      </c>
      <c r="AM37" s="180"/>
      <c r="AN37" s="180">
        <v>0</v>
      </c>
      <c r="AO37" s="180"/>
      <c r="AP37" s="180">
        <v>0</v>
      </c>
      <c r="AQ37" s="180">
        <v>84281325</v>
      </c>
      <c r="AR37" s="180">
        <v>0</v>
      </c>
      <c r="AS37" s="180">
        <v>0</v>
      </c>
      <c r="AT37" s="180">
        <v>0</v>
      </c>
      <c r="AU37" s="180">
        <v>0</v>
      </c>
      <c r="AV37" s="180">
        <v>0</v>
      </c>
      <c r="AW37" s="180">
        <v>7002405</v>
      </c>
      <c r="AX37" s="180">
        <v>0</v>
      </c>
      <c r="AY37" s="180">
        <v>0</v>
      </c>
      <c r="AZ37" s="180">
        <v>0</v>
      </c>
      <c r="BA37" s="180">
        <v>0</v>
      </c>
      <c r="BB37" s="180">
        <v>0</v>
      </c>
      <c r="BC37" s="180">
        <v>8012759</v>
      </c>
      <c r="BD37" s="180">
        <v>0</v>
      </c>
      <c r="BE37" s="180">
        <v>0</v>
      </c>
      <c r="BF37" s="180">
        <v>0</v>
      </c>
      <c r="BG37" s="180">
        <v>0</v>
      </c>
      <c r="BH37" s="180">
        <v>0</v>
      </c>
      <c r="BI37" s="180">
        <v>0</v>
      </c>
      <c r="BJ37" s="180">
        <v>0</v>
      </c>
      <c r="BK37" s="180">
        <v>0</v>
      </c>
      <c r="BL37" s="180">
        <v>2283578</v>
      </c>
      <c r="BM37" s="180">
        <v>0</v>
      </c>
      <c r="BN37" s="180">
        <v>0</v>
      </c>
      <c r="BO37" s="180">
        <v>0</v>
      </c>
      <c r="BP37" s="180">
        <v>0</v>
      </c>
      <c r="BQ37" s="180">
        <v>0</v>
      </c>
      <c r="BR37" s="180"/>
      <c r="BS37" s="180">
        <v>0</v>
      </c>
      <c r="BT37" s="180"/>
      <c r="BU37" s="180">
        <v>0</v>
      </c>
      <c r="BV37" s="180">
        <v>0</v>
      </c>
      <c r="BW37" s="180">
        <v>0</v>
      </c>
      <c r="BX37" s="180">
        <v>12507254</v>
      </c>
      <c r="BY37" s="180"/>
      <c r="BZ37" s="180">
        <v>0</v>
      </c>
      <c r="CA37" s="180">
        <v>0</v>
      </c>
      <c r="CB37" s="180">
        <v>0</v>
      </c>
      <c r="CC37" s="180">
        <v>0</v>
      </c>
      <c r="CD37" s="180">
        <v>0</v>
      </c>
      <c r="CE37" s="180"/>
      <c r="CF37" s="180">
        <v>0</v>
      </c>
      <c r="CG37" s="180">
        <v>0</v>
      </c>
      <c r="CH37" s="180">
        <v>2589848</v>
      </c>
      <c r="CI37" s="180">
        <v>0</v>
      </c>
      <c r="CJ37" s="180"/>
      <c r="CK37" s="180">
        <v>0</v>
      </c>
      <c r="CL37" s="180"/>
      <c r="CM37" s="180"/>
      <c r="CN37" s="180"/>
      <c r="CO37" s="180"/>
      <c r="CP37" s="180"/>
      <c r="CQ37" s="180"/>
      <c r="CR37" s="180"/>
      <c r="CS37" s="180"/>
      <c r="CT37" s="180"/>
      <c r="CU37" s="180"/>
    </row>
    <row r="38" spans="1:99" x14ac:dyDescent="0.3">
      <c r="A38" s="155">
        <v>98</v>
      </c>
      <c r="B38" s="180" t="s">
        <v>232</v>
      </c>
      <c r="C38" s="180"/>
      <c r="D38" s="180">
        <v>0</v>
      </c>
      <c r="E38" s="180">
        <v>0</v>
      </c>
      <c r="F38" s="180">
        <v>0</v>
      </c>
      <c r="G38" s="180">
        <v>0</v>
      </c>
      <c r="H38" s="180"/>
      <c r="I38" s="180">
        <v>0</v>
      </c>
      <c r="J38" s="180">
        <v>0</v>
      </c>
      <c r="K38" s="180">
        <v>0</v>
      </c>
      <c r="L38" s="180">
        <v>0</v>
      </c>
      <c r="M38" s="180">
        <v>0</v>
      </c>
      <c r="N38" s="180"/>
      <c r="O38" s="180">
        <v>0</v>
      </c>
      <c r="P38" s="180">
        <v>0</v>
      </c>
      <c r="Q38" s="180">
        <v>0</v>
      </c>
      <c r="R38" s="180">
        <v>0</v>
      </c>
      <c r="S38" s="180">
        <v>0</v>
      </c>
      <c r="T38" s="180">
        <v>0</v>
      </c>
      <c r="U38" s="180">
        <v>0</v>
      </c>
      <c r="V38" s="180">
        <v>0</v>
      </c>
      <c r="W38" s="180">
        <v>0</v>
      </c>
      <c r="X38" s="180">
        <v>0</v>
      </c>
      <c r="Y38" s="180">
        <v>0</v>
      </c>
      <c r="Z38" s="180">
        <v>0</v>
      </c>
      <c r="AA38" s="180">
        <v>0</v>
      </c>
      <c r="AB38" s="180">
        <v>0</v>
      </c>
      <c r="AC38" s="180"/>
      <c r="AD38" s="180">
        <v>0</v>
      </c>
      <c r="AE38" s="180">
        <v>0</v>
      </c>
      <c r="AF38" s="180">
        <v>120030</v>
      </c>
      <c r="AG38" s="180">
        <v>0</v>
      </c>
      <c r="AH38" s="180">
        <v>0</v>
      </c>
      <c r="AI38" s="180">
        <v>0</v>
      </c>
      <c r="AJ38" s="180">
        <v>0</v>
      </c>
      <c r="AK38" s="180">
        <v>0</v>
      </c>
      <c r="AL38" s="180">
        <v>0</v>
      </c>
      <c r="AM38" s="180"/>
      <c r="AN38" s="180">
        <v>0</v>
      </c>
      <c r="AO38" s="180"/>
      <c r="AP38" s="180">
        <v>0</v>
      </c>
      <c r="AQ38" s="180">
        <v>388707</v>
      </c>
      <c r="AR38" s="180">
        <v>0</v>
      </c>
      <c r="AS38" s="180">
        <v>0</v>
      </c>
      <c r="AT38" s="180">
        <v>0</v>
      </c>
      <c r="AU38" s="180">
        <v>0</v>
      </c>
      <c r="AV38" s="180">
        <v>0</v>
      </c>
      <c r="AW38" s="180">
        <v>4484</v>
      </c>
      <c r="AX38" s="180">
        <v>0</v>
      </c>
      <c r="AY38" s="180">
        <v>0</v>
      </c>
      <c r="AZ38" s="180">
        <v>0</v>
      </c>
      <c r="BA38" s="180">
        <v>0</v>
      </c>
      <c r="BB38" s="180">
        <v>0</v>
      </c>
      <c r="BC38" s="180">
        <v>2302</v>
      </c>
      <c r="BD38" s="180">
        <v>0</v>
      </c>
      <c r="BE38" s="180">
        <v>0</v>
      </c>
      <c r="BF38" s="180">
        <v>0</v>
      </c>
      <c r="BG38" s="180">
        <v>0</v>
      </c>
      <c r="BH38" s="180">
        <v>0</v>
      </c>
      <c r="BI38" s="180">
        <v>0</v>
      </c>
      <c r="BJ38" s="180">
        <v>0</v>
      </c>
      <c r="BK38" s="180">
        <v>0</v>
      </c>
      <c r="BL38" s="180">
        <v>0</v>
      </c>
      <c r="BM38" s="180">
        <v>0</v>
      </c>
      <c r="BN38" s="180">
        <v>0</v>
      </c>
      <c r="BO38" s="180">
        <v>0</v>
      </c>
      <c r="BP38" s="180">
        <v>0</v>
      </c>
      <c r="BQ38" s="180">
        <v>0</v>
      </c>
      <c r="BR38" s="180"/>
      <c r="BS38" s="180">
        <v>0</v>
      </c>
      <c r="BT38" s="180"/>
      <c r="BU38" s="180">
        <v>0</v>
      </c>
      <c r="BV38" s="180">
        <v>0</v>
      </c>
      <c r="BW38" s="180">
        <v>0</v>
      </c>
      <c r="BX38" s="180">
        <v>4507</v>
      </c>
      <c r="BY38" s="180"/>
      <c r="BZ38" s="180">
        <v>0</v>
      </c>
      <c r="CA38" s="180">
        <v>0</v>
      </c>
      <c r="CB38" s="180">
        <v>0</v>
      </c>
      <c r="CC38" s="180">
        <v>0</v>
      </c>
      <c r="CD38" s="180">
        <v>0</v>
      </c>
      <c r="CE38" s="180"/>
      <c r="CF38" s="180">
        <v>0</v>
      </c>
      <c r="CG38" s="180">
        <v>0</v>
      </c>
      <c r="CH38" s="180">
        <v>0</v>
      </c>
      <c r="CI38" s="180">
        <v>0</v>
      </c>
      <c r="CJ38" s="180"/>
      <c r="CK38" s="180">
        <v>0</v>
      </c>
      <c r="CL38" s="180"/>
      <c r="CM38" s="180"/>
      <c r="CN38" s="180"/>
      <c r="CO38" s="180"/>
      <c r="CP38" s="180"/>
      <c r="CQ38" s="180"/>
      <c r="CR38" s="180"/>
      <c r="CS38" s="180"/>
      <c r="CT38" s="180"/>
      <c r="CU38" s="180"/>
    </row>
    <row r="39" spans="1:99" x14ac:dyDescent="0.3">
      <c r="A39" s="155">
        <v>99</v>
      </c>
      <c r="B39" s="180" t="s">
        <v>229</v>
      </c>
      <c r="C39" s="180"/>
      <c r="D39" s="180">
        <v>0</v>
      </c>
      <c r="E39" s="180">
        <v>0</v>
      </c>
      <c r="F39" s="180">
        <v>0</v>
      </c>
      <c r="G39" s="180">
        <v>0</v>
      </c>
      <c r="H39" s="180"/>
      <c r="I39" s="180">
        <v>0</v>
      </c>
      <c r="J39" s="180">
        <v>0</v>
      </c>
      <c r="K39" s="180">
        <v>0</v>
      </c>
      <c r="L39" s="180">
        <v>0</v>
      </c>
      <c r="M39" s="180">
        <v>0</v>
      </c>
      <c r="N39" s="180"/>
      <c r="O39" s="180">
        <v>0</v>
      </c>
      <c r="P39" s="180">
        <v>0</v>
      </c>
      <c r="Q39" s="180">
        <v>0</v>
      </c>
      <c r="R39" s="180">
        <v>0</v>
      </c>
      <c r="S39" s="180">
        <v>0</v>
      </c>
      <c r="T39" s="180">
        <v>0</v>
      </c>
      <c r="U39" s="180">
        <v>0</v>
      </c>
      <c r="V39" s="180">
        <v>0</v>
      </c>
      <c r="W39" s="180">
        <v>0</v>
      </c>
      <c r="X39" s="180">
        <v>0</v>
      </c>
      <c r="Y39" s="180">
        <v>0</v>
      </c>
      <c r="Z39" s="180">
        <v>3900094</v>
      </c>
      <c r="AA39" s="180">
        <v>0</v>
      </c>
      <c r="AB39" s="180">
        <v>0</v>
      </c>
      <c r="AC39" s="180"/>
      <c r="AD39" s="180">
        <v>0</v>
      </c>
      <c r="AE39" s="180">
        <v>0</v>
      </c>
      <c r="AF39" s="180">
        <v>12634260</v>
      </c>
      <c r="AG39" s="180">
        <v>0</v>
      </c>
      <c r="AH39" s="180">
        <v>0</v>
      </c>
      <c r="AI39" s="180">
        <v>0</v>
      </c>
      <c r="AJ39" s="180">
        <v>0</v>
      </c>
      <c r="AK39" s="180">
        <v>0</v>
      </c>
      <c r="AL39" s="180">
        <v>0</v>
      </c>
      <c r="AM39" s="180"/>
      <c r="AN39" s="180">
        <v>0</v>
      </c>
      <c r="AO39" s="180"/>
      <c r="AP39" s="180">
        <v>0</v>
      </c>
      <c r="AQ39" s="180">
        <v>68857364</v>
      </c>
      <c r="AR39" s="180">
        <v>0</v>
      </c>
      <c r="AS39" s="180">
        <v>0</v>
      </c>
      <c r="AT39" s="180">
        <v>0</v>
      </c>
      <c r="AU39" s="180">
        <v>0</v>
      </c>
      <c r="AV39" s="180">
        <v>0</v>
      </c>
      <c r="AW39" s="180">
        <v>4841343</v>
      </c>
      <c r="AX39" s="180">
        <v>0</v>
      </c>
      <c r="AY39" s="180">
        <v>0</v>
      </c>
      <c r="AZ39" s="180">
        <v>0</v>
      </c>
      <c r="BA39" s="180">
        <v>0</v>
      </c>
      <c r="BB39" s="180">
        <v>0</v>
      </c>
      <c r="BC39" s="180">
        <v>4634680</v>
      </c>
      <c r="BD39" s="180">
        <v>0</v>
      </c>
      <c r="BE39" s="180">
        <v>0</v>
      </c>
      <c r="BF39" s="180">
        <v>0</v>
      </c>
      <c r="BG39" s="180">
        <v>0</v>
      </c>
      <c r="BH39" s="180">
        <v>0</v>
      </c>
      <c r="BI39" s="180">
        <v>0</v>
      </c>
      <c r="BJ39" s="180">
        <v>0</v>
      </c>
      <c r="BK39" s="180">
        <v>0</v>
      </c>
      <c r="BL39" s="180">
        <v>1418685</v>
      </c>
      <c r="BM39" s="180">
        <v>0</v>
      </c>
      <c r="BN39" s="180">
        <v>0</v>
      </c>
      <c r="BO39" s="180">
        <v>0</v>
      </c>
      <c r="BP39" s="180">
        <v>0</v>
      </c>
      <c r="BQ39" s="180">
        <v>0</v>
      </c>
      <c r="BR39" s="180"/>
      <c r="BS39" s="180">
        <v>0</v>
      </c>
      <c r="BT39" s="180"/>
      <c r="BU39" s="180">
        <v>0</v>
      </c>
      <c r="BV39" s="180">
        <v>0</v>
      </c>
      <c r="BW39" s="180">
        <v>0</v>
      </c>
      <c r="BX39" s="180">
        <v>8476464</v>
      </c>
      <c r="BY39" s="180"/>
      <c r="BZ39" s="180">
        <v>0</v>
      </c>
      <c r="CA39" s="180">
        <v>0</v>
      </c>
      <c r="CB39" s="180">
        <v>0</v>
      </c>
      <c r="CC39" s="180">
        <v>0</v>
      </c>
      <c r="CD39" s="180">
        <v>0</v>
      </c>
      <c r="CE39" s="180"/>
      <c r="CF39" s="180">
        <v>0</v>
      </c>
      <c r="CG39" s="180">
        <v>0</v>
      </c>
      <c r="CH39" s="180">
        <v>1492447</v>
      </c>
      <c r="CI39" s="180">
        <v>0</v>
      </c>
      <c r="CJ39" s="180"/>
      <c r="CK39" s="180">
        <v>0</v>
      </c>
      <c r="CL39" s="180"/>
      <c r="CM39" s="180"/>
      <c r="CN39" s="180"/>
      <c r="CO39" s="180"/>
      <c r="CP39" s="180"/>
      <c r="CQ39" s="180"/>
      <c r="CR39" s="180"/>
      <c r="CS39" s="180"/>
      <c r="CT39" s="180"/>
      <c r="CU39" s="180"/>
    </row>
    <row r="40" spans="1:99" x14ac:dyDescent="0.3">
      <c r="A40" s="155">
        <v>100</v>
      </c>
      <c r="B40" s="180" t="s">
        <v>242</v>
      </c>
      <c r="C40" s="180"/>
      <c r="D40" s="180">
        <v>0</v>
      </c>
      <c r="E40" s="180">
        <v>0</v>
      </c>
      <c r="F40" s="180">
        <v>0</v>
      </c>
      <c r="G40" s="180">
        <v>0</v>
      </c>
      <c r="H40" s="180"/>
      <c r="I40" s="180">
        <v>0</v>
      </c>
      <c r="J40" s="180">
        <v>0</v>
      </c>
      <c r="K40" s="180">
        <v>0</v>
      </c>
      <c r="L40" s="180">
        <v>0</v>
      </c>
      <c r="M40" s="180">
        <v>0</v>
      </c>
      <c r="N40" s="180"/>
      <c r="O40" s="180">
        <v>0</v>
      </c>
      <c r="P40" s="180">
        <v>0</v>
      </c>
      <c r="Q40" s="180">
        <v>0</v>
      </c>
      <c r="R40" s="180">
        <v>0</v>
      </c>
      <c r="S40" s="180">
        <v>0</v>
      </c>
      <c r="T40" s="180">
        <v>0</v>
      </c>
      <c r="U40" s="180">
        <v>0</v>
      </c>
      <c r="V40" s="180">
        <v>0</v>
      </c>
      <c r="W40" s="180">
        <v>0</v>
      </c>
      <c r="X40" s="180">
        <v>0</v>
      </c>
      <c r="Y40" s="180">
        <v>0</v>
      </c>
      <c r="Z40" s="180">
        <v>0</v>
      </c>
      <c r="AA40" s="180">
        <v>0</v>
      </c>
      <c r="AB40" s="180">
        <v>0</v>
      </c>
      <c r="AC40" s="180"/>
      <c r="AD40" s="180">
        <v>0</v>
      </c>
      <c r="AE40" s="180">
        <v>0</v>
      </c>
      <c r="AF40" s="180">
        <v>452045</v>
      </c>
      <c r="AG40" s="180">
        <v>0</v>
      </c>
      <c r="AH40" s="180">
        <v>0</v>
      </c>
      <c r="AI40" s="180">
        <v>0</v>
      </c>
      <c r="AJ40" s="180">
        <v>0</v>
      </c>
      <c r="AK40" s="180">
        <v>0</v>
      </c>
      <c r="AL40" s="180">
        <v>0</v>
      </c>
      <c r="AM40" s="180"/>
      <c r="AN40" s="180">
        <v>0</v>
      </c>
      <c r="AO40" s="180"/>
      <c r="AP40" s="180">
        <v>0</v>
      </c>
      <c r="AQ40" s="180">
        <v>1074424</v>
      </c>
      <c r="AR40" s="180">
        <v>0</v>
      </c>
      <c r="AS40" s="180">
        <v>0</v>
      </c>
      <c r="AT40" s="180">
        <v>0</v>
      </c>
      <c r="AU40" s="180">
        <v>0</v>
      </c>
      <c r="AV40" s="180">
        <v>0</v>
      </c>
      <c r="AW40" s="180">
        <v>49000</v>
      </c>
      <c r="AX40" s="180">
        <v>0</v>
      </c>
      <c r="AY40" s="180">
        <v>0</v>
      </c>
      <c r="AZ40" s="180">
        <v>0</v>
      </c>
      <c r="BA40" s="180">
        <v>0</v>
      </c>
      <c r="BB40" s="180">
        <v>0</v>
      </c>
      <c r="BC40" s="180">
        <v>21067</v>
      </c>
      <c r="BD40" s="180">
        <v>0</v>
      </c>
      <c r="BE40" s="180">
        <v>0</v>
      </c>
      <c r="BF40" s="180">
        <v>0</v>
      </c>
      <c r="BG40" s="180">
        <v>0</v>
      </c>
      <c r="BH40" s="180">
        <v>0</v>
      </c>
      <c r="BI40" s="180">
        <v>0</v>
      </c>
      <c r="BJ40" s="180">
        <v>0</v>
      </c>
      <c r="BK40" s="180">
        <v>0</v>
      </c>
      <c r="BL40" s="180">
        <v>0</v>
      </c>
      <c r="BM40" s="180">
        <v>0</v>
      </c>
      <c r="BN40" s="180">
        <v>0</v>
      </c>
      <c r="BO40" s="180">
        <v>0</v>
      </c>
      <c r="BP40" s="180">
        <v>0</v>
      </c>
      <c r="BQ40" s="180">
        <v>0</v>
      </c>
      <c r="BR40" s="180"/>
      <c r="BS40" s="180">
        <v>0</v>
      </c>
      <c r="BT40" s="180"/>
      <c r="BU40" s="180">
        <v>0</v>
      </c>
      <c r="BV40" s="180">
        <v>0</v>
      </c>
      <c r="BW40" s="180">
        <v>0</v>
      </c>
      <c r="BX40" s="180">
        <v>42639</v>
      </c>
      <c r="BY40" s="180"/>
      <c r="BZ40" s="180">
        <v>0</v>
      </c>
      <c r="CA40" s="180">
        <v>0</v>
      </c>
      <c r="CB40" s="180">
        <v>0</v>
      </c>
      <c r="CC40" s="180">
        <v>0</v>
      </c>
      <c r="CD40" s="180">
        <v>0</v>
      </c>
      <c r="CE40" s="180"/>
      <c r="CF40" s="180">
        <v>0</v>
      </c>
      <c r="CG40" s="180">
        <v>0</v>
      </c>
      <c r="CH40" s="180">
        <v>0</v>
      </c>
      <c r="CI40" s="180">
        <v>0</v>
      </c>
      <c r="CJ40" s="180"/>
      <c r="CK40" s="180">
        <v>0</v>
      </c>
      <c r="CL40" s="180"/>
      <c r="CM40" s="180"/>
      <c r="CN40" s="180"/>
      <c r="CO40" s="180"/>
      <c r="CP40" s="180"/>
      <c r="CQ40" s="180"/>
      <c r="CR40" s="180"/>
      <c r="CS40" s="180"/>
      <c r="CT40" s="180"/>
      <c r="CU40" s="180"/>
    </row>
    <row r="41" spans="1:99" x14ac:dyDescent="0.3">
      <c r="A41" s="155">
        <v>101</v>
      </c>
      <c r="B41" s="180" t="s">
        <v>241</v>
      </c>
      <c r="C41" s="180"/>
      <c r="D41" s="180">
        <v>0</v>
      </c>
      <c r="E41" s="180">
        <v>0</v>
      </c>
      <c r="F41" s="180">
        <v>0</v>
      </c>
      <c r="G41" s="180">
        <v>0</v>
      </c>
      <c r="H41" s="180"/>
      <c r="I41" s="180">
        <v>0</v>
      </c>
      <c r="J41" s="180">
        <v>0</v>
      </c>
      <c r="K41" s="180">
        <v>0</v>
      </c>
      <c r="L41" s="180">
        <v>0</v>
      </c>
      <c r="M41" s="180">
        <v>0</v>
      </c>
      <c r="N41" s="180"/>
      <c r="O41" s="180">
        <v>0</v>
      </c>
      <c r="P41" s="180">
        <v>0</v>
      </c>
      <c r="Q41" s="180">
        <v>0</v>
      </c>
      <c r="R41" s="180">
        <v>0</v>
      </c>
      <c r="S41" s="180">
        <v>0</v>
      </c>
      <c r="T41" s="180">
        <v>0</v>
      </c>
      <c r="U41" s="180">
        <v>0</v>
      </c>
      <c r="V41" s="180">
        <v>0</v>
      </c>
      <c r="W41" s="180">
        <v>0</v>
      </c>
      <c r="X41" s="180">
        <v>0</v>
      </c>
      <c r="Y41" s="180">
        <v>0</v>
      </c>
      <c r="Z41" s="180">
        <v>484117</v>
      </c>
      <c r="AA41" s="180">
        <v>0</v>
      </c>
      <c r="AB41" s="180">
        <v>0</v>
      </c>
      <c r="AC41" s="180"/>
      <c r="AD41" s="180">
        <v>0</v>
      </c>
      <c r="AE41" s="180">
        <v>0</v>
      </c>
      <c r="AF41" s="180">
        <v>1363889</v>
      </c>
      <c r="AG41" s="180">
        <v>0</v>
      </c>
      <c r="AH41" s="180">
        <v>0</v>
      </c>
      <c r="AI41" s="180">
        <v>0</v>
      </c>
      <c r="AJ41" s="180">
        <v>0</v>
      </c>
      <c r="AK41" s="180">
        <v>0</v>
      </c>
      <c r="AL41" s="180">
        <v>0</v>
      </c>
      <c r="AM41" s="180"/>
      <c r="AN41" s="180">
        <v>0</v>
      </c>
      <c r="AO41" s="180"/>
      <c r="AP41" s="180">
        <v>0</v>
      </c>
      <c r="AQ41" s="180">
        <v>29005974</v>
      </c>
      <c r="AR41" s="180">
        <v>0</v>
      </c>
      <c r="AS41" s="180">
        <v>0</v>
      </c>
      <c r="AT41" s="180">
        <v>0</v>
      </c>
      <c r="AU41" s="180">
        <v>0</v>
      </c>
      <c r="AV41" s="180">
        <v>0</v>
      </c>
      <c r="AW41" s="180">
        <v>136491</v>
      </c>
      <c r="AX41" s="180">
        <v>0</v>
      </c>
      <c r="AY41" s="180">
        <v>0</v>
      </c>
      <c r="AZ41" s="180">
        <v>0</v>
      </c>
      <c r="BA41" s="180">
        <v>0</v>
      </c>
      <c r="BB41" s="180">
        <v>0</v>
      </c>
      <c r="BC41" s="180">
        <v>142263</v>
      </c>
      <c r="BD41" s="180">
        <v>0</v>
      </c>
      <c r="BE41" s="180">
        <v>0</v>
      </c>
      <c r="BF41" s="180">
        <v>0</v>
      </c>
      <c r="BG41" s="180">
        <v>0</v>
      </c>
      <c r="BH41" s="180">
        <v>0</v>
      </c>
      <c r="BI41" s="180">
        <v>0</v>
      </c>
      <c r="BJ41" s="180">
        <v>0</v>
      </c>
      <c r="BK41" s="180">
        <v>0</v>
      </c>
      <c r="BL41" s="180">
        <v>0</v>
      </c>
      <c r="BM41" s="180">
        <v>0</v>
      </c>
      <c r="BN41" s="180">
        <v>0</v>
      </c>
      <c r="BO41" s="180">
        <v>0</v>
      </c>
      <c r="BP41" s="180">
        <v>0</v>
      </c>
      <c r="BQ41" s="180">
        <v>0</v>
      </c>
      <c r="BR41" s="180"/>
      <c r="BS41" s="180">
        <v>0</v>
      </c>
      <c r="BT41" s="180"/>
      <c r="BU41" s="180">
        <v>0</v>
      </c>
      <c r="BV41" s="180">
        <v>0</v>
      </c>
      <c r="BW41" s="180">
        <v>0</v>
      </c>
      <c r="BX41" s="180">
        <v>109238</v>
      </c>
      <c r="BY41" s="180"/>
      <c r="BZ41" s="180">
        <v>0</v>
      </c>
      <c r="CA41" s="180">
        <v>0</v>
      </c>
      <c r="CB41" s="180">
        <v>0</v>
      </c>
      <c r="CC41" s="180">
        <v>0</v>
      </c>
      <c r="CD41" s="180">
        <v>0</v>
      </c>
      <c r="CE41" s="180"/>
      <c r="CF41" s="180">
        <v>0</v>
      </c>
      <c r="CG41" s="180">
        <v>0</v>
      </c>
      <c r="CH41" s="180">
        <v>9318</v>
      </c>
      <c r="CI41" s="180">
        <v>0</v>
      </c>
      <c r="CJ41" s="180"/>
      <c r="CK41" s="180">
        <v>0</v>
      </c>
      <c r="CL41" s="180"/>
      <c r="CM41" s="180"/>
      <c r="CN41" s="180"/>
      <c r="CO41" s="180"/>
      <c r="CP41" s="180"/>
      <c r="CQ41" s="180"/>
      <c r="CR41" s="180"/>
      <c r="CS41" s="180"/>
      <c r="CT41" s="180"/>
      <c r="CU41" s="180"/>
    </row>
    <row r="42" spans="1:99" x14ac:dyDescent="0.3">
      <c r="A42" s="155">
        <v>102</v>
      </c>
      <c r="B42" s="180" t="s">
        <v>255</v>
      </c>
      <c r="C42" s="180"/>
      <c r="D42" s="180">
        <v>0</v>
      </c>
      <c r="E42" s="180">
        <v>98.8</v>
      </c>
      <c r="F42" s="180">
        <v>94.76</v>
      </c>
      <c r="G42" s="180">
        <v>98.42</v>
      </c>
      <c r="H42" s="180"/>
      <c r="I42" s="180">
        <v>98.74</v>
      </c>
      <c r="J42" s="180">
        <v>99.41</v>
      </c>
      <c r="K42" s="180">
        <v>99.36</v>
      </c>
      <c r="L42" s="180">
        <v>99.23</v>
      </c>
      <c r="M42" s="180">
        <v>99.46</v>
      </c>
      <c r="N42" s="180"/>
      <c r="O42" s="180">
        <v>99.88</v>
      </c>
      <c r="P42" s="180">
        <v>96.74</v>
      </c>
      <c r="Q42" s="180">
        <v>95.81</v>
      </c>
      <c r="R42" s="180">
        <v>99.78</v>
      </c>
      <c r="S42" s="180">
        <v>98.81</v>
      </c>
      <c r="T42" s="180">
        <v>97.8</v>
      </c>
      <c r="U42" s="180">
        <v>99.97</v>
      </c>
      <c r="V42" s="180">
        <v>99.22</v>
      </c>
      <c r="W42" s="180">
        <v>96.98</v>
      </c>
      <c r="X42" s="180">
        <v>99.74</v>
      </c>
      <c r="Y42" s="180">
        <v>99.43</v>
      </c>
      <c r="Z42" s="180">
        <v>99.88</v>
      </c>
      <c r="AA42" s="180">
        <v>98.61</v>
      </c>
      <c r="AB42" s="180">
        <v>98.14</v>
      </c>
      <c r="AC42" s="180"/>
      <c r="AD42" s="180">
        <v>99.89</v>
      </c>
      <c r="AE42" s="180">
        <v>90.92</v>
      </c>
      <c r="AF42" s="180">
        <v>99.96</v>
      </c>
      <c r="AG42" s="180">
        <v>99.63</v>
      </c>
      <c r="AH42" s="180">
        <v>98.92</v>
      </c>
      <c r="AI42" s="180">
        <v>98.18</v>
      </c>
      <c r="AJ42" s="180">
        <v>96.65</v>
      </c>
      <c r="AK42" s="180">
        <v>99.29</v>
      </c>
      <c r="AL42" s="180">
        <v>95.67</v>
      </c>
      <c r="AM42" s="180"/>
      <c r="AN42" s="180">
        <v>94.35</v>
      </c>
      <c r="AO42" s="180"/>
      <c r="AP42" s="180">
        <v>98.22</v>
      </c>
      <c r="AQ42" s="180">
        <v>99.45</v>
      </c>
      <c r="AR42" s="180">
        <v>93.94</v>
      </c>
      <c r="AS42" s="180">
        <v>96.73</v>
      </c>
      <c r="AT42" s="180">
        <v>99.17</v>
      </c>
      <c r="AU42" s="180">
        <v>95.97</v>
      </c>
      <c r="AV42" s="180">
        <v>97.52</v>
      </c>
      <c r="AW42" s="180">
        <v>99.63</v>
      </c>
      <c r="AX42" s="180">
        <v>91.27</v>
      </c>
      <c r="AY42" s="180">
        <v>99.67</v>
      </c>
      <c r="AZ42" s="180">
        <v>99.63</v>
      </c>
      <c r="BA42" s="180">
        <v>90.5</v>
      </c>
      <c r="BB42" s="180">
        <v>96.07</v>
      </c>
      <c r="BC42" s="180">
        <v>99.01</v>
      </c>
      <c r="BD42" s="180">
        <v>98.19</v>
      </c>
      <c r="BE42" s="180">
        <v>99.79</v>
      </c>
      <c r="BF42" s="180">
        <v>97.59</v>
      </c>
      <c r="BG42" s="180">
        <v>99.66</v>
      </c>
      <c r="BH42" s="180">
        <v>81.260000000000005</v>
      </c>
      <c r="BI42" s="180">
        <v>99.64</v>
      </c>
      <c r="BJ42" s="180">
        <v>0</v>
      </c>
      <c r="BK42" s="180">
        <v>94.13</v>
      </c>
      <c r="BL42" s="180">
        <v>97.62</v>
      </c>
      <c r="BM42" s="180">
        <v>98.05</v>
      </c>
      <c r="BN42" s="180">
        <v>99.99</v>
      </c>
      <c r="BO42" s="180">
        <v>99.3</v>
      </c>
      <c r="BP42" s="180">
        <v>99.8</v>
      </c>
      <c r="BQ42" s="180">
        <v>96.01</v>
      </c>
      <c r="BR42" s="180"/>
      <c r="BS42" s="180">
        <v>98.1</v>
      </c>
      <c r="BT42" s="180"/>
      <c r="BU42" s="180">
        <v>95.74</v>
      </c>
      <c r="BV42" s="180">
        <v>99.08</v>
      </c>
      <c r="BW42" s="180">
        <v>98.48</v>
      </c>
      <c r="BX42" s="180">
        <v>98.55</v>
      </c>
      <c r="BY42" s="180"/>
      <c r="BZ42" s="180">
        <v>96.41</v>
      </c>
      <c r="CA42" s="180">
        <v>99.79</v>
      </c>
      <c r="CB42" s="180">
        <v>97.54</v>
      </c>
      <c r="CC42" s="180">
        <v>95.74</v>
      </c>
      <c r="CD42" s="180">
        <v>94.38</v>
      </c>
      <c r="CE42" s="180"/>
      <c r="CF42" s="180">
        <v>99.79</v>
      </c>
      <c r="CG42" s="180">
        <v>99.31</v>
      </c>
      <c r="CH42" s="180">
        <v>95.38</v>
      </c>
      <c r="CI42" s="180">
        <v>98.85</v>
      </c>
      <c r="CJ42" s="180"/>
      <c r="CK42" s="180">
        <v>87.61</v>
      </c>
      <c r="CL42" s="180"/>
      <c r="CM42" s="180"/>
      <c r="CN42" s="180"/>
      <c r="CO42" s="180"/>
      <c r="CP42" s="180"/>
      <c r="CQ42" s="180"/>
      <c r="CR42" s="180"/>
      <c r="CS42" s="180"/>
      <c r="CT42" s="180"/>
      <c r="CU42" s="180"/>
    </row>
    <row r="43" spans="1:99" x14ac:dyDescent="0.3">
      <c r="A43" s="155">
        <v>103</v>
      </c>
      <c r="B43" s="180" t="s">
        <v>256</v>
      </c>
      <c r="C43" s="180"/>
      <c r="D43" s="180">
        <v>0</v>
      </c>
      <c r="E43" s="180">
        <v>100</v>
      </c>
      <c r="F43" s="180">
        <v>100</v>
      </c>
      <c r="G43" s="180">
        <v>100</v>
      </c>
      <c r="H43" s="180"/>
      <c r="I43" s="180">
        <v>100</v>
      </c>
      <c r="J43" s="180">
        <v>100</v>
      </c>
      <c r="K43" s="180">
        <v>100</v>
      </c>
      <c r="L43" s="180">
        <v>100</v>
      </c>
      <c r="M43" s="180">
        <v>99.91</v>
      </c>
      <c r="N43" s="180"/>
      <c r="O43" s="180">
        <v>100</v>
      </c>
      <c r="P43" s="180">
        <v>100</v>
      </c>
      <c r="Q43" s="180">
        <v>100</v>
      </c>
      <c r="R43" s="180">
        <v>100</v>
      </c>
      <c r="S43" s="180">
        <v>100</v>
      </c>
      <c r="T43" s="180">
        <v>100</v>
      </c>
      <c r="U43" s="180">
        <v>100</v>
      </c>
      <c r="V43" s="180">
        <v>100</v>
      </c>
      <c r="W43" s="180">
        <v>100</v>
      </c>
      <c r="X43" s="180">
        <v>99.4</v>
      </c>
      <c r="Y43" s="180">
        <v>100</v>
      </c>
      <c r="Z43" s="180">
        <v>100</v>
      </c>
      <c r="AA43" s="180">
        <v>100</v>
      </c>
      <c r="AB43" s="180">
        <v>100</v>
      </c>
      <c r="AC43" s="180"/>
      <c r="AD43" s="180">
        <v>100</v>
      </c>
      <c r="AE43" s="180">
        <v>100</v>
      </c>
      <c r="AF43" s="180">
        <v>100</v>
      </c>
      <c r="AG43" s="180">
        <v>100</v>
      </c>
      <c r="AH43" s="180">
        <v>100</v>
      </c>
      <c r="AI43" s="180">
        <v>99.46</v>
      </c>
      <c r="AJ43" s="180">
        <v>100</v>
      </c>
      <c r="AK43" s="180">
        <v>100</v>
      </c>
      <c r="AL43" s="180">
        <v>100</v>
      </c>
      <c r="AM43" s="180"/>
      <c r="AN43" s="180">
        <v>100</v>
      </c>
      <c r="AO43" s="180"/>
      <c r="AP43" s="180">
        <v>100</v>
      </c>
      <c r="AQ43" s="180">
        <v>100</v>
      </c>
      <c r="AR43" s="180">
        <v>100</v>
      </c>
      <c r="AS43" s="180">
        <v>100</v>
      </c>
      <c r="AT43" s="180">
        <v>100</v>
      </c>
      <c r="AU43" s="180">
        <v>100</v>
      </c>
      <c r="AV43" s="180">
        <v>100</v>
      </c>
      <c r="AW43" s="180">
        <v>100</v>
      </c>
      <c r="AX43" s="180">
        <v>100</v>
      </c>
      <c r="AY43" s="180">
        <v>100</v>
      </c>
      <c r="AZ43" s="180">
        <v>99.5</v>
      </c>
      <c r="BA43" s="180">
        <v>99.93</v>
      </c>
      <c r="BB43" s="180">
        <v>100</v>
      </c>
      <c r="BC43" s="180">
        <v>100</v>
      </c>
      <c r="BD43" s="180">
        <v>100</v>
      </c>
      <c r="BE43" s="180">
        <v>100</v>
      </c>
      <c r="BF43" s="180">
        <v>100</v>
      </c>
      <c r="BG43" s="180">
        <v>100</v>
      </c>
      <c r="BH43" s="180">
        <v>100</v>
      </c>
      <c r="BI43" s="180">
        <v>100</v>
      </c>
      <c r="BJ43" s="180">
        <v>0</v>
      </c>
      <c r="BK43" s="180">
        <v>100</v>
      </c>
      <c r="BL43" s="180">
        <v>100</v>
      </c>
      <c r="BM43" s="180">
        <v>100</v>
      </c>
      <c r="BN43" s="180">
        <v>100</v>
      </c>
      <c r="BO43" s="180">
        <v>100</v>
      </c>
      <c r="BP43" s="180">
        <v>100</v>
      </c>
      <c r="BQ43" s="180">
        <v>100</v>
      </c>
      <c r="BR43" s="180"/>
      <c r="BS43" s="180">
        <v>100</v>
      </c>
      <c r="BT43" s="180"/>
      <c r="BU43" s="180">
        <v>100</v>
      </c>
      <c r="BV43" s="180">
        <v>100</v>
      </c>
      <c r="BW43" s="180">
        <v>100</v>
      </c>
      <c r="BX43" s="180">
        <v>100</v>
      </c>
      <c r="BY43" s="180"/>
      <c r="BZ43" s="180">
        <v>100</v>
      </c>
      <c r="CA43" s="180">
        <v>100</v>
      </c>
      <c r="CB43" s="180">
        <v>100</v>
      </c>
      <c r="CC43" s="180">
        <v>100</v>
      </c>
      <c r="CD43" s="180">
        <v>100</v>
      </c>
      <c r="CE43" s="180"/>
      <c r="CF43" s="180">
        <v>99.45</v>
      </c>
      <c r="CG43" s="180">
        <v>100</v>
      </c>
      <c r="CH43" s="180">
        <v>99.68</v>
      </c>
      <c r="CI43" s="180">
        <v>100</v>
      </c>
      <c r="CJ43" s="180"/>
      <c r="CK43" s="180">
        <v>100</v>
      </c>
      <c r="CL43" s="180"/>
      <c r="CM43" s="180"/>
      <c r="CN43" s="180"/>
      <c r="CO43" s="180"/>
      <c r="CP43" s="180"/>
      <c r="CQ43" s="180"/>
      <c r="CR43" s="180"/>
      <c r="CS43" s="180"/>
      <c r="CT43" s="180"/>
      <c r="CU43" s="180"/>
    </row>
    <row r="44" spans="1:99" x14ac:dyDescent="0.3">
      <c r="A44" s="155">
        <v>171</v>
      </c>
      <c r="B44" s="180" t="s">
        <v>208</v>
      </c>
      <c r="C44" s="180"/>
      <c r="D44" s="180">
        <v>0</v>
      </c>
      <c r="E44" s="180">
        <v>2087</v>
      </c>
      <c r="F44" s="180">
        <v>0</v>
      </c>
      <c r="G44" s="180">
        <v>12500</v>
      </c>
      <c r="H44" s="180"/>
      <c r="I44" s="180">
        <v>254172</v>
      </c>
      <c r="J44" s="180">
        <v>28248</v>
      </c>
      <c r="K44" s="180">
        <v>0</v>
      </c>
      <c r="L44" s="180">
        <v>0</v>
      </c>
      <c r="M44" s="180">
        <v>888248</v>
      </c>
      <c r="N44" s="180"/>
      <c r="O44" s="180">
        <v>18621950</v>
      </c>
      <c r="P44" s="180">
        <v>0</v>
      </c>
      <c r="Q44" s="180">
        <v>0</v>
      </c>
      <c r="R44" s="180">
        <v>79116</v>
      </c>
      <c r="S44" s="180">
        <v>0</v>
      </c>
      <c r="T44" s="180">
        <v>2193598</v>
      </c>
      <c r="U44" s="180">
        <v>0</v>
      </c>
      <c r="V44" s="180">
        <v>0</v>
      </c>
      <c r="W44" s="180">
        <v>0</v>
      </c>
      <c r="X44" s="180">
        <v>8645108</v>
      </c>
      <c r="Y44" s="180">
        <v>308814000</v>
      </c>
      <c r="Z44" s="180">
        <v>176485</v>
      </c>
      <c r="AA44" s="180">
        <v>36000</v>
      </c>
      <c r="AB44" s="180">
        <v>458713</v>
      </c>
      <c r="AC44" s="180"/>
      <c r="AD44" s="180">
        <v>149532</v>
      </c>
      <c r="AE44" s="180">
        <v>7812</v>
      </c>
      <c r="AF44" s="180">
        <v>3659874</v>
      </c>
      <c r="AG44" s="180">
        <v>0</v>
      </c>
      <c r="AH44" s="180">
        <v>0</v>
      </c>
      <c r="AI44" s="180">
        <v>483255</v>
      </c>
      <c r="AJ44" s="180">
        <v>0</v>
      </c>
      <c r="AK44" s="180">
        <v>0</v>
      </c>
      <c r="AL44" s="180">
        <v>0</v>
      </c>
      <c r="AM44" s="180"/>
      <c r="AN44" s="180">
        <v>0</v>
      </c>
      <c r="AO44" s="180"/>
      <c r="AP44" s="180">
        <v>0</v>
      </c>
      <c r="AQ44" s="180">
        <v>3039302</v>
      </c>
      <c r="AR44" s="180">
        <v>0</v>
      </c>
      <c r="AS44" s="180">
        <v>0</v>
      </c>
      <c r="AT44" s="180">
        <v>539891</v>
      </c>
      <c r="AU44" s="180">
        <v>0</v>
      </c>
      <c r="AV44" s="180">
        <v>0</v>
      </c>
      <c r="AW44" s="180">
        <v>2601228</v>
      </c>
      <c r="AX44" s="180">
        <v>0</v>
      </c>
      <c r="AY44" s="180">
        <v>296964</v>
      </c>
      <c r="AZ44" s="180">
        <v>49750</v>
      </c>
      <c r="BA44" s="180">
        <v>0</v>
      </c>
      <c r="BB44" s="180">
        <v>0</v>
      </c>
      <c r="BC44" s="180">
        <v>245006</v>
      </c>
      <c r="BD44" s="180">
        <v>0</v>
      </c>
      <c r="BE44" s="180">
        <v>2200568</v>
      </c>
      <c r="BF44" s="180">
        <v>0</v>
      </c>
      <c r="BG44" s="180">
        <v>0</v>
      </c>
      <c r="BH44" s="180">
        <v>5013</v>
      </c>
      <c r="BI44" s="180">
        <v>46970</v>
      </c>
      <c r="BJ44" s="180">
        <v>0</v>
      </c>
      <c r="BK44" s="180">
        <v>0</v>
      </c>
      <c r="BL44" s="180">
        <v>30047</v>
      </c>
      <c r="BM44" s="180">
        <v>30000</v>
      </c>
      <c r="BN44" s="180">
        <v>1758412</v>
      </c>
      <c r="BO44" s="180">
        <v>1118642</v>
      </c>
      <c r="BP44" s="180">
        <v>32158156</v>
      </c>
      <c r="BQ44" s="180">
        <v>0</v>
      </c>
      <c r="BR44" s="180"/>
      <c r="BS44" s="180">
        <v>0</v>
      </c>
      <c r="BT44" s="180"/>
      <c r="BU44" s="180">
        <v>36510</v>
      </c>
      <c r="BV44" s="180">
        <v>56831</v>
      </c>
      <c r="BW44" s="180">
        <v>2671926</v>
      </c>
      <c r="BX44" s="180">
        <v>417377</v>
      </c>
      <c r="BY44" s="180"/>
      <c r="BZ44" s="180">
        <v>307401</v>
      </c>
      <c r="CA44" s="180">
        <v>19287</v>
      </c>
      <c r="CB44" s="180">
        <v>142853</v>
      </c>
      <c r="CC44" s="180">
        <v>0</v>
      </c>
      <c r="CD44" s="180">
        <v>62100</v>
      </c>
      <c r="CE44" s="180"/>
      <c r="CF44" s="180">
        <v>100117</v>
      </c>
      <c r="CG44" s="180">
        <v>733250</v>
      </c>
      <c r="CH44" s="180">
        <v>61123</v>
      </c>
      <c r="CI44" s="180">
        <v>0</v>
      </c>
      <c r="CJ44" s="180"/>
      <c r="CK44" s="180">
        <v>0</v>
      </c>
      <c r="CL44" s="180"/>
      <c r="CM44" s="180"/>
      <c r="CN44" s="180"/>
      <c r="CO44" s="180"/>
      <c r="CP44" s="180"/>
      <c r="CQ44" s="180"/>
      <c r="CR44" s="180"/>
      <c r="CS44" s="180"/>
      <c r="CT44" s="180"/>
      <c r="CU44" s="180"/>
    </row>
    <row r="45" spans="1:99" x14ac:dyDescent="0.3">
      <c r="A45" s="155">
        <v>191</v>
      </c>
      <c r="B45" s="180" t="s">
        <v>224</v>
      </c>
      <c r="C45" s="180"/>
      <c r="D45" s="180">
        <v>0</v>
      </c>
      <c r="E45" s="180">
        <v>0</v>
      </c>
      <c r="F45" s="180">
        <v>0</v>
      </c>
      <c r="G45" s="180">
        <v>0</v>
      </c>
      <c r="H45" s="180"/>
      <c r="I45" s="180">
        <v>197992</v>
      </c>
      <c r="J45" s="180">
        <v>0</v>
      </c>
      <c r="K45" s="180">
        <v>38360</v>
      </c>
      <c r="L45" s="180">
        <v>0</v>
      </c>
      <c r="M45" s="180">
        <v>0</v>
      </c>
      <c r="N45" s="180"/>
      <c r="O45" s="180">
        <v>10060890</v>
      </c>
      <c r="P45" s="180">
        <v>0</v>
      </c>
      <c r="Q45" s="180">
        <v>0</v>
      </c>
      <c r="R45" s="180">
        <v>0</v>
      </c>
      <c r="S45" s="180">
        <v>0</v>
      </c>
      <c r="T45" s="180">
        <v>0</v>
      </c>
      <c r="U45" s="180">
        <v>0</v>
      </c>
      <c r="V45" s="180">
        <v>0</v>
      </c>
      <c r="W45" s="180">
        <v>105200</v>
      </c>
      <c r="X45" s="180">
        <v>0</v>
      </c>
      <c r="Y45" s="180">
        <v>159046000</v>
      </c>
      <c r="Z45" s="180">
        <v>0</v>
      </c>
      <c r="AA45" s="180">
        <v>1795000</v>
      </c>
      <c r="AB45" s="180">
        <v>0</v>
      </c>
      <c r="AC45" s="180"/>
      <c r="AD45" s="180">
        <v>0</v>
      </c>
      <c r="AE45" s="180">
        <v>9340</v>
      </c>
      <c r="AF45" s="180">
        <v>0</v>
      </c>
      <c r="AG45" s="180">
        <v>0</v>
      </c>
      <c r="AH45" s="180">
        <v>0</v>
      </c>
      <c r="AI45" s="180">
        <v>11135</v>
      </c>
      <c r="AJ45" s="180">
        <v>522140</v>
      </c>
      <c r="AK45" s="180">
        <v>0</v>
      </c>
      <c r="AL45" s="180">
        <v>0</v>
      </c>
      <c r="AM45" s="180"/>
      <c r="AN45" s="180">
        <v>623898</v>
      </c>
      <c r="AO45" s="180"/>
      <c r="AP45" s="180">
        <v>0</v>
      </c>
      <c r="AQ45" s="180">
        <v>7367720</v>
      </c>
      <c r="AR45" s="180">
        <v>0</v>
      </c>
      <c r="AS45" s="180">
        <v>0</v>
      </c>
      <c r="AT45" s="180">
        <v>61545</v>
      </c>
      <c r="AU45" s="180">
        <v>0</v>
      </c>
      <c r="AV45" s="180">
        <v>0</v>
      </c>
      <c r="AW45" s="180">
        <v>0</v>
      </c>
      <c r="AX45" s="180">
        <v>0</v>
      </c>
      <c r="AY45" s="180">
        <v>0</v>
      </c>
      <c r="AZ45" s="180">
        <v>0</v>
      </c>
      <c r="BA45" s="180">
        <v>50226</v>
      </c>
      <c r="BB45" s="180">
        <v>0</v>
      </c>
      <c r="BC45" s="180">
        <v>0</v>
      </c>
      <c r="BD45" s="180">
        <v>0</v>
      </c>
      <c r="BE45" s="180">
        <v>0</v>
      </c>
      <c r="BF45" s="180">
        <v>0</v>
      </c>
      <c r="BG45" s="180">
        <v>0</v>
      </c>
      <c r="BH45" s="180">
        <v>0</v>
      </c>
      <c r="BI45" s="180">
        <v>0</v>
      </c>
      <c r="BJ45" s="180">
        <v>0</v>
      </c>
      <c r="BK45" s="180">
        <v>0</v>
      </c>
      <c r="BL45" s="180">
        <v>0</v>
      </c>
      <c r="BM45" s="180">
        <v>47500</v>
      </c>
      <c r="BN45" s="180">
        <v>0</v>
      </c>
      <c r="BO45" s="180">
        <v>0</v>
      </c>
      <c r="BP45" s="180">
        <v>11639108</v>
      </c>
      <c r="BQ45" s="180">
        <v>0</v>
      </c>
      <c r="BR45" s="180"/>
      <c r="BS45" s="180">
        <v>0</v>
      </c>
      <c r="BT45" s="180"/>
      <c r="BU45" s="180">
        <v>63246</v>
      </c>
      <c r="BV45" s="180">
        <v>0</v>
      </c>
      <c r="BW45" s="180">
        <v>1173032</v>
      </c>
      <c r="BX45" s="180">
        <v>243661</v>
      </c>
      <c r="BY45" s="180"/>
      <c r="BZ45" s="180">
        <v>539404</v>
      </c>
      <c r="CA45" s="180">
        <v>0</v>
      </c>
      <c r="CB45" s="180">
        <v>0</v>
      </c>
      <c r="CC45" s="180">
        <v>0</v>
      </c>
      <c r="CD45" s="180">
        <v>0</v>
      </c>
      <c r="CE45" s="180"/>
      <c r="CF45" s="180">
        <v>0</v>
      </c>
      <c r="CG45" s="180">
        <v>0</v>
      </c>
      <c r="CH45" s="180">
        <v>51369</v>
      </c>
      <c r="CI45" s="180">
        <v>0</v>
      </c>
      <c r="CJ45" s="180"/>
      <c r="CK45" s="180">
        <v>0</v>
      </c>
      <c r="CL45" s="180"/>
      <c r="CM45" s="180"/>
      <c r="CN45" s="180"/>
      <c r="CO45" s="180"/>
      <c r="CP45" s="180"/>
      <c r="CQ45" s="180"/>
      <c r="CR45" s="180"/>
      <c r="CS45" s="180"/>
      <c r="CT45" s="180"/>
      <c r="CU45" s="180"/>
    </row>
    <row r="46" spans="1:99" x14ac:dyDescent="0.3">
      <c r="A46" s="155">
        <v>192</v>
      </c>
      <c r="B46" s="180" t="s">
        <v>235</v>
      </c>
      <c r="C46" s="180"/>
      <c r="D46" s="180">
        <v>0</v>
      </c>
      <c r="E46" s="180">
        <v>0</v>
      </c>
      <c r="F46" s="180">
        <v>0</v>
      </c>
      <c r="G46" s="180">
        <v>0</v>
      </c>
      <c r="H46" s="180"/>
      <c r="I46" s="180">
        <v>0</v>
      </c>
      <c r="J46" s="180">
        <v>0</v>
      </c>
      <c r="K46" s="180">
        <v>0</v>
      </c>
      <c r="L46" s="180">
        <v>0</v>
      </c>
      <c r="M46" s="180">
        <v>0</v>
      </c>
      <c r="N46" s="180"/>
      <c r="O46" s="180">
        <v>0</v>
      </c>
      <c r="P46" s="180">
        <v>0</v>
      </c>
      <c r="Q46" s="180">
        <v>0</v>
      </c>
      <c r="R46" s="180">
        <v>0</v>
      </c>
      <c r="S46" s="180">
        <v>0</v>
      </c>
      <c r="T46" s="180">
        <v>0</v>
      </c>
      <c r="U46" s="180">
        <v>0</v>
      </c>
      <c r="V46" s="180">
        <v>0</v>
      </c>
      <c r="W46" s="180">
        <v>0</v>
      </c>
      <c r="X46" s="180">
        <v>0</v>
      </c>
      <c r="Y46" s="180">
        <v>0</v>
      </c>
      <c r="Z46" s="180">
        <v>0</v>
      </c>
      <c r="AA46" s="180">
        <v>0</v>
      </c>
      <c r="AB46" s="180">
        <v>0</v>
      </c>
      <c r="AC46" s="180"/>
      <c r="AD46" s="180">
        <v>0</v>
      </c>
      <c r="AE46" s="180">
        <v>0</v>
      </c>
      <c r="AF46" s="180">
        <v>0</v>
      </c>
      <c r="AG46" s="180">
        <v>0</v>
      </c>
      <c r="AH46" s="180">
        <v>0</v>
      </c>
      <c r="AI46" s="180">
        <v>0</v>
      </c>
      <c r="AJ46" s="180">
        <v>0</v>
      </c>
      <c r="AK46" s="180">
        <v>0</v>
      </c>
      <c r="AL46" s="180">
        <v>0</v>
      </c>
      <c r="AM46" s="180"/>
      <c r="AN46" s="180">
        <v>0</v>
      </c>
      <c r="AO46" s="180"/>
      <c r="AP46" s="180">
        <v>0</v>
      </c>
      <c r="AQ46" s="180">
        <v>0</v>
      </c>
      <c r="AR46" s="180">
        <v>0</v>
      </c>
      <c r="AS46" s="180">
        <v>0</v>
      </c>
      <c r="AT46" s="180">
        <v>0</v>
      </c>
      <c r="AU46" s="180">
        <v>0</v>
      </c>
      <c r="AV46" s="180">
        <v>0</v>
      </c>
      <c r="AW46" s="180">
        <v>0</v>
      </c>
      <c r="AX46" s="180">
        <v>0</v>
      </c>
      <c r="AY46" s="180">
        <v>0</v>
      </c>
      <c r="AZ46" s="180">
        <v>0</v>
      </c>
      <c r="BA46" s="180">
        <v>0</v>
      </c>
      <c r="BB46" s="180">
        <v>0</v>
      </c>
      <c r="BC46" s="180">
        <v>0</v>
      </c>
      <c r="BD46" s="180">
        <v>0</v>
      </c>
      <c r="BE46" s="180">
        <v>0</v>
      </c>
      <c r="BF46" s="180">
        <v>0</v>
      </c>
      <c r="BG46" s="180">
        <v>0</v>
      </c>
      <c r="BH46" s="180">
        <v>0</v>
      </c>
      <c r="BI46" s="180">
        <v>0</v>
      </c>
      <c r="BJ46" s="180">
        <v>0</v>
      </c>
      <c r="BK46" s="180">
        <v>0</v>
      </c>
      <c r="BL46" s="180">
        <v>0</v>
      </c>
      <c r="BM46" s="180">
        <v>0</v>
      </c>
      <c r="BN46" s="180">
        <v>0</v>
      </c>
      <c r="BO46" s="180">
        <v>0</v>
      </c>
      <c r="BP46" s="180">
        <v>0</v>
      </c>
      <c r="BQ46" s="180">
        <v>0</v>
      </c>
      <c r="BR46" s="180"/>
      <c r="BS46" s="180">
        <v>0</v>
      </c>
      <c r="BT46" s="180"/>
      <c r="BU46" s="180">
        <v>0</v>
      </c>
      <c r="BV46" s="180">
        <v>0</v>
      </c>
      <c r="BW46" s="180">
        <v>0</v>
      </c>
      <c r="BX46" s="180">
        <v>0</v>
      </c>
      <c r="BY46" s="180"/>
      <c r="BZ46" s="180">
        <v>0</v>
      </c>
      <c r="CA46" s="180">
        <v>0</v>
      </c>
      <c r="CB46" s="180">
        <v>0</v>
      </c>
      <c r="CC46" s="180">
        <v>0</v>
      </c>
      <c r="CD46" s="180">
        <v>0</v>
      </c>
      <c r="CE46" s="180"/>
      <c r="CF46" s="180">
        <v>0</v>
      </c>
      <c r="CG46" s="180">
        <v>0</v>
      </c>
      <c r="CH46" s="180">
        <v>0</v>
      </c>
      <c r="CI46" s="180">
        <v>0</v>
      </c>
      <c r="CJ46" s="180"/>
      <c r="CK46" s="180">
        <v>0</v>
      </c>
      <c r="CL46" s="180"/>
      <c r="CM46" s="180"/>
      <c r="CN46" s="180"/>
      <c r="CO46" s="180"/>
      <c r="CP46" s="180"/>
      <c r="CQ46" s="180"/>
      <c r="CR46" s="180"/>
      <c r="CS46" s="180"/>
      <c r="CT46" s="180"/>
      <c r="CU46" s="180"/>
    </row>
    <row r="47" spans="1:99" x14ac:dyDescent="0.3">
      <c r="A47" s="155">
        <v>252</v>
      </c>
      <c r="B47" s="180" t="s">
        <v>95</v>
      </c>
      <c r="C47" s="180"/>
      <c r="D47" s="180">
        <v>350466</v>
      </c>
      <c r="E47" s="180">
        <v>1143247</v>
      </c>
      <c r="F47" s="180">
        <v>132168</v>
      </c>
      <c r="G47" s="180">
        <v>283004</v>
      </c>
      <c r="H47" s="180"/>
      <c r="I47" s="180">
        <v>10411587</v>
      </c>
      <c r="J47" s="180">
        <v>2204807</v>
      </c>
      <c r="K47" s="180">
        <v>25925040</v>
      </c>
      <c r="L47" s="180">
        <v>3736011</v>
      </c>
      <c r="M47" s="180">
        <v>36727545</v>
      </c>
      <c r="N47" s="180"/>
      <c r="O47" s="180">
        <v>919593702</v>
      </c>
      <c r="P47" s="180">
        <v>57786</v>
      </c>
      <c r="Q47" s="180">
        <v>606929</v>
      </c>
      <c r="R47" s="180">
        <v>5505771</v>
      </c>
      <c r="S47" s="180">
        <v>856585</v>
      </c>
      <c r="T47" s="180">
        <v>2944423</v>
      </c>
      <c r="U47" s="180">
        <v>257864</v>
      </c>
      <c r="V47" s="180">
        <v>790333</v>
      </c>
      <c r="W47" s="180">
        <v>2289122</v>
      </c>
      <c r="X47" s="180">
        <v>74079252</v>
      </c>
      <c r="Y47" s="180">
        <v>5076927000</v>
      </c>
      <c r="Z47" s="180">
        <v>4799831</v>
      </c>
      <c r="AA47" s="180">
        <v>1558710</v>
      </c>
      <c r="AB47" s="180">
        <v>2201716</v>
      </c>
      <c r="AC47" s="180"/>
      <c r="AD47" s="180">
        <v>8082278</v>
      </c>
      <c r="AE47" s="180">
        <v>727166</v>
      </c>
      <c r="AF47" s="180">
        <v>59099384</v>
      </c>
      <c r="AG47" s="180">
        <v>47137810</v>
      </c>
      <c r="AH47" s="180">
        <v>2288565</v>
      </c>
      <c r="AI47" s="180">
        <v>10152908</v>
      </c>
      <c r="AJ47" s="180">
        <v>1256799</v>
      </c>
      <c r="AK47" s="180">
        <v>1028357</v>
      </c>
      <c r="AL47" s="180">
        <v>945484</v>
      </c>
      <c r="AM47" s="180"/>
      <c r="AN47" s="180">
        <v>467862</v>
      </c>
      <c r="AO47" s="180"/>
      <c r="AP47" s="180">
        <v>35151</v>
      </c>
      <c r="AQ47" s="180">
        <v>445135068</v>
      </c>
      <c r="AR47" s="180">
        <v>59738</v>
      </c>
      <c r="AS47" s="180">
        <v>1460661</v>
      </c>
      <c r="AT47" s="180">
        <v>41342488</v>
      </c>
      <c r="AU47" s="180">
        <v>465778</v>
      </c>
      <c r="AV47" s="180">
        <v>750000</v>
      </c>
      <c r="AW47" s="180">
        <v>63390401</v>
      </c>
      <c r="AX47" s="180">
        <v>386163</v>
      </c>
      <c r="AY47" s="180">
        <v>5504950</v>
      </c>
      <c r="AZ47" s="180">
        <v>22917922</v>
      </c>
      <c r="BA47" s="180">
        <v>58219</v>
      </c>
      <c r="BB47" s="180">
        <v>130756</v>
      </c>
      <c r="BC47" s="180">
        <v>4725011</v>
      </c>
      <c r="BD47" s="180">
        <v>137823</v>
      </c>
      <c r="BE47" s="180">
        <v>27650942</v>
      </c>
      <c r="BF47" s="180">
        <v>1077157</v>
      </c>
      <c r="BG47" s="180">
        <v>941115</v>
      </c>
      <c r="BH47" s="180">
        <v>259754</v>
      </c>
      <c r="BI47" s="180">
        <v>1857804</v>
      </c>
      <c r="BJ47" s="180">
        <v>360216</v>
      </c>
      <c r="BK47" s="180">
        <v>383297</v>
      </c>
      <c r="BL47" s="180">
        <v>1509294</v>
      </c>
      <c r="BM47" s="180">
        <v>436174</v>
      </c>
      <c r="BN47" s="180">
        <v>16892375</v>
      </c>
      <c r="BO47" s="180">
        <v>9056884</v>
      </c>
      <c r="BP47" s="180">
        <v>648187845</v>
      </c>
      <c r="BQ47" s="180">
        <v>17879</v>
      </c>
      <c r="BR47" s="180"/>
      <c r="BS47" s="180">
        <v>832633</v>
      </c>
      <c r="BT47" s="180"/>
      <c r="BU47" s="180">
        <v>1287351</v>
      </c>
      <c r="BV47" s="180">
        <v>2775528</v>
      </c>
      <c r="BW47" s="180">
        <v>22524990</v>
      </c>
      <c r="BX47" s="180">
        <v>3563642</v>
      </c>
      <c r="BY47" s="180"/>
      <c r="BZ47" s="180">
        <v>17838598</v>
      </c>
      <c r="CA47" s="180">
        <v>267801</v>
      </c>
      <c r="CB47" s="180">
        <v>7660304</v>
      </c>
      <c r="CC47" s="180">
        <v>147392</v>
      </c>
      <c r="CD47" s="180">
        <v>666523</v>
      </c>
      <c r="CE47" s="180"/>
      <c r="CF47" s="180">
        <v>7711190</v>
      </c>
      <c r="CG47" s="180">
        <v>22898828</v>
      </c>
      <c r="CH47" s="180">
        <v>8087203</v>
      </c>
      <c r="CI47" s="180">
        <v>3898471</v>
      </c>
      <c r="CJ47" s="180"/>
      <c r="CK47" s="180">
        <v>44144</v>
      </c>
      <c r="CL47" s="180"/>
      <c r="CM47" s="180"/>
      <c r="CN47" s="180"/>
      <c r="CO47" s="180"/>
      <c r="CP47" s="180"/>
      <c r="CQ47" s="180"/>
      <c r="CR47" s="180"/>
      <c r="CS47" s="180"/>
      <c r="CT47" s="180"/>
      <c r="CU47" s="180"/>
    </row>
    <row r="48" spans="1:99" x14ac:dyDescent="0.3">
      <c r="A48" s="155">
        <v>253</v>
      </c>
      <c r="B48" s="180" t="s">
        <v>96</v>
      </c>
      <c r="C48" s="180"/>
      <c r="D48" s="180">
        <v>221568</v>
      </c>
      <c r="E48" s="180">
        <v>239683</v>
      </c>
      <c r="F48" s="180">
        <v>70883</v>
      </c>
      <c r="G48" s="180">
        <v>29277</v>
      </c>
      <c r="H48" s="180"/>
      <c r="I48" s="180">
        <v>1533075</v>
      </c>
      <c r="J48" s="180">
        <v>188139</v>
      </c>
      <c r="K48" s="180">
        <v>2743410</v>
      </c>
      <c r="L48" s="180">
        <v>329701</v>
      </c>
      <c r="M48" s="180">
        <v>3647143</v>
      </c>
      <c r="N48" s="180"/>
      <c r="O48" s="180">
        <v>76353003</v>
      </c>
      <c r="P48" s="180">
        <v>4570</v>
      </c>
      <c r="Q48" s="180">
        <v>47156</v>
      </c>
      <c r="R48" s="180">
        <v>50838</v>
      </c>
      <c r="S48" s="180">
        <v>144038</v>
      </c>
      <c r="T48" s="180">
        <v>162926</v>
      </c>
      <c r="U48" s="180">
        <v>137849</v>
      </c>
      <c r="V48" s="180">
        <v>62251</v>
      </c>
      <c r="W48" s="180">
        <v>272336</v>
      </c>
      <c r="X48" s="180">
        <v>14364711</v>
      </c>
      <c r="Y48" s="180">
        <v>321770000</v>
      </c>
      <c r="Z48" s="180">
        <v>1191434</v>
      </c>
      <c r="AA48" s="180">
        <v>21719</v>
      </c>
      <c r="AB48" s="180">
        <v>1006850</v>
      </c>
      <c r="AC48" s="180"/>
      <c r="AD48" s="180">
        <v>661973</v>
      </c>
      <c r="AE48" s="180">
        <v>164277</v>
      </c>
      <c r="AF48" s="180">
        <v>14815825</v>
      </c>
      <c r="AG48" s="180">
        <v>1731558</v>
      </c>
      <c r="AH48" s="180">
        <v>289824</v>
      </c>
      <c r="AI48" s="180">
        <v>1906663</v>
      </c>
      <c r="AJ48" s="180">
        <v>241990</v>
      </c>
      <c r="AK48" s="180">
        <v>310377</v>
      </c>
      <c r="AL48" s="180">
        <v>267706</v>
      </c>
      <c r="AM48" s="180"/>
      <c r="AN48" s="180">
        <v>54842</v>
      </c>
      <c r="AO48" s="180"/>
      <c r="AP48" s="180">
        <v>2065</v>
      </c>
      <c r="AQ48" s="180">
        <v>54119927</v>
      </c>
      <c r="AR48" s="180">
        <v>92698</v>
      </c>
      <c r="AS48" s="180">
        <v>389377</v>
      </c>
      <c r="AT48" s="180">
        <v>7063440</v>
      </c>
      <c r="AU48" s="180">
        <v>146351</v>
      </c>
      <c r="AV48" s="180">
        <v>102855</v>
      </c>
      <c r="AW48" s="180">
        <v>11764231</v>
      </c>
      <c r="AX48" s="180">
        <v>134067</v>
      </c>
      <c r="AY48" s="180">
        <v>891738</v>
      </c>
      <c r="AZ48" s="180">
        <v>914249</v>
      </c>
      <c r="BA48" s="180">
        <v>109194</v>
      </c>
      <c r="BB48" s="180">
        <v>44218</v>
      </c>
      <c r="BC48" s="180">
        <v>503158</v>
      </c>
      <c r="BD48" s="180">
        <v>19690</v>
      </c>
      <c r="BE48" s="180">
        <v>3598667</v>
      </c>
      <c r="BF48" s="180">
        <v>328667</v>
      </c>
      <c r="BG48" s="180">
        <v>25447</v>
      </c>
      <c r="BH48" s="180">
        <v>24092</v>
      </c>
      <c r="BI48" s="180">
        <v>419704</v>
      </c>
      <c r="BJ48" s="180">
        <v>67142</v>
      </c>
      <c r="BK48" s="180">
        <v>349621</v>
      </c>
      <c r="BL48" s="180">
        <v>208726</v>
      </c>
      <c r="BM48" s="180">
        <v>185827</v>
      </c>
      <c r="BN48" s="180">
        <v>3500513</v>
      </c>
      <c r="BO48" s="180">
        <v>5723839</v>
      </c>
      <c r="BP48" s="180">
        <v>161823055</v>
      </c>
      <c r="BQ48" s="180">
        <v>51557</v>
      </c>
      <c r="BR48" s="180"/>
      <c r="BS48" s="180">
        <v>117469</v>
      </c>
      <c r="BT48" s="180"/>
      <c r="BU48" s="180">
        <v>1211885</v>
      </c>
      <c r="BV48" s="180">
        <v>899433</v>
      </c>
      <c r="BW48" s="180">
        <v>2349939</v>
      </c>
      <c r="BX48" s="180">
        <v>796563</v>
      </c>
      <c r="BY48" s="180"/>
      <c r="BZ48" s="180">
        <v>1984187</v>
      </c>
      <c r="CA48" s="180">
        <v>89049</v>
      </c>
      <c r="CB48" s="180">
        <v>1110446</v>
      </c>
      <c r="CC48" s="180">
        <v>115001</v>
      </c>
      <c r="CD48" s="180">
        <v>779225</v>
      </c>
      <c r="CE48" s="180"/>
      <c r="CF48" s="180">
        <v>1345709</v>
      </c>
      <c r="CG48" s="180">
        <v>7327990</v>
      </c>
      <c r="CH48" s="180">
        <v>604771</v>
      </c>
      <c r="CI48" s="180">
        <v>744441</v>
      </c>
      <c r="CJ48" s="180"/>
      <c r="CK48" s="180">
        <v>10818</v>
      </c>
      <c r="CL48" s="180"/>
      <c r="CM48" s="180"/>
      <c r="CN48" s="180"/>
      <c r="CO48" s="180"/>
      <c r="CP48" s="180"/>
      <c r="CQ48" s="180"/>
      <c r="CR48" s="180"/>
      <c r="CS48" s="180"/>
      <c r="CT48" s="180"/>
      <c r="CU48" s="180"/>
    </row>
    <row r="49" spans="1:99" x14ac:dyDescent="0.3">
      <c r="A49" s="155">
        <v>254</v>
      </c>
      <c r="B49" s="180" t="s">
        <v>97</v>
      </c>
      <c r="C49" s="180"/>
      <c r="D49" s="180">
        <v>3223552</v>
      </c>
      <c r="E49" s="180">
        <v>2763325</v>
      </c>
      <c r="F49" s="180">
        <v>916991</v>
      </c>
      <c r="G49" s="180">
        <v>639628</v>
      </c>
      <c r="H49" s="180"/>
      <c r="I49" s="180">
        <v>-8574816</v>
      </c>
      <c r="J49" s="180">
        <v>1852537</v>
      </c>
      <c r="K49" s="180">
        <v>-3066184</v>
      </c>
      <c r="L49" s="180">
        <v>4096894</v>
      </c>
      <c r="M49" s="180">
        <v>-6532066</v>
      </c>
      <c r="N49" s="180"/>
      <c r="O49" s="180">
        <v>-43436909</v>
      </c>
      <c r="P49" s="180">
        <v>84765</v>
      </c>
      <c r="Q49" s="180">
        <v>290081</v>
      </c>
      <c r="R49" s="180">
        <v>3697300</v>
      </c>
      <c r="S49" s="180">
        <v>975551</v>
      </c>
      <c r="T49" s="180">
        <v>1247187</v>
      </c>
      <c r="U49" s="180">
        <v>295077</v>
      </c>
      <c r="V49" s="180">
        <v>296761</v>
      </c>
      <c r="W49" s="180">
        <v>1963298</v>
      </c>
      <c r="X49" s="180">
        <v>-6407590</v>
      </c>
      <c r="Y49" s="180">
        <v>-200731000</v>
      </c>
      <c r="Z49" s="180">
        <v>-121748</v>
      </c>
      <c r="AA49" s="180">
        <v>495065</v>
      </c>
      <c r="AB49" s="180">
        <v>1682034</v>
      </c>
      <c r="AC49" s="180"/>
      <c r="AD49" s="180">
        <v>4156941</v>
      </c>
      <c r="AE49" s="180">
        <v>2508580</v>
      </c>
      <c r="AF49" s="180">
        <v>5251499</v>
      </c>
      <c r="AG49" s="180">
        <v>7198183</v>
      </c>
      <c r="AH49" s="180">
        <v>2867121</v>
      </c>
      <c r="AI49" s="180">
        <v>3752652</v>
      </c>
      <c r="AJ49" s="180">
        <v>1093814</v>
      </c>
      <c r="AK49" s="180">
        <v>1393845</v>
      </c>
      <c r="AL49" s="180">
        <v>734972</v>
      </c>
      <c r="AM49" s="180"/>
      <c r="AN49" s="180">
        <v>656515</v>
      </c>
      <c r="AO49" s="180"/>
      <c r="AP49" s="180">
        <v>81983</v>
      </c>
      <c r="AQ49" s="180">
        <v>51789348</v>
      </c>
      <c r="AR49" s="180">
        <v>315258</v>
      </c>
      <c r="AS49" s="180">
        <v>1663419</v>
      </c>
      <c r="AT49" s="180">
        <v>8342666</v>
      </c>
      <c r="AU49" s="180">
        <v>380327</v>
      </c>
      <c r="AV49" s="180">
        <v>1108749</v>
      </c>
      <c r="AW49" s="180">
        <v>19510896</v>
      </c>
      <c r="AX49" s="180">
        <v>131329</v>
      </c>
      <c r="AY49" s="180">
        <v>4523567</v>
      </c>
      <c r="AZ49" s="180">
        <v>6647869</v>
      </c>
      <c r="BA49" s="180">
        <v>491767</v>
      </c>
      <c r="BB49" s="180">
        <v>288794</v>
      </c>
      <c r="BC49" s="180">
        <v>4947677</v>
      </c>
      <c r="BD49" s="180">
        <v>166540</v>
      </c>
      <c r="BE49" s="180">
        <v>4939774</v>
      </c>
      <c r="BF49" s="180">
        <v>2211216</v>
      </c>
      <c r="BG49" s="180">
        <v>837712</v>
      </c>
      <c r="BH49" s="180">
        <v>563859</v>
      </c>
      <c r="BI49" s="180">
        <v>947683</v>
      </c>
      <c r="BJ49" s="180">
        <v>3280823</v>
      </c>
      <c r="BK49" s="180">
        <v>20388</v>
      </c>
      <c r="BL49" s="180">
        <v>1628370</v>
      </c>
      <c r="BM49" s="180">
        <v>913913</v>
      </c>
      <c r="BN49" s="180">
        <v>6553442</v>
      </c>
      <c r="BO49" s="180">
        <v>-5185668</v>
      </c>
      <c r="BP49" s="180">
        <v>-84257687</v>
      </c>
      <c r="BQ49" s="180">
        <v>60669</v>
      </c>
      <c r="BR49" s="180"/>
      <c r="BS49" s="180">
        <v>837474</v>
      </c>
      <c r="BT49" s="180"/>
      <c r="BU49" s="180">
        <v>1173877</v>
      </c>
      <c r="BV49" s="180">
        <v>6190481</v>
      </c>
      <c r="BW49" s="180">
        <v>-666501</v>
      </c>
      <c r="BX49" s="180">
        <v>1170014</v>
      </c>
      <c r="BY49" s="180"/>
      <c r="BZ49" s="180">
        <v>-191511</v>
      </c>
      <c r="CA49" s="180">
        <v>553762</v>
      </c>
      <c r="CB49" s="180">
        <v>4424605</v>
      </c>
      <c r="CC49" s="180">
        <v>843199</v>
      </c>
      <c r="CD49" s="180">
        <v>168372</v>
      </c>
      <c r="CE49" s="180"/>
      <c r="CF49" s="180">
        <v>7506053</v>
      </c>
      <c r="CG49" s="180">
        <v>707631</v>
      </c>
      <c r="CH49" s="180">
        <v>-134474</v>
      </c>
      <c r="CI49" s="180">
        <v>4880586</v>
      </c>
      <c r="CJ49" s="180"/>
      <c r="CK49" s="180">
        <v>73674</v>
      </c>
      <c r="CL49" s="180"/>
      <c r="CM49" s="180"/>
      <c r="CN49" s="180"/>
      <c r="CO49" s="180"/>
      <c r="CP49" s="180"/>
      <c r="CQ49" s="180"/>
      <c r="CR49" s="180"/>
      <c r="CS49" s="180"/>
      <c r="CT49" s="180"/>
      <c r="CU49" s="180"/>
    </row>
    <row r="50" spans="1:99" x14ac:dyDescent="0.3">
      <c r="A50" s="155">
        <v>255</v>
      </c>
      <c r="B50" s="180" t="s">
        <v>188</v>
      </c>
      <c r="C50" s="180"/>
      <c r="D50" s="180">
        <v>344955</v>
      </c>
      <c r="E50" s="180">
        <v>383051</v>
      </c>
      <c r="F50" s="180">
        <v>188741</v>
      </c>
      <c r="G50" s="180">
        <v>83736</v>
      </c>
      <c r="H50" s="180"/>
      <c r="I50" s="180">
        <v>451171</v>
      </c>
      <c r="J50" s="180">
        <v>372325</v>
      </c>
      <c r="K50" s="180">
        <v>4732131</v>
      </c>
      <c r="L50" s="180">
        <v>1260894</v>
      </c>
      <c r="M50" s="180">
        <v>4375059</v>
      </c>
      <c r="N50" s="180"/>
      <c r="O50" s="180">
        <v>25642472</v>
      </c>
      <c r="P50" s="180">
        <v>3015</v>
      </c>
      <c r="Q50" s="180">
        <v>67587</v>
      </c>
      <c r="R50" s="180">
        <v>641203</v>
      </c>
      <c r="S50" s="180">
        <v>346717</v>
      </c>
      <c r="T50" s="180">
        <v>1451672</v>
      </c>
      <c r="U50" s="180">
        <v>98921</v>
      </c>
      <c r="V50" s="180">
        <v>104131</v>
      </c>
      <c r="W50" s="180">
        <v>-1765</v>
      </c>
      <c r="X50" s="180">
        <v>8739302</v>
      </c>
      <c r="Y50" s="180">
        <v>32622000</v>
      </c>
      <c r="Z50" s="180">
        <v>1743445</v>
      </c>
      <c r="AA50" s="180">
        <v>392701</v>
      </c>
      <c r="AB50" s="180">
        <v>262455</v>
      </c>
      <c r="AC50" s="180"/>
      <c r="AD50" s="180">
        <v>692764</v>
      </c>
      <c r="AE50" s="180">
        <v>163481</v>
      </c>
      <c r="AF50" s="180">
        <v>11641993</v>
      </c>
      <c r="AG50" s="180">
        <v>1786086</v>
      </c>
      <c r="AH50" s="180">
        <v>140192</v>
      </c>
      <c r="AI50" s="180">
        <v>2077509</v>
      </c>
      <c r="AJ50" s="180">
        <v>114404</v>
      </c>
      <c r="AK50" s="180">
        <v>179272</v>
      </c>
      <c r="AL50" s="180">
        <v>-120469</v>
      </c>
      <c r="AM50" s="180"/>
      <c r="AN50" s="180">
        <v>-75558</v>
      </c>
      <c r="AO50" s="180"/>
      <c r="AP50" s="180">
        <v>5704</v>
      </c>
      <c r="AQ50" s="180">
        <v>48609250</v>
      </c>
      <c r="AR50" s="180">
        <v>-21201</v>
      </c>
      <c r="AS50" s="180">
        <v>175257</v>
      </c>
      <c r="AT50" s="180">
        <v>11029553</v>
      </c>
      <c r="AU50" s="180">
        <v>33018</v>
      </c>
      <c r="AV50" s="180">
        <v>174302</v>
      </c>
      <c r="AW50" s="180">
        <v>8487396</v>
      </c>
      <c r="AX50" s="180">
        <v>24043</v>
      </c>
      <c r="AY50" s="180">
        <v>1666468</v>
      </c>
      <c r="AZ50" s="180">
        <v>543985</v>
      </c>
      <c r="BA50" s="180">
        <v>30034</v>
      </c>
      <c r="BB50" s="180">
        <v>72326</v>
      </c>
      <c r="BC50" s="180">
        <v>594820</v>
      </c>
      <c r="BD50" s="180">
        <v>19410</v>
      </c>
      <c r="BE50" s="180">
        <v>1991394</v>
      </c>
      <c r="BF50" s="180">
        <v>840419</v>
      </c>
      <c r="BG50" s="180">
        <v>-28235</v>
      </c>
      <c r="BH50" s="180">
        <v>61358</v>
      </c>
      <c r="BI50" s="180">
        <v>138592</v>
      </c>
      <c r="BJ50" s="180">
        <v>213257</v>
      </c>
      <c r="BK50" s="180">
        <v>44774</v>
      </c>
      <c r="BL50" s="180">
        <v>213919</v>
      </c>
      <c r="BM50" s="180">
        <v>180145</v>
      </c>
      <c r="BN50" s="180">
        <v>1568656</v>
      </c>
      <c r="BO50" s="180">
        <v>-52219</v>
      </c>
      <c r="BP50" s="180">
        <v>35916658</v>
      </c>
      <c r="BQ50" s="180">
        <v>-6233</v>
      </c>
      <c r="BR50" s="180"/>
      <c r="BS50" s="180">
        <v>477721</v>
      </c>
      <c r="BT50" s="180"/>
      <c r="BU50" s="180">
        <v>489813</v>
      </c>
      <c r="BV50" s="180">
        <v>853484</v>
      </c>
      <c r="BW50" s="180">
        <v>143483</v>
      </c>
      <c r="BX50" s="180">
        <v>273477</v>
      </c>
      <c r="BY50" s="180"/>
      <c r="BZ50" s="180">
        <v>1608503</v>
      </c>
      <c r="CA50" s="180">
        <v>203936</v>
      </c>
      <c r="CB50" s="180">
        <v>1501165</v>
      </c>
      <c r="CC50" s="180">
        <v>24147</v>
      </c>
      <c r="CD50" s="180">
        <v>597738</v>
      </c>
      <c r="CE50" s="180"/>
      <c r="CF50" s="180">
        <v>1328693</v>
      </c>
      <c r="CG50" s="180">
        <v>643418</v>
      </c>
      <c r="CH50" s="180">
        <v>2273597</v>
      </c>
      <c r="CI50" s="180">
        <v>787820</v>
      </c>
      <c r="CJ50" s="180"/>
      <c r="CK50" s="180">
        <v>33991</v>
      </c>
      <c r="CL50" s="180"/>
      <c r="CM50" s="180"/>
      <c r="CN50" s="180"/>
      <c r="CO50" s="180"/>
      <c r="CP50" s="180"/>
      <c r="CQ50" s="180"/>
      <c r="CR50" s="180"/>
      <c r="CS50" s="180"/>
      <c r="CT50" s="180"/>
      <c r="CU50" s="180"/>
    </row>
    <row r="51" spans="1:99" x14ac:dyDescent="0.3">
      <c r="A51" s="155">
        <v>327</v>
      </c>
      <c r="B51" s="180" t="s">
        <v>920</v>
      </c>
      <c r="C51" s="180"/>
      <c r="D51" s="180">
        <v>0</v>
      </c>
      <c r="E51" s="180">
        <v>0</v>
      </c>
      <c r="F51" s="180">
        <v>6500</v>
      </c>
      <c r="G51" s="180">
        <v>43279</v>
      </c>
      <c r="H51" s="180"/>
      <c r="I51" s="180">
        <v>220283</v>
      </c>
      <c r="J51" s="180">
        <v>0</v>
      </c>
      <c r="K51" s="180">
        <v>475957</v>
      </c>
      <c r="L51" s="180">
        <v>0</v>
      </c>
      <c r="M51" s="180">
        <v>0</v>
      </c>
      <c r="N51" s="180"/>
      <c r="O51" s="180">
        <v>26795519</v>
      </c>
      <c r="P51" s="180">
        <v>0</v>
      </c>
      <c r="Q51" s="180">
        <v>0</v>
      </c>
      <c r="R51" s="180">
        <v>0</v>
      </c>
      <c r="S51" s="180">
        <v>0</v>
      </c>
      <c r="T51" s="180">
        <v>0</v>
      </c>
      <c r="U51" s="180">
        <v>0</v>
      </c>
      <c r="V51" s="180">
        <v>8650</v>
      </c>
      <c r="W51" s="180">
        <v>0</v>
      </c>
      <c r="X51" s="180">
        <v>0</v>
      </c>
      <c r="Y51" s="180">
        <v>61925000</v>
      </c>
      <c r="Z51" s="180">
        <v>102929</v>
      </c>
      <c r="AA51" s="180">
        <v>13364</v>
      </c>
      <c r="AB51" s="180">
        <v>0</v>
      </c>
      <c r="AC51" s="180"/>
      <c r="AD51" s="180">
        <v>83327</v>
      </c>
      <c r="AE51" s="180">
        <v>13628</v>
      </c>
      <c r="AF51" s="180">
        <v>17400838</v>
      </c>
      <c r="AG51" s="180">
        <v>0</v>
      </c>
      <c r="AH51" s="180">
        <v>66507</v>
      </c>
      <c r="AI51" s="180">
        <v>261439</v>
      </c>
      <c r="AJ51" s="180">
        <v>0</v>
      </c>
      <c r="AK51" s="180">
        <v>18344</v>
      </c>
      <c r="AL51" s="180">
        <v>8050</v>
      </c>
      <c r="AM51" s="180"/>
      <c r="AN51" s="180">
        <v>32652</v>
      </c>
      <c r="AO51" s="180"/>
      <c r="AP51" s="180">
        <v>0</v>
      </c>
      <c r="AQ51" s="180">
        <v>2398213</v>
      </c>
      <c r="AR51" s="180">
        <v>0</v>
      </c>
      <c r="AS51" s="180">
        <v>1500</v>
      </c>
      <c r="AT51" s="180">
        <v>305061</v>
      </c>
      <c r="AU51" s="180">
        <v>138202</v>
      </c>
      <c r="AV51" s="180">
        <v>0</v>
      </c>
      <c r="AW51" s="180">
        <v>0</v>
      </c>
      <c r="AX51" s="180">
        <v>145831</v>
      </c>
      <c r="AY51" s="180">
        <v>0</v>
      </c>
      <c r="AZ51" s="180">
        <v>0</v>
      </c>
      <c r="BA51" s="180">
        <v>0</v>
      </c>
      <c r="BB51" s="180">
        <v>81700</v>
      </c>
      <c r="BC51" s="180">
        <v>158909</v>
      </c>
      <c r="BD51" s="180">
        <v>0</v>
      </c>
      <c r="BE51" s="180">
        <v>0</v>
      </c>
      <c r="BF51" s="180">
        <v>174616</v>
      </c>
      <c r="BG51" s="180">
        <v>0</v>
      </c>
      <c r="BH51" s="180">
        <v>0</v>
      </c>
      <c r="BI51" s="180">
        <v>90466</v>
      </c>
      <c r="BJ51" s="180">
        <v>0</v>
      </c>
      <c r="BK51" s="180">
        <v>163450</v>
      </c>
      <c r="BL51" s="180">
        <v>0</v>
      </c>
      <c r="BM51" s="180">
        <v>17441</v>
      </c>
      <c r="BN51" s="180">
        <v>0</v>
      </c>
      <c r="BO51" s="180">
        <v>286507</v>
      </c>
      <c r="BP51" s="180">
        <v>32670272</v>
      </c>
      <c r="BQ51" s="180">
        <v>0</v>
      </c>
      <c r="BR51" s="180"/>
      <c r="BS51" s="180">
        <v>3350</v>
      </c>
      <c r="BT51" s="180"/>
      <c r="BU51" s="180">
        <v>0</v>
      </c>
      <c r="BV51" s="180">
        <v>0</v>
      </c>
      <c r="BW51" s="180">
        <v>1826960</v>
      </c>
      <c r="BX51" s="180">
        <v>45216</v>
      </c>
      <c r="BY51" s="180"/>
      <c r="BZ51" s="180">
        <v>1250019</v>
      </c>
      <c r="CA51" s="180">
        <v>18511</v>
      </c>
      <c r="CB51" s="180">
        <v>118455</v>
      </c>
      <c r="CC51" s="180">
        <v>0</v>
      </c>
      <c r="CD51" s="180">
        <v>1459727</v>
      </c>
      <c r="CE51" s="180"/>
      <c r="CF51" s="180">
        <v>0</v>
      </c>
      <c r="CG51" s="180">
        <v>0</v>
      </c>
      <c r="CH51" s="180">
        <v>21230</v>
      </c>
      <c r="CI51" s="180">
        <v>0</v>
      </c>
      <c r="CJ51" s="180"/>
      <c r="CK51" s="180">
        <v>3000</v>
      </c>
      <c r="CL51" s="180"/>
      <c r="CM51" s="180"/>
      <c r="CN51" s="180"/>
      <c r="CO51" s="180"/>
      <c r="CP51" s="180"/>
      <c r="CQ51" s="180"/>
      <c r="CR51" s="180"/>
      <c r="CS51" s="180"/>
      <c r="CT51" s="180"/>
      <c r="CU51" s="180"/>
    </row>
    <row r="52" spans="1:99" x14ac:dyDescent="0.3">
      <c r="A52" s="155">
        <v>328</v>
      </c>
      <c r="B52" s="180" t="s">
        <v>306</v>
      </c>
      <c r="C52" s="180"/>
      <c r="D52" s="180">
        <v>0</v>
      </c>
      <c r="E52" s="180">
        <v>0</v>
      </c>
      <c r="F52" s="180">
        <v>0</v>
      </c>
      <c r="G52" s="180">
        <v>0</v>
      </c>
      <c r="H52" s="180"/>
      <c r="I52" s="180">
        <v>40093</v>
      </c>
      <c r="J52" s="180">
        <v>0</v>
      </c>
      <c r="K52" s="180">
        <v>2918215</v>
      </c>
      <c r="L52" s="180">
        <v>0</v>
      </c>
      <c r="M52" s="180">
        <v>0</v>
      </c>
      <c r="N52" s="180"/>
      <c r="O52" s="180">
        <v>230483174</v>
      </c>
      <c r="P52" s="180">
        <v>0</v>
      </c>
      <c r="Q52" s="180">
        <v>0</v>
      </c>
      <c r="R52" s="180">
        <v>0</v>
      </c>
      <c r="S52" s="180">
        <v>0</v>
      </c>
      <c r="T52" s="180">
        <v>0</v>
      </c>
      <c r="U52" s="180">
        <v>0</v>
      </c>
      <c r="V52" s="180">
        <v>0</v>
      </c>
      <c r="W52" s="180">
        <v>0</v>
      </c>
      <c r="X52" s="180">
        <v>0</v>
      </c>
      <c r="Y52" s="180">
        <v>264032000</v>
      </c>
      <c r="Z52" s="180">
        <v>3793739</v>
      </c>
      <c r="AA52" s="180">
        <v>0</v>
      </c>
      <c r="AB52" s="180">
        <v>0</v>
      </c>
      <c r="AC52" s="180"/>
      <c r="AD52" s="180">
        <v>439234</v>
      </c>
      <c r="AE52" s="180">
        <v>277155</v>
      </c>
      <c r="AF52" s="180">
        <v>28141143</v>
      </c>
      <c r="AG52" s="180">
        <v>0</v>
      </c>
      <c r="AH52" s="180">
        <v>0</v>
      </c>
      <c r="AI52" s="180">
        <v>357539</v>
      </c>
      <c r="AJ52" s="180">
        <v>0</v>
      </c>
      <c r="AK52" s="180">
        <v>0</v>
      </c>
      <c r="AL52" s="180">
        <v>0</v>
      </c>
      <c r="AM52" s="180"/>
      <c r="AN52" s="180">
        <v>0</v>
      </c>
      <c r="AO52" s="180"/>
      <c r="AP52" s="180">
        <v>0</v>
      </c>
      <c r="AQ52" s="180">
        <v>10073833</v>
      </c>
      <c r="AR52" s="180">
        <v>0</v>
      </c>
      <c r="AS52" s="180">
        <v>0</v>
      </c>
      <c r="AT52" s="180">
        <v>668001</v>
      </c>
      <c r="AU52" s="180">
        <v>0</v>
      </c>
      <c r="AV52" s="180">
        <v>0</v>
      </c>
      <c r="AW52" s="180">
        <v>0</v>
      </c>
      <c r="AX52" s="180">
        <v>0</v>
      </c>
      <c r="AY52" s="180">
        <v>0</v>
      </c>
      <c r="AZ52" s="180">
        <v>0</v>
      </c>
      <c r="BA52" s="180">
        <v>0</v>
      </c>
      <c r="BB52" s="180">
        <v>42367</v>
      </c>
      <c r="BC52" s="180">
        <v>339807</v>
      </c>
      <c r="BD52" s="180">
        <v>0</v>
      </c>
      <c r="BE52" s="180">
        <v>0</v>
      </c>
      <c r="BF52" s="180">
        <v>0</v>
      </c>
      <c r="BG52" s="180">
        <v>0</v>
      </c>
      <c r="BH52" s="180">
        <v>0</v>
      </c>
      <c r="BI52" s="180">
        <v>0</v>
      </c>
      <c r="BJ52" s="180">
        <v>0</v>
      </c>
      <c r="BK52" s="180">
        <v>0</v>
      </c>
      <c r="BL52" s="180">
        <v>0</v>
      </c>
      <c r="BM52" s="180">
        <v>59500</v>
      </c>
      <c r="BN52" s="180">
        <v>0</v>
      </c>
      <c r="BO52" s="180">
        <v>1449634</v>
      </c>
      <c r="BP52" s="180">
        <v>432678382</v>
      </c>
      <c r="BQ52" s="180">
        <v>0</v>
      </c>
      <c r="BR52" s="180"/>
      <c r="BS52" s="180">
        <v>0</v>
      </c>
      <c r="BT52" s="180"/>
      <c r="BU52" s="180">
        <v>365604</v>
      </c>
      <c r="BV52" s="180">
        <v>0</v>
      </c>
      <c r="BW52" s="180">
        <v>21452254</v>
      </c>
      <c r="BX52" s="180">
        <v>7091656</v>
      </c>
      <c r="BY52" s="180"/>
      <c r="BZ52" s="180">
        <v>379245</v>
      </c>
      <c r="CA52" s="180">
        <v>35173</v>
      </c>
      <c r="CB52" s="180">
        <v>0</v>
      </c>
      <c r="CC52" s="180">
        <v>0</v>
      </c>
      <c r="CD52" s="180">
        <v>0</v>
      </c>
      <c r="CE52" s="180"/>
      <c r="CF52" s="180">
        <v>52986</v>
      </c>
      <c r="CG52" s="180">
        <v>0</v>
      </c>
      <c r="CH52" s="180">
        <v>640559</v>
      </c>
      <c r="CI52" s="180">
        <v>0</v>
      </c>
      <c r="CJ52" s="180"/>
      <c r="CK52" s="180">
        <v>0</v>
      </c>
      <c r="CL52" s="180"/>
      <c r="CM52" s="180"/>
      <c r="CN52" s="180"/>
      <c r="CO52" s="180"/>
      <c r="CP52" s="180"/>
      <c r="CQ52" s="180"/>
      <c r="CR52" s="180"/>
      <c r="CS52" s="180"/>
      <c r="CT52" s="180"/>
      <c r="CU52" s="180"/>
    </row>
    <row r="53" spans="1:99" x14ac:dyDescent="0.3">
      <c r="A53" s="155">
        <v>331</v>
      </c>
      <c r="B53" s="180" t="s">
        <v>238</v>
      </c>
      <c r="C53" s="180"/>
      <c r="D53" s="180">
        <v>0</v>
      </c>
      <c r="E53" s="180">
        <v>0</v>
      </c>
      <c r="F53" s="180">
        <v>0</v>
      </c>
      <c r="G53" s="180">
        <v>3780</v>
      </c>
      <c r="H53" s="180"/>
      <c r="I53" s="180">
        <v>222732</v>
      </c>
      <c r="J53" s="180">
        <v>0</v>
      </c>
      <c r="K53" s="180">
        <v>1526994</v>
      </c>
      <c r="L53" s="180">
        <v>0</v>
      </c>
      <c r="M53" s="180">
        <v>0</v>
      </c>
      <c r="N53" s="180"/>
      <c r="O53" s="180">
        <v>12875392</v>
      </c>
      <c r="P53" s="180">
        <v>0</v>
      </c>
      <c r="Q53" s="180">
        <v>0</v>
      </c>
      <c r="R53" s="180">
        <v>0</v>
      </c>
      <c r="S53" s="180">
        <v>0</v>
      </c>
      <c r="T53" s="180">
        <v>0</v>
      </c>
      <c r="U53" s="180">
        <v>0</v>
      </c>
      <c r="V53" s="180">
        <v>0</v>
      </c>
      <c r="W53" s="180">
        <v>132000</v>
      </c>
      <c r="X53" s="180">
        <v>0</v>
      </c>
      <c r="Y53" s="180">
        <v>79574000</v>
      </c>
      <c r="Z53" s="180">
        <v>64435</v>
      </c>
      <c r="AA53" s="180">
        <v>0</v>
      </c>
      <c r="AB53" s="180">
        <v>0</v>
      </c>
      <c r="AC53" s="180"/>
      <c r="AD53" s="180">
        <v>0</v>
      </c>
      <c r="AE53" s="180">
        <v>39316</v>
      </c>
      <c r="AF53" s="180">
        <v>1254968</v>
      </c>
      <c r="AG53" s="180">
        <v>0</v>
      </c>
      <c r="AH53" s="180">
        <v>0</v>
      </c>
      <c r="AI53" s="180">
        <v>365301</v>
      </c>
      <c r="AJ53" s="180">
        <v>20820</v>
      </c>
      <c r="AK53" s="180">
        <v>0</v>
      </c>
      <c r="AL53" s="180">
        <v>18000</v>
      </c>
      <c r="AM53" s="180"/>
      <c r="AN53" s="180">
        <v>48199</v>
      </c>
      <c r="AO53" s="180"/>
      <c r="AP53" s="180">
        <v>0</v>
      </c>
      <c r="AQ53" s="180">
        <v>2850875</v>
      </c>
      <c r="AR53" s="180">
        <v>0</v>
      </c>
      <c r="AS53" s="180">
        <v>0</v>
      </c>
      <c r="AT53" s="180">
        <v>223401</v>
      </c>
      <c r="AU53" s="180">
        <v>42670</v>
      </c>
      <c r="AV53" s="180">
        <v>0</v>
      </c>
      <c r="AW53" s="180">
        <v>0</v>
      </c>
      <c r="AX53" s="180">
        <v>11400</v>
      </c>
      <c r="AY53" s="180">
        <v>0</v>
      </c>
      <c r="AZ53" s="180">
        <v>0</v>
      </c>
      <c r="BA53" s="180">
        <v>9395</v>
      </c>
      <c r="BB53" s="180">
        <v>0</v>
      </c>
      <c r="BC53" s="180">
        <v>173588</v>
      </c>
      <c r="BD53" s="180">
        <v>0</v>
      </c>
      <c r="BE53" s="180">
        <v>0</v>
      </c>
      <c r="BF53" s="180">
        <v>150380</v>
      </c>
      <c r="BG53" s="180">
        <v>0</v>
      </c>
      <c r="BH53" s="180">
        <v>0</v>
      </c>
      <c r="BI53" s="180">
        <v>85712</v>
      </c>
      <c r="BJ53" s="180">
        <v>0</v>
      </c>
      <c r="BK53" s="180">
        <v>22780</v>
      </c>
      <c r="BL53" s="180">
        <v>23555</v>
      </c>
      <c r="BM53" s="180">
        <v>11114</v>
      </c>
      <c r="BN53" s="180">
        <v>0</v>
      </c>
      <c r="BO53" s="180">
        <v>1034181</v>
      </c>
      <c r="BP53" s="180">
        <v>3296736</v>
      </c>
      <c r="BQ53" s="180">
        <v>0</v>
      </c>
      <c r="BR53" s="180"/>
      <c r="BS53" s="180">
        <v>0</v>
      </c>
      <c r="BT53" s="180"/>
      <c r="BU53" s="180">
        <v>29000</v>
      </c>
      <c r="BV53" s="180">
        <v>0</v>
      </c>
      <c r="BW53" s="180">
        <v>2512149</v>
      </c>
      <c r="BX53" s="180">
        <v>179066</v>
      </c>
      <c r="BY53" s="180"/>
      <c r="BZ53" s="180">
        <v>69194</v>
      </c>
      <c r="CA53" s="180">
        <v>8500</v>
      </c>
      <c r="CB53" s="180">
        <v>149373</v>
      </c>
      <c r="CC53" s="180">
        <v>0</v>
      </c>
      <c r="CD53" s="180">
        <v>35000</v>
      </c>
      <c r="CE53" s="180"/>
      <c r="CF53" s="180">
        <v>7257</v>
      </c>
      <c r="CG53" s="180">
        <v>0</v>
      </c>
      <c r="CH53" s="180">
        <v>97086</v>
      </c>
      <c r="CI53" s="180">
        <v>0</v>
      </c>
      <c r="CJ53" s="180"/>
      <c r="CK53" s="180">
        <v>0</v>
      </c>
      <c r="CL53" s="180"/>
      <c r="CM53" s="180"/>
      <c r="CN53" s="180"/>
      <c r="CO53" s="180"/>
      <c r="CP53" s="180"/>
      <c r="CQ53" s="180"/>
      <c r="CR53" s="180"/>
      <c r="CS53" s="180"/>
      <c r="CT53" s="180"/>
      <c r="CU53" s="180"/>
    </row>
    <row r="54" spans="1:99" x14ac:dyDescent="0.3">
      <c r="A54" s="155">
        <v>332</v>
      </c>
      <c r="B54" s="180" t="s">
        <v>239</v>
      </c>
      <c r="C54" s="180"/>
      <c r="D54" s="180">
        <v>0</v>
      </c>
      <c r="E54" s="180">
        <v>0</v>
      </c>
      <c r="F54" s="180">
        <v>0</v>
      </c>
      <c r="G54" s="180">
        <v>12482</v>
      </c>
      <c r="H54" s="180"/>
      <c r="I54" s="180">
        <v>8375</v>
      </c>
      <c r="J54" s="180">
        <v>0</v>
      </c>
      <c r="K54" s="180">
        <v>428524</v>
      </c>
      <c r="L54" s="180">
        <v>0</v>
      </c>
      <c r="M54" s="180">
        <v>0</v>
      </c>
      <c r="N54" s="180"/>
      <c r="O54" s="180">
        <v>21485813</v>
      </c>
      <c r="P54" s="180">
        <v>0</v>
      </c>
      <c r="Q54" s="180">
        <v>0</v>
      </c>
      <c r="R54" s="180">
        <v>0</v>
      </c>
      <c r="S54" s="180">
        <v>0</v>
      </c>
      <c r="T54" s="180">
        <v>0</v>
      </c>
      <c r="U54" s="180">
        <v>0</v>
      </c>
      <c r="V54" s="180">
        <v>30419</v>
      </c>
      <c r="W54" s="180">
        <v>66165</v>
      </c>
      <c r="X54" s="180">
        <v>0</v>
      </c>
      <c r="Y54" s="180">
        <v>405917000</v>
      </c>
      <c r="Z54" s="180">
        <v>3794527</v>
      </c>
      <c r="AA54" s="180">
        <v>0</v>
      </c>
      <c r="AB54" s="180">
        <v>0</v>
      </c>
      <c r="AC54" s="180"/>
      <c r="AD54" s="180">
        <v>168864</v>
      </c>
      <c r="AE54" s="180">
        <v>53513</v>
      </c>
      <c r="AF54" s="180">
        <v>24963899</v>
      </c>
      <c r="AG54" s="180">
        <v>0</v>
      </c>
      <c r="AH54" s="180">
        <v>105911</v>
      </c>
      <c r="AI54" s="180">
        <v>513236</v>
      </c>
      <c r="AJ54" s="180">
        <v>585464</v>
      </c>
      <c r="AK54" s="180">
        <v>0</v>
      </c>
      <c r="AL54" s="180">
        <v>0</v>
      </c>
      <c r="AM54" s="180"/>
      <c r="AN54" s="180">
        <v>623898</v>
      </c>
      <c r="AO54" s="180"/>
      <c r="AP54" s="180">
        <v>0</v>
      </c>
      <c r="AQ54" s="180">
        <v>5197167</v>
      </c>
      <c r="AR54" s="180">
        <v>0</v>
      </c>
      <c r="AS54" s="180">
        <v>0</v>
      </c>
      <c r="AT54" s="180">
        <v>713640</v>
      </c>
      <c r="AU54" s="180">
        <v>186562</v>
      </c>
      <c r="AV54" s="180">
        <v>0</v>
      </c>
      <c r="AW54" s="180">
        <v>0</v>
      </c>
      <c r="AX54" s="180">
        <v>0</v>
      </c>
      <c r="AY54" s="180">
        <v>0</v>
      </c>
      <c r="AZ54" s="180">
        <v>0</v>
      </c>
      <c r="BA54" s="180">
        <v>66969</v>
      </c>
      <c r="BB54" s="180">
        <v>27234</v>
      </c>
      <c r="BC54" s="180">
        <v>236148</v>
      </c>
      <c r="BD54" s="180">
        <v>0</v>
      </c>
      <c r="BE54" s="180">
        <v>0</v>
      </c>
      <c r="BF54" s="180">
        <v>119713</v>
      </c>
      <c r="BG54" s="180">
        <v>0</v>
      </c>
      <c r="BH54" s="180">
        <v>0</v>
      </c>
      <c r="BI54" s="180">
        <v>184362</v>
      </c>
      <c r="BJ54" s="180">
        <v>0</v>
      </c>
      <c r="BK54" s="180">
        <v>0</v>
      </c>
      <c r="BL54" s="180">
        <v>21900</v>
      </c>
      <c r="BM54" s="180">
        <v>0</v>
      </c>
      <c r="BN54" s="180">
        <v>0</v>
      </c>
      <c r="BO54" s="180">
        <v>3560976</v>
      </c>
      <c r="BP54" s="180">
        <v>88009515</v>
      </c>
      <c r="BQ54" s="180">
        <v>0</v>
      </c>
      <c r="BR54" s="180"/>
      <c r="BS54" s="180">
        <v>20571</v>
      </c>
      <c r="BT54" s="180"/>
      <c r="BU54" s="180">
        <v>63246</v>
      </c>
      <c r="BV54" s="180">
        <v>0</v>
      </c>
      <c r="BW54" s="180">
        <v>4327334</v>
      </c>
      <c r="BX54" s="180">
        <v>1864441</v>
      </c>
      <c r="BY54" s="180"/>
      <c r="BZ54" s="180">
        <v>589799</v>
      </c>
      <c r="CA54" s="180">
        <v>49966</v>
      </c>
      <c r="CB54" s="180">
        <v>57955</v>
      </c>
      <c r="CC54" s="180">
        <v>0</v>
      </c>
      <c r="CD54" s="180">
        <v>19769</v>
      </c>
      <c r="CE54" s="180"/>
      <c r="CF54" s="180">
        <v>1913356</v>
      </c>
      <c r="CG54" s="180">
        <v>0</v>
      </c>
      <c r="CH54" s="180">
        <v>59537</v>
      </c>
      <c r="CI54" s="180">
        <v>0</v>
      </c>
      <c r="CJ54" s="180"/>
      <c r="CK54" s="180">
        <v>0</v>
      </c>
      <c r="CL54" s="180"/>
      <c r="CM54" s="180"/>
      <c r="CN54" s="180"/>
      <c r="CO54" s="180"/>
      <c r="CP54" s="180"/>
      <c r="CQ54" s="180"/>
      <c r="CR54" s="180"/>
      <c r="CS54" s="180"/>
      <c r="CT54" s="180"/>
      <c r="CU54" s="180"/>
    </row>
    <row r="55" spans="1:99" x14ac:dyDescent="0.3">
      <c r="A55" s="155">
        <v>333</v>
      </c>
      <c r="B55" s="180" t="s">
        <v>176</v>
      </c>
      <c r="C55" s="180"/>
      <c r="D55" s="180">
        <v>3526847</v>
      </c>
      <c r="E55" s="180">
        <v>2906039</v>
      </c>
      <c r="F55" s="180">
        <v>925174</v>
      </c>
      <c r="G55" s="180">
        <v>640195</v>
      </c>
      <c r="H55" s="180"/>
      <c r="I55" s="180">
        <v>2890110</v>
      </c>
      <c r="J55" s="180">
        <v>2074307</v>
      </c>
      <c r="K55" s="180">
        <v>8050179</v>
      </c>
      <c r="L55" s="180">
        <v>4859966</v>
      </c>
      <c r="M55" s="180">
        <v>24302805</v>
      </c>
      <c r="N55" s="180"/>
      <c r="O55" s="180">
        <v>257867819</v>
      </c>
      <c r="P55" s="180">
        <v>85491</v>
      </c>
      <c r="Q55" s="180">
        <v>284666</v>
      </c>
      <c r="R55" s="180">
        <v>3697300</v>
      </c>
      <c r="S55" s="180">
        <v>1454747</v>
      </c>
      <c r="T55" s="180">
        <v>1253976</v>
      </c>
      <c r="U55" s="180">
        <v>304071</v>
      </c>
      <c r="V55" s="180">
        <v>289159</v>
      </c>
      <c r="W55" s="180">
        <v>2127626</v>
      </c>
      <c r="X55" s="180">
        <v>50045396</v>
      </c>
      <c r="Y55" s="180">
        <v>928566000</v>
      </c>
      <c r="Z55" s="180">
        <v>1703145</v>
      </c>
      <c r="AA55" s="180">
        <v>523431</v>
      </c>
      <c r="AB55" s="180">
        <v>2640661</v>
      </c>
      <c r="AC55" s="180"/>
      <c r="AD55" s="180">
        <v>4811708</v>
      </c>
      <c r="AE55" s="180">
        <v>2575988</v>
      </c>
      <c r="AF55" s="180">
        <v>25091469</v>
      </c>
      <c r="AG55" s="180">
        <v>8720707</v>
      </c>
      <c r="AH55" s="180">
        <v>3220743</v>
      </c>
      <c r="AI55" s="180">
        <v>7245695</v>
      </c>
      <c r="AJ55" s="180">
        <v>1307069</v>
      </c>
      <c r="AK55" s="180">
        <v>1723587</v>
      </c>
      <c r="AL55" s="180">
        <v>740379</v>
      </c>
      <c r="AM55" s="180"/>
      <c r="AN55" s="180">
        <v>1051490</v>
      </c>
      <c r="AO55" s="180"/>
      <c r="AP55" s="180">
        <v>82586</v>
      </c>
      <c r="AQ55" s="180">
        <v>129841845</v>
      </c>
      <c r="AR55" s="180">
        <v>345550</v>
      </c>
      <c r="AS55" s="180">
        <v>1904968</v>
      </c>
      <c r="AT55" s="180">
        <v>14089617</v>
      </c>
      <c r="AU55" s="180">
        <v>517361</v>
      </c>
      <c r="AV55" s="180">
        <v>1104402</v>
      </c>
      <c r="AW55" s="180">
        <v>38432585</v>
      </c>
      <c r="AX55" s="180">
        <v>230832</v>
      </c>
      <c r="AY55" s="180">
        <v>4962922</v>
      </c>
      <c r="AZ55" s="180">
        <v>10189769</v>
      </c>
      <c r="BA55" s="180">
        <v>488180</v>
      </c>
      <c r="BB55" s="180">
        <v>284291</v>
      </c>
      <c r="BC55" s="180">
        <v>5986638</v>
      </c>
      <c r="BD55" s="180">
        <v>166638</v>
      </c>
      <c r="BE55" s="180">
        <v>18336237</v>
      </c>
      <c r="BF55" s="180">
        <v>2361018</v>
      </c>
      <c r="BG55" s="180">
        <v>841338</v>
      </c>
      <c r="BH55" s="180">
        <v>535872</v>
      </c>
      <c r="BI55" s="180">
        <v>1675405</v>
      </c>
      <c r="BJ55" s="180">
        <v>3316960</v>
      </c>
      <c r="BK55" s="180">
        <v>96094</v>
      </c>
      <c r="BL55" s="180">
        <v>2304101</v>
      </c>
      <c r="BM55" s="180">
        <v>907817</v>
      </c>
      <c r="BN55" s="180">
        <v>8266284</v>
      </c>
      <c r="BO55" s="180">
        <v>6820679</v>
      </c>
      <c r="BP55" s="180">
        <v>310532257</v>
      </c>
      <c r="BQ55" s="180">
        <v>60484</v>
      </c>
      <c r="BR55" s="180"/>
      <c r="BS55" s="180">
        <v>882570</v>
      </c>
      <c r="BT55" s="180"/>
      <c r="BU55" s="180">
        <v>1218760</v>
      </c>
      <c r="BV55" s="180">
        <v>6441626</v>
      </c>
      <c r="BW55" s="180">
        <v>11779835</v>
      </c>
      <c r="BX55" s="180">
        <v>3623322</v>
      </c>
      <c r="BY55" s="180"/>
      <c r="BZ55" s="180">
        <v>1429064</v>
      </c>
      <c r="CA55" s="180">
        <v>700362</v>
      </c>
      <c r="CB55" s="180">
        <v>5827500</v>
      </c>
      <c r="CC55" s="180">
        <v>829345</v>
      </c>
      <c r="CD55" s="180">
        <v>301453</v>
      </c>
      <c r="CE55" s="180"/>
      <c r="CF55" s="180">
        <v>8350662</v>
      </c>
      <c r="CG55" s="180">
        <v>9313146</v>
      </c>
      <c r="CH55" s="180">
        <v>369605</v>
      </c>
      <c r="CI55" s="180">
        <v>6673966</v>
      </c>
      <c r="CJ55" s="180"/>
      <c r="CK55" s="180">
        <v>61349</v>
      </c>
      <c r="CL55" s="180"/>
      <c r="CM55" s="180"/>
      <c r="CN55" s="180"/>
      <c r="CO55" s="180"/>
      <c r="CP55" s="180"/>
      <c r="CQ55" s="180"/>
      <c r="CR55" s="180"/>
      <c r="CS55" s="180"/>
      <c r="CT55" s="180"/>
      <c r="CU55" s="180"/>
    </row>
    <row r="56" spans="1:99" x14ac:dyDescent="0.3">
      <c r="A56" s="155">
        <v>334</v>
      </c>
      <c r="B56" s="180" t="s">
        <v>261</v>
      </c>
      <c r="C56" s="180"/>
      <c r="D56" s="180">
        <v>660023</v>
      </c>
      <c r="E56" s="180">
        <v>1107628</v>
      </c>
      <c r="F56" s="180">
        <v>537962</v>
      </c>
      <c r="G56" s="180">
        <v>229657</v>
      </c>
      <c r="H56" s="180"/>
      <c r="I56" s="180">
        <v>10459088</v>
      </c>
      <c r="J56" s="180">
        <v>2946162</v>
      </c>
      <c r="K56" s="180">
        <v>29972361</v>
      </c>
      <c r="L56" s="180">
        <v>8412541</v>
      </c>
      <c r="M56" s="180">
        <v>47162710</v>
      </c>
      <c r="N56" s="180"/>
      <c r="O56" s="180">
        <v>1150822177</v>
      </c>
      <c r="P56" s="180">
        <v>215877</v>
      </c>
      <c r="Q56" s="180">
        <v>368064</v>
      </c>
      <c r="R56" s="180">
        <v>3320234</v>
      </c>
      <c r="S56" s="180">
        <v>1552073</v>
      </c>
      <c r="T56" s="180">
        <v>492989</v>
      </c>
      <c r="U56" s="180">
        <v>269416</v>
      </c>
      <c r="V56" s="180">
        <v>874798</v>
      </c>
      <c r="W56" s="180">
        <v>3209281</v>
      </c>
      <c r="X56" s="180">
        <v>193931157</v>
      </c>
      <c r="Y56" s="180">
        <v>5013791000</v>
      </c>
      <c r="Z56" s="180">
        <v>12647227</v>
      </c>
      <c r="AA56" s="180">
        <v>1098054</v>
      </c>
      <c r="AB56" s="180">
        <v>7390070</v>
      </c>
      <c r="AC56" s="180"/>
      <c r="AD56" s="180">
        <v>13489643</v>
      </c>
      <c r="AE56" s="180">
        <v>1143486</v>
      </c>
      <c r="AF56" s="180">
        <v>75956661</v>
      </c>
      <c r="AG56" s="180">
        <v>57246339</v>
      </c>
      <c r="AH56" s="180">
        <v>0</v>
      </c>
      <c r="AI56" s="180">
        <v>27948988</v>
      </c>
      <c r="AJ56" s="180">
        <v>2154340</v>
      </c>
      <c r="AK56" s="180">
        <v>3026671</v>
      </c>
      <c r="AL56" s="180">
        <v>1026049</v>
      </c>
      <c r="AM56" s="180"/>
      <c r="AN56" s="180">
        <v>899479</v>
      </c>
      <c r="AO56" s="180"/>
      <c r="AP56" s="180">
        <v>115720</v>
      </c>
      <c r="AQ56" s="180">
        <v>921685607</v>
      </c>
      <c r="AR56" s="180">
        <v>230061</v>
      </c>
      <c r="AS56" s="180">
        <v>2227502</v>
      </c>
      <c r="AT56" s="180">
        <v>53242880</v>
      </c>
      <c r="AU56" s="180">
        <v>1028644</v>
      </c>
      <c r="AV56" s="180">
        <v>818705</v>
      </c>
      <c r="AW56" s="180">
        <v>86203699</v>
      </c>
      <c r="AX56" s="180">
        <v>267530</v>
      </c>
      <c r="AY56" s="180">
        <v>14753854</v>
      </c>
      <c r="AZ56" s="180">
        <v>21140088</v>
      </c>
      <c r="BA56" s="180">
        <v>329730</v>
      </c>
      <c r="BB56" s="180">
        <v>449900</v>
      </c>
      <c r="BC56" s="180">
        <v>9937859</v>
      </c>
      <c r="BD56" s="180">
        <v>173058</v>
      </c>
      <c r="BE56" s="180">
        <v>28050354</v>
      </c>
      <c r="BF56" s="180">
        <v>5863217</v>
      </c>
      <c r="BG56" s="180">
        <v>974266</v>
      </c>
      <c r="BH56" s="180">
        <v>210767</v>
      </c>
      <c r="BI56" s="180">
        <v>3963852</v>
      </c>
      <c r="BJ56" s="180">
        <v>498484</v>
      </c>
      <c r="BK56" s="180">
        <v>450612</v>
      </c>
      <c r="BL56" s="180">
        <v>2757238</v>
      </c>
      <c r="BM56" s="180">
        <v>2415310</v>
      </c>
      <c r="BN56" s="180">
        <v>23417876</v>
      </c>
      <c r="BO56" s="180">
        <v>20200445</v>
      </c>
      <c r="BP56" s="180">
        <v>1088865441</v>
      </c>
      <c r="BQ56" s="180">
        <v>117615</v>
      </c>
      <c r="BR56" s="180"/>
      <c r="BS56" s="180">
        <v>1060898</v>
      </c>
      <c r="BT56" s="180"/>
      <c r="BU56" s="180">
        <v>3806808</v>
      </c>
      <c r="BV56" s="180">
        <v>1915498</v>
      </c>
      <c r="BW56" s="180">
        <v>48319877</v>
      </c>
      <c r="BX56" s="180">
        <v>10303609</v>
      </c>
      <c r="BY56" s="180"/>
      <c r="BZ56" s="180">
        <v>26354245</v>
      </c>
      <c r="CA56" s="180">
        <v>1167766</v>
      </c>
      <c r="CB56" s="180">
        <v>15897562</v>
      </c>
      <c r="CC56" s="180">
        <v>180291</v>
      </c>
      <c r="CD56" s="180">
        <v>2475516</v>
      </c>
      <c r="CE56" s="180"/>
      <c r="CF56" s="180">
        <v>15544297</v>
      </c>
      <c r="CG56" s="180">
        <v>19754981</v>
      </c>
      <c r="CH56" s="180">
        <v>8134732</v>
      </c>
      <c r="CI56" s="180">
        <v>6818409</v>
      </c>
      <c r="CJ56" s="180"/>
      <c r="CK56" s="180">
        <v>118317</v>
      </c>
      <c r="CL56" s="180"/>
      <c r="CM56" s="180"/>
      <c r="CN56" s="180"/>
      <c r="CO56" s="180"/>
      <c r="CP56" s="180"/>
      <c r="CQ56" s="180"/>
      <c r="CR56" s="180"/>
      <c r="CS56" s="180"/>
      <c r="CT56" s="180"/>
      <c r="CU56" s="180"/>
    </row>
    <row r="57" spans="1:99" x14ac:dyDescent="0.3">
      <c r="A57" s="155">
        <v>335</v>
      </c>
      <c r="B57" s="180" t="s">
        <v>109</v>
      </c>
      <c r="C57" s="180"/>
      <c r="D57" s="180">
        <v>0</v>
      </c>
      <c r="E57" s="180">
        <v>139681</v>
      </c>
      <c r="F57" s="180">
        <v>0</v>
      </c>
      <c r="G57" s="180">
        <v>0</v>
      </c>
      <c r="H57" s="180"/>
      <c r="I57" s="180">
        <v>2834</v>
      </c>
      <c r="J57" s="180">
        <v>0</v>
      </c>
      <c r="K57" s="180">
        <v>0</v>
      </c>
      <c r="L57" s="180">
        <v>0</v>
      </c>
      <c r="M57" s="180">
        <v>4269002</v>
      </c>
      <c r="N57" s="180"/>
      <c r="O57" s="180">
        <v>20976917</v>
      </c>
      <c r="P57" s="180">
        <v>14583</v>
      </c>
      <c r="Q57" s="180">
        <v>0</v>
      </c>
      <c r="R57" s="180">
        <v>0</v>
      </c>
      <c r="S57" s="180">
        <v>300000</v>
      </c>
      <c r="T57" s="180">
        <v>182791</v>
      </c>
      <c r="U57" s="180">
        <v>0</v>
      </c>
      <c r="V57" s="180">
        <v>94395</v>
      </c>
      <c r="W57" s="180">
        <v>0</v>
      </c>
      <c r="X57" s="180">
        <v>0</v>
      </c>
      <c r="Y57" s="180">
        <v>131603000</v>
      </c>
      <c r="Z57" s="180">
        <v>0</v>
      </c>
      <c r="AA57" s="180">
        <v>18484</v>
      </c>
      <c r="AB57" s="180">
        <v>27966</v>
      </c>
      <c r="AC57" s="180"/>
      <c r="AD57" s="180">
        <v>3019</v>
      </c>
      <c r="AE57" s="180">
        <v>0</v>
      </c>
      <c r="AF57" s="180">
        <v>0</v>
      </c>
      <c r="AG57" s="180">
        <v>0</v>
      </c>
      <c r="AH57" s="180">
        <v>0</v>
      </c>
      <c r="AI57" s="180">
        <v>0</v>
      </c>
      <c r="AJ57" s="180">
        <v>0</v>
      </c>
      <c r="AK57" s="180">
        <v>0</v>
      </c>
      <c r="AL57" s="180">
        <v>58796</v>
      </c>
      <c r="AM57" s="180"/>
      <c r="AN57" s="180">
        <v>0</v>
      </c>
      <c r="AO57" s="180"/>
      <c r="AP57" s="180">
        <v>0</v>
      </c>
      <c r="AQ57" s="180">
        <v>15689002</v>
      </c>
      <c r="AR57" s="180">
        <v>0</v>
      </c>
      <c r="AS57" s="180">
        <v>0</v>
      </c>
      <c r="AT57" s="180">
        <v>250000</v>
      </c>
      <c r="AU57" s="180">
        <v>0</v>
      </c>
      <c r="AV57" s="180">
        <v>0</v>
      </c>
      <c r="AW57" s="180">
        <v>207491</v>
      </c>
      <c r="AX57" s="180">
        <v>0</v>
      </c>
      <c r="AY57" s="180">
        <v>0</v>
      </c>
      <c r="AZ57" s="180">
        <v>0</v>
      </c>
      <c r="BA57" s="180">
        <v>0</v>
      </c>
      <c r="BB57" s="180">
        <v>0</v>
      </c>
      <c r="BC57" s="180">
        <v>1094709</v>
      </c>
      <c r="BD57" s="180">
        <v>29161</v>
      </c>
      <c r="BE57" s="180">
        <v>1971220</v>
      </c>
      <c r="BF57" s="180">
        <v>0</v>
      </c>
      <c r="BG57" s="180">
        <v>39518</v>
      </c>
      <c r="BH57" s="180">
        <v>0</v>
      </c>
      <c r="BI57" s="180">
        <v>245238</v>
      </c>
      <c r="BJ57" s="180">
        <v>0</v>
      </c>
      <c r="BK57" s="180">
        <v>131252</v>
      </c>
      <c r="BL57" s="180">
        <v>0</v>
      </c>
      <c r="BM57" s="180">
        <v>0</v>
      </c>
      <c r="BN57" s="180">
        <v>0</v>
      </c>
      <c r="BO57" s="180">
        <v>0</v>
      </c>
      <c r="BP57" s="180">
        <v>44521911</v>
      </c>
      <c r="BQ57" s="180">
        <v>35876</v>
      </c>
      <c r="BR57" s="180"/>
      <c r="BS57" s="180">
        <v>82522</v>
      </c>
      <c r="BT57" s="180"/>
      <c r="BU57" s="180">
        <v>0</v>
      </c>
      <c r="BV57" s="180">
        <v>0</v>
      </c>
      <c r="BW57" s="180">
        <v>0</v>
      </c>
      <c r="BX57" s="180">
        <v>0</v>
      </c>
      <c r="BY57" s="180"/>
      <c r="BZ57" s="180">
        <v>0</v>
      </c>
      <c r="CA57" s="180">
        <v>0</v>
      </c>
      <c r="CB57" s="180">
        <v>0</v>
      </c>
      <c r="CC57" s="180">
        <v>132578</v>
      </c>
      <c r="CD57" s="180">
        <v>10417</v>
      </c>
      <c r="CE57" s="180"/>
      <c r="CF57" s="180">
        <v>0</v>
      </c>
      <c r="CG57" s="180">
        <v>0</v>
      </c>
      <c r="CH57" s="180">
        <v>0</v>
      </c>
      <c r="CI57" s="180">
        <v>0</v>
      </c>
      <c r="CJ57" s="180"/>
      <c r="CK57" s="180">
        <v>0</v>
      </c>
      <c r="CL57" s="180"/>
      <c r="CM57" s="180"/>
      <c r="CN57" s="180"/>
      <c r="CO57" s="180"/>
      <c r="CP57" s="180"/>
      <c r="CQ57" s="180"/>
      <c r="CR57" s="180"/>
      <c r="CS57" s="180"/>
      <c r="CT57" s="180"/>
      <c r="CU57" s="180"/>
    </row>
    <row r="58" spans="1:99" x14ac:dyDescent="0.3">
      <c r="A58" s="558">
        <v>336</v>
      </c>
      <c r="B58" s="559" t="s">
        <v>921</v>
      </c>
      <c r="C58" s="559"/>
      <c r="D58" s="559">
        <v>296092</v>
      </c>
      <c r="E58" s="559">
        <v>210669</v>
      </c>
      <c r="F58" s="559">
        <v>22098</v>
      </c>
      <c r="G58" s="559">
        <v>36223</v>
      </c>
      <c r="H58" s="559"/>
      <c r="I58" s="559">
        <v>287817</v>
      </c>
      <c r="J58" s="559">
        <v>56397</v>
      </c>
      <c r="K58" s="559">
        <v>2269765</v>
      </c>
      <c r="L58" s="559">
        <v>0</v>
      </c>
      <c r="M58" s="559">
        <v>6330524</v>
      </c>
      <c r="N58" s="559"/>
      <c r="O58" s="559">
        <v>77561123</v>
      </c>
      <c r="P58" s="559">
        <v>1014</v>
      </c>
      <c r="Q58" s="559">
        <v>4765</v>
      </c>
      <c r="R58" s="559">
        <v>75011</v>
      </c>
      <c r="S58" s="559">
        <v>324837</v>
      </c>
      <c r="T58" s="559">
        <v>299012</v>
      </c>
      <c r="U58" s="559">
        <v>9107</v>
      </c>
      <c r="V58" s="559">
        <v>98943</v>
      </c>
      <c r="W58" s="559">
        <v>34749</v>
      </c>
      <c r="X58" s="559">
        <v>24253666</v>
      </c>
      <c r="Y58" s="559">
        <v>386817000</v>
      </c>
      <c r="Z58" s="559">
        <v>968355</v>
      </c>
      <c r="AA58" s="559">
        <v>46768</v>
      </c>
      <c r="AB58" s="559">
        <v>500286</v>
      </c>
      <c r="AC58" s="559"/>
      <c r="AD58" s="559">
        <v>463076</v>
      </c>
      <c r="AE58" s="559">
        <v>205634</v>
      </c>
      <c r="AF58" s="559">
        <v>3612903</v>
      </c>
      <c r="AG58" s="559">
        <v>2988143</v>
      </c>
      <c r="AH58" s="559">
        <v>24823</v>
      </c>
      <c r="AI58" s="559">
        <v>964794</v>
      </c>
      <c r="AJ58" s="559">
        <v>94346</v>
      </c>
      <c r="AK58" s="559">
        <v>5068</v>
      </c>
      <c r="AL58" s="559">
        <v>70568</v>
      </c>
      <c r="AM58" s="559"/>
      <c r="AN58" s="559">
        <v>8520</v>
      </c>
      <c r="AO58" s="559"/>
      <c r="AP58" s="559">
        <v>1299</v>
      </c>
      <c r="AQ58" s="559">
        <v>34874789</v>
      </c>
      <c r="AR58" s="559">
        <v>34454</v>
      </c>
      <c r="AS58" s="559">
        <v>238585</v>
      </c>
      <c r="AT58" s="559">
        <v>2045495</v>
      </c>
      <c r="AU58" s="559">
        <v>35530</v>
      </c>
      <c r="AV58" s="559">
        <v>2784</v>
      </c>
      <c r="AW58" s="559">
        <v>11951108</v>
      </c>
      <c r="AX58" s="559">
        <v>7813</v>
      </c>
      <c r="AY58" s="559">
        <v>900401</v>
      </c>
      <c r="AZ58" s="559">
        <v>302471</v>
      </c>
      <c r="BA58" s="559">
        <v>552</v>
      </c>
      <c r="BB58" s="559">
        <v>2458</v>
      </c>
      <c r="BC58" s="559">
        <v>1391659</v>
      </c>
      <c r="BD58" s="559">
        <v>29863</v>
      </c>
      <c r="BE58" s="559">
        <v>4111599</v>
      </c>
      <c r="BF58" s="559">
        <v>27452</v>
      </c>
      <c r="BG58" s="559">
        <v>46289</v>
      </c>
      <c r="BH58" s="559">
        <v>137827</v>
      </c>
      <c r="BI58" s="559">
        <v>384532</v>
      </c>
      <c r="BJ58" s="559">
        <v>36137</v>
      </c>
      <c r="BK58" s="559">
        <v>106626</v>
      </c>
      <c r="BL58" s="559">
        <v>313272</v>
      </c>
      <c r="BM58" s="559">
        <v>87603</v>
      </c>
      <c r="BN58" s="559">
        <v>3797623</v>
      </c>
      <c r="BO58" s="559">
        <v>4257483</v>
      </c>
      <c r="BP58" s="559">
        <v>147478223</v>
      </c>
      <c r="BQ58" s="559">
        <v>691</v>
      </c>
      <c r="BR58" s="559"/>
      <c r="BS58">
        <v>103603</v>
      </c>
      <c r="BU58">
        <v>104178</v>
      </c>
      <c r="BV58">
        <v>85629</v>
      </c>
      <c r="BW58">
        <v>2569511</v>
      </c>
      <c r="BX58">
        <v>1474896</v>
      </c>
      <c r="BZ58">
        <v>1356077</v>
      </c>
      <c r="CA58">
        <v>47655</v>
      </c>
      <c r="CB58">
        <v>311364</v>
      </c>
      <c r="CC58">
        <v>6857</v>
      </c>
      <c r="CD58">
        <v>19374</v>
      </c>
      <c r="CF58">
        <v>2305334</v>
      </c>
      <c r="CG58">
        <v>3037399</v>
      </c>
      <c r="CH58">
        <v>411678</v>
      </c>
      <c r="CI58">
        <v>946131</v>
      </c>
      <c r="CK58">
        <v>647</v>
      </c>
    </row>
    <row r="59" spans="1:99" x14ac:dyDescent="0.3">
      <c r="A59" s="155">
        <v>337</v>
      </c>
      <c r="B59" s="180" t="s">
        <v>245</v>
      </c>
      <c r="C59" s="180"/>
      <c r="D59" s="180">
        <v>0</v>
      </c>
      <c r="E59" s="180">
        <v>1890</v>
      </c>
      <c r="F59" s="180">
        <v>0</v>
      </c>
      <c r="G59" s="180">
        <v>42743</v>
      </c>
      <c r="H59" s="180"/>
      <c r="I59" s="180">
        <v>712666</v>
      </c>
      <c r="J59" s="180">
        <v>95312</v>
      </c>
      <c r="K59" s="180">
        <v>7357876</v>
      </c>
      <c r="L59" s="180">
        <v>0</v>
      </c>
      <c r="M59" s="180">
        <v>17168309</v>
      </c>
      <c r="N59" s="180"/>
      <c r="O59" s="180">
        <v>250791291</v>
      </c>
      <c r="P59" s="180">
        <v>0</v>
      </c>
      <c r="Q59" s="180">
        <v>0</v>
      </c>
      <c r="R59" s="180">
        <v>257083</v>
      </c>
      <c r="S59" s="180">
        <v>0</v>
      </c>
      <c r="T59" s="180">
        <v>412500</v>
      </c>
      <c r="U59" s="180">
        <v>0</v>
      </c>
      <c r="V59" s="180">
        <v>0</v>
      </c>
      <c r="W59" s="180">
        <v>0</v>
      </c>
      <c r="X59" s="180">
        <v>96486121</v>
      </c>
      <c r="Y59" s="180">
        <v>1580194000</v>
      </c>
      <c r="Z59" s="180">
        <v>1347344</v>
      </c>
      <c r="AA59" s="180">
        <v>278600</v>
      </c>
      <c r="AB59" s="180">
        <v>2525998</v>
      </c>
      <c r="AC59" s="180"/>
      <c r="AD59" s="180">
        <v>277538</v>
      </c>
      <c r="AE59" s="180">
        <v>5496</v>
      </c>
      <c r="AF59" s="180">
        <v>22564156</v>
      </c>
      <c r="AG59" s="180">
        <v>0</v>
      </c>
      <c r="AH59" s="180">
        <v>0</v>
      </c>
      <c r="AI59" s="180">
        <v>1805613</v>
      </c>
      <c r="AJ59" s="180">
        <v>0</v>
      </c>
      <c r="AK59" s="180">
        <v>0</v>
      </c>
      <c r="AL59" s="180">
        <v>0</v>
      </c>
      <c r="AM59" s="180"/>
      <c r="AN59" s="180">
        <v>0</v>
      </c>
      <c r="AO59" s="180"/>
      <c r="AP59" s="180">
        <v>0</v>
      </c>
      <c r="AQ59" s="180">
        <v>23083943</v>
      </c>
      <c r="AR59" s="180">
        <v>0</v>
      </c>
      <c r="AS59" s="180">
        <v>0</v>
      </c>
      <c r="AT59" s="180">
        <v>4075089</v>
      </c>
      <c r="AU59" s="180">
        <v>0</v>
      </c>
      <c r="AV59" s="180">
        <v>0</v>
      </c>
      <c r="AW59" s="180">
        <v>24582276</v>
      </c>
      <c r="AX59" s="180">
        <v>0</v>
      </c>
      <c r="AY59" s="180">
        <v>5194008</v>
      </c>
      <c r="AZ59" s="180">
        <v>398000</v>
      </c>
      <c r="BA59" s="180">
        <v>0</v>
      </c>
      <c r="BB59" s="180">
        <v>0</v>
      </c>
      <c r="BC59" s="180">
        <v>1382272</v>
      </c>
      <c r="BD59" s="180">
        <v>0</v>
      </c>
      <c r="BE59" s="180">
        <v>24539712</v>
      </c>
      <c r="BF59" s="180">
        <v>610597</v>
      </c>
      <c r="BG59" s="180">
        <v>0</v>
      </c>
      <c r="BH59" s="180">
        <v>0</v>
      </c>
      <c r="BI59" s="180">
        <v>309997</v>
      </c>
      <c r="BJ59" s="180">
        <v>0</v>
      </c>
      <c r="BK59" s="180">
        <v>0</v>
      </c>
      <c r="BL59" s="180">
        <v>0</v>
      </c>
      <c r="BM59" s="180">
        <v>30000</v>
      </c>
      <c r="BN59" s="180">
        <v>0</v>
      </c>
      <c r="BO59" s="180">
        <v>7174226</v>
      </c>
      <c r="BP59" s="180">
        <v>254452310</v>
      </c>
      <c r="BQ59" s="180">
        <v>0</v>
      </c>
      <c r="BR59" s="180"/>
      <c r="BS59">
        <v>0</v>
      </c>
      <c r="BU59">
        <v>333098</v>
      </c>
      <c r="BV59">
        <v>187898</v>
      </c>
      <c r="BW59">
        <v>3543371</v>
      </c>
      <c r="BX59">
        <v>3975425</v>
      </c>
      <c r="BZ59">
        <v>4852444</v>
      </c>
      <c r="CA59">
        <v>379362</v>
      </c>
      <c r="CB59">
        <v>184594</v>
      </c>
      <c r="CC59">
        <v>0</v>
      </c>
      <c r="CD59">
        <v>382950</v>
      </c>
      <c r="CF59">
        <v>0</v>
      </c>
      <c r="CG59">
        <v>0</v>
      </c>
      <c r="CH59">
        <v>70833</v>
      </c>
      <c r="CI59">
        <v>0</v>
      </c>
      <c r="CK59">
        <v>0</v>
      </c>
    </row>
    <row r="60" spans="1:99" x14ac:dyDescent="0.3">
      <c r="A60" s="562">
        <v>338</v>
      </c>
      <c r="B60" s="563" t="s">
        <v>108</v>
      </c>
      <c r="C60" s="563"/>
      <c r="D60" s="563">
        <v>305323</v>
      </c>
      <c r="E60" s="563">
        <v>661295</v>
      </c>
      <c r="F60" s="563">
        <v>63680</v>
      </c>
      <c r="G60" s="563">
        <v>96204</v>
      </c>
      <c r="H60" s="563"/>
      <c r="I60" s="563">
        <v>14916254</v>
      </c>
      <c r="J60" s="563">
        <v>1427590</v>
      </c>
      <c r="K60" s="563">
        <v>25918098</v>
      </c>
      <c r="L60" s="563">
        <v>1332452</v>
      </c>
      <c r="M60" s="563">
        <v>56643252</v>
      </c>
      <c r="N60" s="563"/>
      <c r="O60" s="563">
        <v>553696196</v>
      </c>
      <c r="P60" s="563">
        <v>15597</v>
      </c>
      <c r="Q60" s="563">
        <v>5455</v>
      </c>
      <c r="R60" s="563">
        <v>1003737</v>
      </c>
      <c r="S60" s="563">
        <v>895709</v>
      </c>
      <c r="T60" s="563">
        <v>718540</v>
      </c>
      <c r="U60" s="563">
        <v>49412</v>
      </c>
      <c r="V60" s="563">
        <v>98943</v>
      </c>
      <c r="W60" s="563">
        <v>855850</v>
      </c>
      <c r="X60" s="563">
        <v>176786619</v>
      </c>
      <c r="Y60" s="563">
        <v>3588035000</v>
      </c>
      <c r="Z60" s="563">
        <v>9165544</v>
      </c>
      <c r="AA60" s="563">
        <v>310654</v>
      </c>
      <c r="AB60" s="563">
        <v>5136749</v>
      </c>
      <c r="AC60" s="563"/>
      <c r="AD60" s="563">
        <v>1656235</v>
      </c>
      <c r="AE60" s="563">
        <v>296868</v>
      </c>
      <c r="AF60" s="563">
        <v>41629180</v>
      </c>
      <c r="AG60" s="563">
        <v>3665922</v>
      </c>
      <c r="AH60" s="563">
        <v>635714</v>
      </c>
      <c r="AI60" s="563">
        <v>8931678</v>
      </c>
      <c r="AJ60" s="563">
        <v>282490</v>
      </c>
      <c r="AK60" s="563">
        <v>899717</v>
      </c>
      <c r="AL60" s="563">
        <v>126865</v>
      </c>
      <c r="AM60" s="563"/>
      <c r="AN60" s="563">
        <v>587611</v>
      </c>
      <c r="AO60" s="563"/>
      <c r="AP60" s="563">
        <v>1299</v>
      </c>
      <c r="AQ60" s="563">
        <v>130183503</v>
      </c>
      <c r="AR60" s="563">
        <v>34454</v>
      </c>
      <c r="AS60" s="563">
        <v>263333</v>
      </c>
      <c r="AT60" s="563">
        <v>9763703</v>
      </c>
      <c r="AU60" s="563">
        <v>313241</v>
      </c>
      <c r="AV60" s="563">
        <v>203073</v>
      </c>
      <c r="AW60" s="563">
        <v>44106139</v>
      </c>
      <c r="AX60" s="563">
        <v>112971</v>
      </c>
      <c r="AY60" s="563">
        <v>8644749</v>
      </c>
      <c r="AZ60" s="563">
        <v>5542268</v>
      </c>
      <c r="BA60" s="563">
        <v>13651</v>
      </c>
      <c r="BB60" s="563">
        <v>2458</v>
      </c>
      <c r="BC60" s="563">
        <v>4234712</v>
      </c>
      <c r="BD60" s="563">
        <v>29863</v>
      </c>
      <c r="BE60" s="563">
        <v>31499661</v>
      </c>
      <c r="BF60" s="563">
        <v>986264</v>
      </c>
      <c r="BG60" s="563">
        <v>46289</v>
      </c>
      <c r="BH60" s="563">
        <v>137989</v>
      </c>
      <c r="BI60" s="563">
        <v>1487412</v>
      </c>
      <c r="BJ60" s="563">
        <v>88109</v>
      </c>
      <c r="BK60" s="563">
        <v>237878</v>
      </c>
      <c r="BL60" s="563">
        <v>940293</v>
      </c>
      <c r="BM60" s="563">
        <v>250345</v>
      </c>
      <c r="BN60" s="563">
        <v>10960308</v>
      </c>
      <c r="BO60" s="563">
        <v>21654682</v>
      </c>
      <c r="BP60" s="563">
        <v>611842645</v>
      </c>
      <c r="BQ60" s="563">
        <v>36567</v>
      </c>
      <c r="BR60" s="563"/>
      <c r="BS60">
        <v>202349</v>
      </c>
      <c r="BU60">
        <v>689581</v>
      </c>
      <c r="BV60">
        <v>1332973</v>
      </c>
      <c r="BW60">
        <v>24711251</v>
      </c>
      <c r="BX60">
        <v>8794156</v>
      </c>
      <c r="BZ60">
        <v>8045405</v>
      </c>
      <c r="CA60">
        <v>564549</v>
      </c>
      <c r="CB60">
        <v>2297082</v>
      </c>
      <c r="CC60">
        <v>146299</v>
      </c>
      <c r="CD60">
        <v>636937</v>
      </c>
      <c r="CF60">
        <v>5454409</v>
      </c>
      <c r="CG60">
        <v>9015884</v>
      </c>
      <c r="CH60">
        <v>1104890</v>
      </c>
      <c r="CI60">
        <v>3164277</v>
      </c>
      <c r="CK60">
        <v>647</v>
      </c>
    </row>
    <row r="61" spans="1:99" x14ac:dyDescent="0.3">
      <c r="A61" s="155">
        <v>339</v>
      </c>
      <c r="B61" s="180" t="s">
        <v>181</v>
      </c>
      <c r="C61" s="180"/>
      <c r="D61" s="180">
        <v>0</v>
      </c>
      <c r="E61" s="180">
        <v>294411</v>
      </c>
      <c r="F61" s="180">
        <v>81666</v>
      </c>
      <c r="G61" s="180">
        <v>25962</v>
      </c>
      <c r="H61" s="180"/>
      <c r="I61" s="180">
        <v>575728</v>
      </c>
      <c r="J61" s="180">
        <v>111316</v>
      </c>
      <c r="K61" s="180">
        <v>7832562</v>
      </c>
      <c r="L61" s="180">
        <v>804223</v>
      </c>
      <c r="M61" s="180">
        <v>1578078</v>
      </c>
      <c r="N61" s="180"/>
      <c r="O61" s="180">
        <v>37033541</v>
      </c>
      <c r="P61" s="180">
        <v>0</v>
      </c>
      <c r="Q61" s="180">
        <v>33975</v>
      </c>
      <c r="R61" s="180">
        <v>7895</v>
      </c>
      <c r="S61" s="180">
        <v>73180</v>
      </c>
      <c r="T61" s="180">
        <v>37368</v>
      </c>
      <c r="U61" s="180">
        <v>0</v>
      </c>
      <c r="V61" s="180">
        <v>60203</v>
      </c>
      <c r="W61" s="180">
        <v>296114</v>
      </c>
      <c r="X61" s="180">
        <v>7596795</v>
      </c>
      <c r="Y61" s="180">
        <v>159237000</v>
      </c>
      <c r="Z61" s="180">
        <v>1226538</v>
      </c>
      <c r="AA61" s="180">
        <v>156400</v>
      </c>
      <c r="AB61" s="180">
        <v>152676</v>
      </c>
      <c r="AC61" s="180"/>
      <c r="AD61" s="180">
        <v>54021</v>
      </c>
      <c r="AE61" s="180">
        <v>101609</v>
      </c>
      <c r="AF61" s="180">
        <v>5924277</v>
      </c>
      <c r="AG61" s="180">
        <v>73706</v>
      </c>
      <c r="AH61" s="180">
        <v>4329</v>
      </c>
      <c r="AI61" s="180">
        <v>1555051</v>
      </c>
      <c r="AJ61" s="180">
        <v>4050</v>
      </c>
      <c r="AK61" s="180">
        <v>254105</v>
      </c>
      <c r="AL61" s="180">
        <v>35056</v>
      </c>
      <c r="AM61" s="180"/>
      <c r="AN61" s="180">
        <v>13863</v>
      </c>
      <c r="AO61" s="180"/>
      <c r="AP61" s="180">
        <v>0</v>
      </c>
      <c r="AQ61" s="180">
        <v>9564197</v>
      </c>
      <c r="AR61" s="180">
        <v>0</v>
      </c>
      <c r="AS61" s="180">
        <v>200</v>
      </c>
      <c r="AT61" s="180">
        <v>814170</v>
      </c>
      <c r="AU61" s="180">
        <v>14009</v>
      </c>
      <c r="AV61" s="180">
        <v>68140</v>
      </c>
      <c r="AW61" s="180">
        <v>800611</v>
      </c>
      <c r="AX61" s="180">
        <v>275</v>
      </c>
      <c r="AY61" s="180">
        <v>949893</v>
      </c>
      <c r="AZ61" s="180">
        <v>477733</v>
      </c>
      <c r="BA61" s="180">
        <v>0</v>
      </c>
      <c r="BB61" s="180">
        <v>0</v>
      </c>
      <c r="BC61" s="180">
        <v>712691</v>
      </c>
      <c r="BD61" s="180">
        <v>380</v>
      </c>
      <c r="BE61" s="180">
        <v>221315</v>
      </c>
      <c r="BF61" s="180">
        <v>141934</v>
      </c>
      <c r="BG61" s="180">
        <v>9125</v>
      </c>
      <c r="BH61" s="180">
        <v>31529</v>
      </c>
      <c r="BI61" s="180">
        <v>96203</v>
      </c>
      <c r="BJ61" s="180">
        <v>320</v>
      </c>
      <c r="BK61" s="180">
        <v>42420</v>
      </c>
      <c r="BL61" s="180">
        <v>80372</v>
      </c>
      <c r="BM61" s="180">
        <v>380011</v>
      </c>
      <c r="BN61" s="180">
        <v>201810</v>
      </c>
      <c r="BO61" s="180">
        <v>1759948</v>
      </c>
      <c r="BP61" s="180">
        <v>30896118</v>
      </c>
      <c r="BQ61" s="180">
        <v>0</v>
      </c>
      <c r="BR61" s="180"/>
      <c r="BS61" s="180">
        <v>100</v>
      </c>
      <c r="BT61" s="180"/>
      <c r="BU61" s="180">
        <v>124745</v>
      </c>
      <c r="BV61" s="180">
        <v>0</v>
      </c>
      <c r="BW61" s="180">
        <v>2598948</v>
      </c>
      <c r="BX61" s="180">
        <v>1220655</v>
      </c>
      <c r="BY61" s="180"/>
      <c r="BZ61" s="180">
        <v>1460057</v>
      </c>
      <c r="CA61" s="180">
        <v>0</v>
      </c>
      <c r="CB61" s="180">
        <v>681015</v>
      </c>
      <c r="CC61" s="180">
        <v>41400</v>
      </c>
      <c r="CD61" s="180">
        <v>202429</v>
      </c>
      <c r="CE61" s="180"/>
      <c r="CF61" s="180">
        <v>712546</v>
      </c>
      <c r="CG61" s="180">
        <v>3103846</v>
      </c>
      <c r="CH61" s="180">
        <v>227013</v>
      </c>
      <c r="CI61" s="180">
        <v>679806</v>
      </c>
      <c r="CJ61" s="180"/>
      <c r="CK61" s="180">
        <v>0</v>
      </c>
      <c r="CL61" s="180"/>
      <c r="CM61" s="180"/>
      <c r="CN61" s="180"/>
      <c r="CO61" s="180"/>
      <c r="CP61" s="180"/>
      <c r="CQ61" s="180"/>
      <c r="CR61" s="180"/>
      <c r="CS61" s="180"/>
      <c r="CT61" s="180"/>
      <c r="CU61" s="180"/>
    </row>
    <row r="62" spans="1:99" x14ac:dyDescent="0.3">
      <c r="A62" s="155">
        <v>341</v>
      </c>
      <c r="B62" s="180" t="s">
        <v>922</v>
      </c>
      <c r="C62" s="180"/>
      <c r="D62" s="180">
        <v>923619</v>
      </c>
      <c r="E62" s="180">
        <v>1367770</v>
      </c>
      <c r="F62" s="180">
        <v>312077</v>
      </c>
      <c r="G62" s="180">
        <v>249574</v>
      </c>
      <c r="H62" s="180"/>
      <c r="I62" s="180">
        <v>6365490</v>
      </c>
      <c r="J62" s="180">
        <v>1767707</v>
      </c>
      <c r="K62" s="180">
        <v>12899204</v>
      </c>
      <c r="L62" s="180">
        <v>2626581</v>
      </c>
      <c r="M62" s="180">
        <v>25996522</v>
      </c>
      <c r="N62" s="180"/>
      <c r="O62" s="180">
        <v>177769482</v>
      </c>
      <c r="P62" s="180">
        <v>30808</v>
      </c>
      <c r="Q62" s="180">
        <v>164017</v>
      </c>
      <c r="R62" s="180">
        <v>1847700</v>
      </c>
      <c r="S62" s="180">
        <v>871737</v>
      </c>
      <c r="T62" s="180">
        <v>1272718</v>
      </c>
      <c r="U62" s="180">
        <v>221006</v>
      </c>
      <c r="V62" s="180">
        <v>221170</v>
      </c>
      <c r="W62" s="180">
        <v>1260202</v>
      </c>
      <c r="X62" s="180">
        <v>72222132</v>
      </c>
      <c r="Y62" s="180">
        <v>915319000</v>
      </c>
      <c r="Z62" s="180">
        <v>4425074</v>
      </c>
      <c r="AA62" s="180">
        <v>431574</v>
      </c>
      <c r="AB62" s="180">
        <v>3753740</v>
      </c>
      <c r="AC62" s="180"/>
      <c r="AD62" s="180">
        <v>3814701</v>
      </c>
      <c r="AE62" s="180">
        <v>736868</v>
      </c>
      <c r="AF62" s="180">
        <v>27492542</v>
      </c>
      <c r="AG62" s="180">
        <v>7493548</v>
      </c>
      <c r="AH62" s="180">
        <v>1212211</v>
      </c>
      <c r="AI62" s="180">
        <v>8972372</v>
      </c>
      <c r="AJ62" s="180">
        <v>1132854</v>
      </c>
      <c r="AK62" s="180">
        <v>1419538</v>
      </c>
      <c r="AL62" s="180">
        <v>284676</v>
      </c>
      <c r="AM62" s="180"/>
      <c r="AN62" s="180">
        <v>526355</v>
      </c>
      <c r="AO62" s="180"/>
      <c r="AP62" s="180">
        <v>32299</v>
      </c>
      <c r="AQ62" s="180">
        <v>99481229</v>
      </c>
      <c r="AR62" s="180">
        <v>107603</v>
      </c>
      <c r="AS62" s="180">
        <v>673156</v>
      </c>
      <c r="AT62" s="180">
        <v>10972083</v>
      </c>
      <c r="AU62" s="180">
        <v>708828</v>
      </c>
      <c r="AV62" s="180">
        <v>485066</v>
      </c>
      <c r="AW62" s="180">
        <v>26921809</v>
      </c>
      <c r="AX62" s="180">
        <v>113111</v>
      </c>
      <c r="AY62" s="180">
        <v>5636775</v>
      </c>
      <c r="AZ62" s="180">
        <v>4088264</v>
      </c>
      <c r="BA62" s="180">
        <v>173772</v>
      </c>
      <c r="BB62" s="180">
        <v>165660</v>
      </c>
      <c r="BC62" s="180">
        <v>2640694</v>
      </c>
      <c r="BD62" s="180">
        <v>72814</v>
      </c>
      <c r="BE62" s="180">
        <v>14602968</v>
      </c>
      <c r="BF62" s="180">
        <v>1523840</v>
      </c>
      <c r="BG62" s="180">
        <v>235776</v>
      </c>
      <c r="BH62" s="180">
        <v>243441</v>
      </c>
      <c r="BI62" s="180">
        <v>1954914</v>
      </c>
      <c r="BJ62" s="180">
        <v>396521</v>
      </c>
      <c r="BK62" s="180">
        <v>131135</v>
      </c>
      <c r="BL62" s="180">
        <v>1208998</v>
      </c>
      <c r="BM62" s="180">
        <v>186499</v>
      </c>
      <c r="BN62" s="180">
        <v>10566144</v>
      </c>
      <c r="BO62" s="180">
        <v>9353350</v>
      </c>
      <c r="BP62" s="180">
        <v>284383199</v>
      </c>
      <c r="BQ62" s="180">
        <v>42423</v>
      </c>
      <c r="BR62" s="180"/>
      <c r="BS62">
        <v>843280</v>
      </c>
      <c r="BT62" s="180"/>
      <c r="BU62" s="180">
        <v>2048768</v>
      </c>
      <c r="BV62" s="180">
        <v>1913078</v>
      </c>
      <c r="BW62" s="180">
        <v>13399956</v>
      </c>
      <c r="BX62" s="180">
        <v>3944927</v>
      </c>
      <c r="BY62" s="180"/>
      <c r="BZ62" s="180">
        <v>3156392</v>
      </c>
      <c r="CA62" s="180">
        <v>407686</v>
      </c>
      <c r="CB62" s="180">
        <v>5360083</v>
      </c>
      <c r="CC62" s="180">
        <v>147982</v>
      </c>
      <c r="CD62" s="180">
        <v>450932</v>
      </c>
      <c r="CE62" s="180"/>
      <c r="CF62" s="180">
        <v>7578268</v>
      </c>
      <c r="CG62" s="180">
        <v>8852545</v>
      </c>
      <c r="CH62" s="180">
        <v>1345464</v>
      </c>
      <c r="CI62" s="180">
        <v>2881052</v>
      </c>
      <c r="CJ62" s="180"/>
      <c r="CK62" s="180">
        <v>71580</v>
      </c>
      <c r="CL62" s="180"/>
      <c r="CM62" s="180"/>
      <c r="CN62" s="180"/>
      <c r="CO62" s="180"/>
      <c r="CP62" s="180"/>
      <c r="CQ62" s="180"/>
      <c r="CR62" s="180"/>
      <c r="CS62" s="180"/>
      <c r="CT62" s="180"/>
      <c r="CU62" s="180"/>
    </row>
    <row r="63" spans="1:99" x14ac:dyDescent="0.3">
      <c r="A63" s="155">
        <v>343</v>
      </c>
      <c r="B63" s="180" t="s">
        <v>246</v>
      </c>
      <c r="C63" s="180"/>
      <c r="D63" s="180">
        <v>0</v>
      </c>
      <c r="E63" s="180">
        <v>2012</v>
      </c>
      <c r="F63" s="180">
        <v>0</v>
      </c>
      <c r="G63" s="180">
        <v>16083</v>
      </c>
      <c r="H63" s="180"/>
      <c r="I63" s="180">
        <v>222732</v>
      </c>
      <c r="J63" s="180">
        <v>22802</v>
      </c>
      <c r="K63" s="180">
        <v>712403</v>
      </c>
      <c r="L63" s="180">
        <v>0</v>
      </c>
      <c r="M63" s="180">
        <v>780098</v>
      </c>
      <c r="N63" s="180"/>
      <c r="O63" s="180">
        <v>17057280</v>
      </c>
      <c r="P63" s="180">
        <v>0</v>
      </c>
      <c r="Q63" s="180">
        <v>0</v>
      </c>
      <c r="R63" s="180">
        <v>79116</v>
      </c>
      <c r="S63" s="180">
        <v>0</v>
      </c>
      <c r="T63" s="180">
        <v>1112500</v>
      </c>
      <c r="U63" s="180">
        <v>0</v>
      </c>
      <c r="V63" s="180">
        <v>0</v>
      </c>
      <c r="W63" s="180">
        <v>0</v>
      </c>
      <c r="X63" s="180">
        <v>5615985</v>
      </c>
      <c r="Y63" s="180">
        <v>252310000</v>
      </c>
      <c r="Z63" s="180">
        <v>95521</v>
      </c>
      <c r="AA63" s="180">
        <v>24469</v>
      </c>
      <c r="AB63" s="180">
        <v>393183</v>
      </c>
      <c r="AC63" s="180"/>
      <c r="AD63" s="180">
        <v>124605</v>
      </c>
      <c r="AE63" s="180">
        <v>13934</v>
      </c>
      <c r="AF63" s="180">
        <v>3379394</v>
      </c>
      <c r="AG63" s="180">
        <v>0</v>
      </c>
      <c r="AH63" s="180">
        <v>0</v>
      </c>
      <c r="AI63" s="180">
        <v>429347</v>
      </c>
      <c r="AJ63" s="180">
        <v>0</v>
      </c>
      <c r="AK63" s="180">
        <v>0</v>
      </c>
      <c r="AL63" s="180">
        <v>0</v>
      </c>
      <c r="AM63" s="180"/>
      <c r="AN63" s="180">
        <v>0</v>
      </c>
      <c r="AO63" s="180"/>
      <c r="AP63" s="180">
        <v>0</v>
      </c>
      <c r="AQ63" s="180">
        <v>2386782</v>
      </c>
      <c r="AR63" s="180">
        <v>0</v>
      </c>
      <c r="AS63" s="180">
        <v>0</v>
      </c>
      <c r="AT63" s="180">
        <v>487513</v>
      </c>
      <c r="AU63" s="180">
        <v>0</v>
      </c>
      <c r="AV63" s="180">
        <v>0</v>
      </c>
      <c r="AW63" s="180">
        <v>2141524</v>
      </c>
      <c r="AX63" s="180">
        <v>0</v>
      </c>
      <c r="AY63" s="180">
        <v>211031</v>
      </c>
      <c r="AZ63" s="180">
        <v>49750</v>
      </c>
      <c r="BA63" s="180">
        <v>0</v>
      </c>
      <c r="BB63" s="180">
        <v>0</v>
      </c>
      <c r="BC63" s="180">
        <v>186795</v>
      </c>
      <c r="BD63" s="180">
        <v>0</v>
      </c>
      <c r="BE63" s="180">
        <v>1595526</v>
      </c>
      <c r="BF63" s="180">
        <v>115169</v>
      </c>
      <c r="BG63" s="180">
        <v>0</v>
      </c>
      <c r="BH63" s="180">
        <v>0</v>
      </c>
      <c r="BI63" s="180">
        <v>58438</v>
      </c>
      <c r="BJ63" s="180">
        <v>0</v>
      </c>
      <c r="BK63" s="180">
        <v>0</v>
      </c>
      <c r="BL63" s="180">
        <v>29271</v>
      </c>
      <c r="BM63" s="180">
        <v>30000</v>
      </c>
      <c r="BN63" s="180">
        <v>0</v>
      </c>
      <c r="BO63" s="180">
        <v>2933886</v>
      </c>
      <c r="BP63" s="180">
        <v>25061204</v>
      </c>
      <c r="BQ63" s="180">
        <v>0</v>
      </c>
      <c r="BR63" s="180"/>
      <c r="BS63" s="180">
        <v>0</v>
      </c>
      <c r="BT63" s="180"/>
      <c r="BU63" s="180">
        <v>24875</v>
      </c>
      <c r="BV63" s="180">
        <v>0</v>
      </c>
      <c r="BW63" s="180">
        <v>2494331</v>
      </c>
      <c r="BX63" s="180">
        <v>361703</v>
      </c>
      <c r="BY63" s="180"/>
      <c r="BZ63" s="180">
        <v>236950</v>
      </c>
      <c r="CA63" s="180">
        <v>7202</v>
      </c>
      <c r="CB63" s="180">
        <v>139488</v>
      </c>
      <c r="CC63" s="180">
        <v>0</v>
      </c>
      <c r="CD63" s="180">
        <v>62100</v>
      </c>
      <c r="CE63" s="180"/>
      <c r="CF63" s="180">
        <v>687677</v>
      </c>
      <c r="CG63" s="180">
        <v>0</v>
      </c>
      <c r="CH63" s="180">
        <v>56666</v>
      </c>
      <c r="CI63" s="180">
        <v>0</v>
      </c>
      <c r="CJ63" s="180"/>
      <c r="CK63" s="180">
        <v>0</v>
      </c>
      <c r="CL63" s="180"/>
      <c r="CM63" s="180"/>
      <c r="CN63" s="180"/>
      <c r="CO63" s="180"/>
      <c r="CP63" s="180"/>
      <c r="CQ63" s="180"/>
      <c r="CR63" s="180"/>
      <c r="CS63" s="180"/>
      <c r="CT63" s="180"/>
      <c r="CU63" s="180"/>
    </row>
    <row r="64" spans="1:99" x14ac:dyDescent="0.3">
      <c r="A64" s="155">
        <v>344</v>
      </c>
      <c r="B64" s="180" t="s">
        <v>179</v>
      </c>
      <c r="C64" s="180"/>
      <c r="D64" s="180">
        <v>0</v>
      </c>
      <c r="E64" s="180">
        <v>75</v>
      </c>
      <c r="F64" s="180">
        <v>0</v>
      </c>
      <c r="G64" s="180">
        <v>175</v>
      </c>
      <c r="H64" s="180"/>
      <c r="I64" s="180">
        <v>31440</v>
      </c>
      <c r="J64" s="180">
        <v>5446</v>
      </c>
      <c r="K64" s="180">
        <v>103221</v>
      </c>
      <c r="L64" s="180">
        <v>0</v>
      </c>
      <c r="M64" s="180">
        <v>101595</v>
      </c>
      <c r="N64" s="180"/>
      <c r="O64" s="180">
        <v>5725957</v>
      </c>
      <c r="P64" s="180">
        <v>0</v>
      </c>
      <c r="Q64" s="180">
        <v>0</v>
      </c>
      <c r="R64" s="180">
        <v>0</v>
      </c>
      <c r="S64" s="180">
        <v>0</v>
      </c>
      <c r="T64" s="180">
        <v>27573</v>
      </c>
      <c r="U64" s="180">
        <v>0</v>
      </c>
      <c r="V64" s="180">
        <v>0</v>
      </c>
      <c r="W64" s="180">
        <v>0</v>
      </c>
      <c r="X64" s="180">
        <v>2447780</v>
      </c>
      <c r="Y64" s="180">
        <v>43466000</v>
      </c>
      <c r="Z64" s="180">
        <v>0</v>
      </c>
      <c r="AA64" s="180">
        <v>11531</v>
      </c>
      <c r="AB64" s="180">
        <v>87462</v>
      </c>
      <c r="AC64" s="180"/>
      <c r="AD64" s="180">
        <v>10216</v>
      </c>
      <c r="AE64" s="180">
        <v>53</v>
      </c>
      <c r="AF64" s="180">
        <v>280480</v>
      </c>
      <c r="AG64" s="180">
        <v>0</v>
      </c>
      <c r="AH64" s="180">
        <v>0</v>
      </c>
      <c r="AI64" s="180">
        <v>54622</v>
      </c>
      <c r="AJ64" s="180">
        <v>0</v>
      </c>
      <c r="AK64" s="180">
        <v>0</v>
      </c>
      <c r="AL64" s="180">
        <v>0</v>
      </c>
      <c r="AM64" s="180"/>
      <c r="AN64" s="180">
        <v>0</v>
      </c>
      <c r="AO64" s="180"/>
      <c r="AP64" s="180">
        <v>0</v>
      </c>
      <c r="AQ64" s="180">
        <v>678918</v>
      </c>
      <c r="AR64" s="180">
        <v>0</v>
      </c>
      <c r="AS64" s="180">
        <v>0</v>
      </c>
      <c r="AT64" s="180">
        <v>96411</v>
      </c>
      <c r="AU64" s="180">
        <v>0</v>
      </c>
      <c r="AV64" s="180">
        <v>0</v>
      </c>
      <c r="AW64" s="180">
        <v>475951</v>
      </c>
      <c r="AX64" s="180">
        <v>0</v>
      </c>
      <c r="AY64" s="180">
        <v>87717</v>
      </c>
      <c r="AZ64" s="180">
        <v>0</v>
      </c>
      <c r="BA64" s="180">
        <v>0</v>
      </c>
      <c r="BB64" s="180">
        <v>0</v>
      </c>
      <c r="BC64" s="180">
        <v>57601</v>
      </c>
      <c r="BD64" s="180">
        <v>0</v>
      </c>
      <c r="BE64" s="180">
        <v>729842</v>
      </c>
      <c r="BF64" s="180">
        <v>0</v>
      </c>
      <c r="BG64" s="180">
        <v>0</v>
      </c>
      <c r="BH64" s="180">
        <v>13</v>
      </c>
      <c r="BI64" s="180">
        <v>8508</v>
      </c>
      <c r="BJ64" s="180">
        <v>0</v>
      </c>
      <c r="BK64" s="180">
        <v>0</v>
      </c>
      <c r="BL64" s="180">
        <v>776</v>
      </c>
      <c r="BM64" s="180">
        <v>0</v>
      </c>
      <c r="BN64" s="180">
        <v>76625</v>
      </c>
      <c r="BO64" s="180">
        <v>0</v>
      </c>
      <c r="BP64" s="180">
        <v>5627836</v>
      </c>
      <c r="BQ64" s="180">
        <v>0</v>
      </c>
      <c r="BR64" s="180"/>
      <c r="BS64" s="180">
        <v>0</v>
      </c>
      <c r="BT64" s="180"/>
      <c r="BU64" s="180">
        <v>11634</v>
      </c>
      <c r="BV64" s="180">
        <v>4669</v>
      </c>
      <c r="BW64" s="180">
        <v>177595</v>
      </c>
      <c r="BX64" s="180">
        <v>59362</v>
      </c>
      <c r="BY64" s="180"/>
      <c r="BZ64" s="180">
        <v>68592</v>
      </c>
      <c r="CA64" s="180">
        <v>11963</v>
      </c>
      <c r="CB64" s="180">
        <v>3365</v>
      </c>
      <c r="CC64" s="180">
        <v>0</v>
      </c>
      <c r="CD64" s="180">
        <v>0</v>
      </c>
      <c r="CE64" s="180"/>
      <c r="CF64" s="180">
        <v>9458</v>
      </c>
      <c r="CG64" s="180">
        <v>70854</v>
      </c>
      <c r="CH64" s="180">
        <v>4359</v>
      </c>
      <c r="CI64" s="180">
        <v>0</v>
      </c>
      <c r="CJ64" s="180"/>
      <c r="CK64" s="180">
        <v>0</v>
      </c>
      <c r="CL64" s="180"/>
      <c r="CM64" s="180"/>
      <c r="CN64" s="180"/>
      <c r="CO64" s="180"/>
      <c r="CP64" s="180"/>
      <c r="CQ64" s="180"/>
      <c r="CR64" s="180"/>
      <c r="CS64" s="180"/>
      <c r="CT64" s="180"/>
      <c r="CU64" s="180"/>
    </row>
    <row r="65" spans="1:99" x14ac:dyDescent="0.3">
      <c r="A65" s="155">
        <v>349</v>
      </c>
      <c r="B65" s="180" t="s">
        <v>114</v>
      </c>
      <c r="C65" s="180"/>
      <c r="D65" s="180">
        <v>3003</v>
      </c>
      <c r="E65" s="180">
        <v>0</v>
      </c>
      <c r="F65" s="180">
        <v>63571</v>
      </c>
      <c r="G65" s="180">
        <v>218160</v>
      </c>
      <c r="H65" s="180"/>
      <c r="I65" s="180">
        <v>5696898</v>
      </c>
      <c r="J65" s="180">
        <v>0</v>
      </c>
      <c r="K65" s="180">
        <v>31844773</v>
      </c>
      <c r="L65" s="180">
        <v>0</v>
      </c>
      <c r="M65" s="180">
        <v>0</v>
      </c>
      <c r="N65" s="180"/>
      <c r="O65" s="180">
        <v>317248896</v>
      </c>
      <c r="P65" s="180">
        <v>0</v>
      </c>
      <c r="Q65" s="180">
        <v>0</v>
      </c>
      <c r="R65" s="180">
        <v>0</v>
      </c>
      <c r="S65" s="180">
        <v>0</v>
      </c>
      <c r="T65" s="180">
        <v>0</v>
      </c>
      <c r="U65" s="180">
        <v>0</v>
      </c>
      <c r="V65" s="180">
        <v>9724</v>
      </c>
      <c r="W65" s="180">
        <v>3322374</v>
      </c>
      <c r="X65" s="180">
        <v>0</v>
      </c>
      <c r="Y65" s="180">
        <v>2042243000</v>
      </c>
      <c r="Z65" s="180">
        <v>8721734</v>
      </c>
      <c r="AA65" s="180">
        <v>5301</v>
      </c>
      <c r="AB65" s="180">
        <v>0</v>
      </c>
      <c r="AC65" s="180"/>
      <c r="AD65" s="180">
        <v>1417965</v>
      </c>
      <c r="AE65" s="180">
        <v>502228</v>
      </c>
      <c r="AF65" s="180">
        <v>45564582</v>
      </c>
      <c r="AG65" s="180">
        <v>0</v>
      </c>
      <c r="AH65" s="180">
        <v>12550</v>
      </c>
      <c r="AI65" s="180">
        <v>9393966</v>
      </c>
      <c r="AJ65" s="180">
        <v>804045</v>
      </c>
      <c r="AK65" s="180">
        <v>192507</v>
      </c>
      <c r="AL65" s="180">
        <v>657443</v>
      </c>
      <c r="AM65" s="180"/>
      <c r="AN65" s="180">
        <v>2582845</v>
      </c>
      <c r="AO65" s="180"/>
      <c r="AP65" s="180">
        <v>0</v>
      </c>
      <c r="AQ65" s="180">
        <v>30937468</v>
      </c>
      <c r="AR65" s="180">
        <v>0</v>
      </c>
      <c r="AS65" s="180">
        <v>0</v>
      </c>
      <c r="AT65" s="180">
        <v>3610758</v>
      </c>
      <c r="AU65" s="180">
        <v>516171</v>
      </c>
      <c r="AV65" s="180">
        <v>0</v>
      </c>
      <c r="AW65" s="180">
        <v>0</v>
      </c>
      <c r="AX65" s="180">
        <v>190099</v>
      </c>
      <c r="AY65" s="180">
        <v>0</v>
      </c>
      <c r="AZ65" s="180">
        <v>0</v>
      </c>
      <c r="BA65" s="180">
        <v>284110</v>
      </c>
      <c r="BB65" s="180">
        <v>4750</v>
      </c>
      <c r="BC65" s="180">
        <v>3080995</v>
      </c>
      <c r="BD65" s="180">
        <v>0</v>
      </c>
      <c r="BE65" s="180">
        <v>0</v>
      </c>
      <c r="BF65" s="180">
        <v>2635046</v>
      </c>
      <c r="BG65" s="180">
        <v>0</v>
      </c>
      <c r="BH65" s="180">
        <v>0</v>
      </c>
      <c r="BI65" s="180">
        <v>3255023</v>
      </c>
      <c r="BJ65" s="180">
        <v>0</v>
      </c>
      <c r="BK65" s="180">
        <v>360790</v>
      </c>
      <c r="BL65" s="180">
        <v>2541227</v>
      </c>
      <c r="BM65" s="180">
        <v>263816</v>
      </c>
      <c r="BN65" s="180">
        <v>0</v>
      </c>
      <c r="BO65" s="180">
        <v>13142775</v>
      </c>
      <c r="BP65" s="180">
        <v>393936480</v>
      </c>
      <c r="BQ65" s="180">
        <v>0</v>
      </c>
      <c r="BR65" s="180"/>
      <c r="BS65" s="180">
        <v>71248</v>
      </c>
      <c r="BT65" s="180"/>
      <c r="BU65" s="180">
        <v>2290667</v>
      </c>
      <c r="BV65" s="180">
        <v>0</v>
      </c>
      <c r="BW65" s="180">
        <v>21238768</v>
      </c>
      <c r="BX65" s="180">
        <v>5468048</v>
      </c>
      <c r="BY65" s="180"/>
      <c r="BZ65" s="180">
        <v>1234776</v>
      </c>
      <c r="CA65" s="180">
        <v>647615</v>
      </c>
      <c r="CB65" s="180">
        <v>2217712</v>
      </c>
      <c r="CC65" s="180">
        <v>70067</v>
      </c>
      <c r="CD65" s="180">
        <v>1957195</v>
      </c>
      <c r="CE65" s="180"/>
      <c r="CF65" s="180">
        <v>2666857</v>
      </c>
      <c r="CG65" s="180">
        <v>0</v>
      </c>
      <c r="CH65" s="180">
        <v>1900228</v>
      </c>
      <c r="CI65" s="180">
        <v>0</v>
      </c>
      <c r="CJ65" s="180"/>
      <c r="CK65" s="180">
        <v>20129</v>
      </c>
      <c r="CL65" s="180"/>
      <c r="CM65" s="180"/>
      <c r="CN65" s="180"/>
      <c r="CO65" s="180"/>
      <c r="CP65" s="180"/>
      <c r="CQ65" s="180"/>
      <c r="CR65" s="180"/>
      <c r="CS65" s="180"/>
      <c r="CT65" s="180"/>
      <c r="CU65" s="180"/>
    </row>
    <row r="66" spans="1:99" x14ac:dyDescent="0.3">
      <c r="A66" s="155">
        <v>350</v>
      </c>
      <c r="B66" s="180" t="s">
        <v>923</v>
      </c>
      <c r="C66" s="180"/>
      <c r="D66" s="180">
        <v>0</v>
      </c>
      <c r="E66" s="180">
        <v>0</v>
      </c>
      <c r="F66" s="180">
        <v>65</v>
      </c>
      <c r="G66" s="180">
        <v>14565</v>
      </c>
      <c r="H66" s="180"/>
      <c r="I66" s="180">
        <v>8337</v>
      </c>
      <c r="J66" s="180">
        <v>0</v>
      </c>
      <c r="K66" s="180">
        <v>328947</v>
      </c>
      <c r="L66" s="180">
        <v>0</v>
      </c>
      <c r="M66" s="180">
        <v>0</v>
      </c>
      <c r="N66" s="180"/>
      <c r="O66" s="180">
        <v>10382612</v>
      </c>
      <c r="P66" s="180">
        <v>0</v>
      </c>
      <c r="Q66" s="180">
        <v>0</v>
      </c>
      <c r="R66" s="180">
        <v>0</v>
      </c>
      <c r="S66" s="180">
        <v>0</v>
      </c>
      <c r="T66" s="180">
        <v>0</v>
      </c>
      <c r="U66" s="180">
        <v>0</v>
      </c>
      <c r="V66" s="180">
        <v>1</v>
      </c>
      <c r="W66" s="180">
        <v>4693</v>
      </c>
      <c r="X66" s="180">
        <v>0</v>
      </c>
      <c r="Y66" s="180">
        <v>3413000</v>
      </c>
      <c r="Z66" s="180">
        <v>177129</v>
      </c>
      <c r="AA66" s="180">
        <v>326</v>
      </c>
      <c r="AB66" s="180">
        <v>0</v>
      </c>
      <c r="AC66" s="180"/>
      <c r="AD66" s="180">
        <v>96422</v>
      </c>
      <c r="AE66" s="180">
        <v>1545</v>
      </c>
      <c r="AF66" s="180">
        <v>4356943</v>
      </c>
      <c r="AG66" s="180">
        <v>0</v>
      </c>
      <c r="AH66" s="180">
        <v>5897</v>
      </c>
      <c r="AI66" s="180">
        <v>7534</v>
      </c>
      <c r="AJ66" s="180">
        <v>392</v>
      </c>
      <c r="AK66" s="180">
        <v>657</v>
      </c>
      <c r="AL66" s="180">
        <v>0</v>
      </c>
      <c r="AM66" s="180"/>
      <c r="AN66" s="180">
        <v>125995</v>
      </c>
      <c r="AO66" s="180"/>
      <c r="AP66" s="180">
        <v>0</v>
      </c>
      <c r="AQ66" s="180">
        <v>28902</v>
      </c>
      <c r="AR66" s="180">
        <v>0</v>
      </c>
      <c r="AS66" s="180">
        <v>0</v>
      </c>
      <c r="AT66" s="180">
        <v>10137</v>
      </c>
      <c r="AU66" s="180">
        <v>116459</v>
      </c>
      <c r="AV66" s="180">
        <v>0</v>
      </c>
      <c r="AW66" s="180">
        <v>0</v>
      </c>
      <c r="AX66" s="180">
        <v>11</v>
      </c>
      <c r="AY66" s="180">
        <v>0</v>
      </c>
      <c r="AZ66" s="180">
        <v>0</v>
      </c>
      <c r="BA66" s="180">
        <v>34</v>
      </c>
      <c r="BB66" s="180">
        <v>0</v>
      </c>
      <c r="BC66" s="180">
        <v>398851</v>
      </c>
      <c r="BD66" s="180">
        <v>0</v>
      </c>
      <c r="BE66" s="180">
        <v>0</v>
      </c>
      <c r="BF66" s="180">
        <v>49386</v>
      </c>
      <c r="BG66" s="180">
        <v>0</v>
      </c>
      <c r="BH66" s="180">
        <v>0</v>
      </c>
      <c r="BI66" s="180">
        <v>59105</v>
      </c>
      <c r="BJ66" s="180">
        <v>0</v>
      </c>
      <c r="BK66" s="180">
        <v>0</v>
      </c>
      <c r="BL66" s="180">
        <v>26750</v>
      </c>
      <c r="BM66" s="180">
        <v>596</v>
      </c>
      <c r="BN66" s="180">
        <v>0</v>
      </c>
      <c r="BO66" s="180">
        <v>509627</v>
      </c>
      <c r="BP66" s="180">
        <v>9190892</v>
      </c>
      <c r="BQ66" s="180">
        <v>0</v>
      </c>
      <c r="BR66" s="180"/>
      <c r="BS66" s="180">
        <v>76</v>
      </c>
      <c r="BT66" s="180"/>
      <c r="BU66" s="180">
        <v>173</v>
      </c>
      <c r="BV66" s="180">
        <v>0</v>
      </c>
      <c r="BW66" s="180">
        <v>33029</v>
      </c>
      <c r="BX66" s="180">
        <v>227614</v>
      </c>
      <c r="BY66" s="180"/>
      <c r="BZ66" s="180">
        <v>4023</v>
      </c>
      <c r="CA66" s="180">
        <v>92</v>
      </c>
      <c r="CB66" s="180">
        <v>22886</v>
      </c>
      <c r="CC66" s="180">
        <v>1705</v>
      </c>
      <c r="CD66" s="180">
        <v>86351</v>
      </c>
      <c r="CE66" s="180"/>
      <c r="CF66" s="180">
        <v>1966</v>
      </c>
      <c r="CG66" s="180">
        <v>0</v>
      </c>
      <c r="CH66" s="180">
        <v>0</v>
      </c>
      <c r="CI66" s="180">
        <v>0</v>
      </c>
      <c r="CJ66" s="180"/>
      <c r="CK66" s="180">
        <v>438</v>
      </c>
      <c r="CL66" s="180"/>
      <c r="CM66" s="180"/>
      <c r="CN66" s="180"/>
      <c r="CO66" s="180"/>
      <c r="CP66" s="180"/>
      <c r="CQ66" s="180"/>
      <c r="CR66" s="180"/>
      <c r="CS66" s="180"/>
      <c r="CT66" s="180"/>
      <c r="CU66" s="180"/>
    </row>
    <row r="67" spans="1:99" x14ac:dyDescent="0.3">
      <c r="A67" s="155">
        <v>351</v>
      </c>
      <c r="B67" s="180" t="s">
        <v>223</v>
      </c>
      <c r="C67" s="180"/>
      <c r="D67" s="180">
        <v>0</v>
      </c>
      <c r="E67" s="180">
        <v>0</v>
      </c>
      <c r="F67" s="180">
        <v>0</v>
      </c>
      <c r="G67" s="180">
        <v>0</v>
      </c>
      <c r="H67" s="180"/>
      <c r="I67" s="180">
        <v>239888</v>
      </c>
      <c r="J67" s="180">
        <v>0</v>
      </c>
      <c r="K67" s="180">
        <v>1107029</v>
      </c>
      <c r="L67" s="180">
        <v>0</v>
      </c>
      <c r="M67" s="180">
        <v>0</v>
      </c>
      <c r="N67" s="180"/>
      <c r="O67" s="180">
        <v>16626590</v>
      </c>
      <c r="P67" s="180">
        <v>0</v>
      </c>
      <c r="Q67" s="180">
        <v>0</v>
      </c>
      <c r="R67" s="180">
        <v>0</v>
      </c>
      <c r="S67" s="180">
        <v>0</v>
      </c>
      <c r="T67" s="180">
        <v>0</v>
      </c>
      <c r="U67" s="180">
        <v>0</v>
      </c>
      <c r="V67" s="180">
        <v>0</v>
      </c>
      <c r="W67" s="180">
        <v>60545</v>
      </c>
      <c r="X67" s="180">
        <v>0</v>
      </c>
      <c r="Y67" s="180">
        <v>47821000</v>
      </c>
      <c r="Z67" s="180">
        <v>136319</v>
      </c>
      <c r="AA67" s="180">
        <v>0</v>
      </c>
      <c r="AB67" s="180">
        <v>0</v>
      </c>
      <c r="AC67" s="180"/>
      <c r="AD67" s="180">
        <v>12359</v>
      </c>
      <c r="AE67" s="180">
        <v>0</v>
      </c>
      <c r="AF67" s="180">
        <v>766350</v>
      </c>
      <c r="AG67" s="180">
        <v>0</v>
      </c>
      <c r="AH67" s="180">
        <v>0</v>
      </c>
      <c r="AI67" s="180">
        <v>170842</v>
      </c>
      <c r="AJ67" s="180">
        <v>73</v>
      </c>
      <c r="AK67" s="180">
        <v>0</v>
      </c>
      <c r="AL67" s="180">
        <v>17597</v>
      </c>
      <c r="AM67" s="180"/>
      <c r="AN67" s="180">
        <v>65155</v>
      </c>
      <c r="AO67" s="180"/>
      <c r="AP67" s="180">
        <v>0</v>
      </c>
      <c r="AQ67" s="180">
        <v>4321055</v>
      </c>
      <c r="AR67" s="180">
        <v>0</v>
      </c>
      <c r="AS67" s="180">
        <v>0</v>
      </c>
      <c r="AT67" s="180">
        <v>5314</v>
      </c>
      <c r="AU67" s="180">
        <v>0</v>
      </c>
      <c r="AV67" s="180">
        <v>0</v>
      </c>
      <c r="AW67" s="180">
        <v>0</v>
      </c>
      <c r="AX67" s="180">
        <v>0</v>
      </c>
      <c r="AY67" s="180">
        <v>0</v>
      </c>
      <c r="AZ67" s="180">
        <v>0</v>
      </c>
      <c r="BA67" s="180">
        <v>0</v>
      </c>
      <c r="BB67" s="180">
        <v>0</v>
      </c>
      <c r="BC67" s="180">
        <v>88311</v>
      </c>
      <c r="BD67" s="180">
        <v>0</v>
      </c>
      <c r="BE67" s="180">
        <v>0</v>
      </c>
      <c r="BF67" s="180">
        <v>35156</v>
      </c>
      <c r="BG67" s="180">
        <v>0</v>
      </c>
      <c r="BH67" s="180">
        <v>0</v>
      </c>
      <c r="BI67" s="180">
        <v>44856</v>
      </c>
      <c r="BJ67" s="180">
        <v>0</v>
      </c>
      <c r="BK67" s="180">
        <v>0</v>
      </c>
      <c r="BL67" s="180">
        <v>0</v>
      </c>
      <c r="BM67" s="180">
        <v>0</v>
      </c>
      <c r="BN67" s="180">
        <v>0</v>
      </c>
      <c r="BO67" s="180">
        <v>157266</v>
      </c>
      <c r="BP67" s="180">
        <v>9680478</v>
      </c>
      <c r="BQ67" s="180">
        <v>0</v>
      </c>
      <c r="BR67" s="180"/>
      <c r="BS67">
        <v>0</v>
      </c>
      <c r="BT67" s="180"/>
      <c r="BU67" s="180">
        <v>58369</v>
      </c>
      <c r="BV67" s="180">
        <v>0</v>
      </c>
      <c r="BW67" s="180">
        <v>118122</v>
      </c>
      <c r="BX67" s="180">
        <v>72384</v>
      </c>
      <c r="BY67" s="180"/>
      <c r="BZ67" s="180">
        <v>35335</v>
      </c>
      <c r="CA67" s="180">
        <v>9287</v>
      </c>
      <c r="CB67" s="180">
        <v>55874</v>
      </c>
      <c r="CC67" s="180">
        <v>0</v>
      </c>
      <c r="CD67" s="180">
        <v>49665</v>
      </c>
      <c r="CE67" s="180"/>
      <c r="CF67" s="180">
        <v>0</v>
      </c>
      <c r="CG67" s="180">
        <v>0</v>
      </c>
      <c r="CH67" s="180">
        <v>80800</v>
      </c>
      <c r="CI67" s="180">
        <v>0</v>
      </c>
      <c r="CJ67" s="180"/>
      <c r="CK67" s="180">
        <v>0</v>
      </c>
      <c r="CL67" s="180"/>
      <c r="CM67" s="180"/>
      <c r="CN67" s="180"/>
      <c r="CO67" s="180"/>
      <c r="CP67" s="180"/>
      <c r="CQ67" s="180"/>
      <c r="CR67" s="180"/>
      <c r="CS67" s="180"/>
      <c r="CT67" s="180"/>
      <c r="CU67" s="180"/>
    </row>
    <row r="68" spans="1:99" x14ac:dyDescent="0.3">
      <c r="A68" s="155">
        <v>352</v>
      </c>
      <c r="B68" s="180" t="s">
        <v>225</v>
      </c>
      <c r="C68" s="180"/>
      <c r="D68" s="180">
        <v>0</v>
      </c>
      <c r="E68" s="180">
        <v>0</v>
      </c>
      <c r="F68" s="180">
        <v>0</v>
      </c>
      <c r="G68" s="180">
        <v>0</v>
      </c>
      <c r="H68" s="180"/>
      <c r="I68" s="180">
        <v>0</v>
      </c>
      <c r="J68" s="180">
        <v>0</v>
      </c>
      <c r="K68" s="180">
        <v>0</v>
      </c>
      <c r="L68" s="180">
        <v>0</v>
      </c>
      <c r="M68" s="180">
        <v>0</v>
      </c>
      <c r="N68" s="180"/>
      <c r="O68" s="180">
        <v>70000</v>
      </c>
      <c r="P68" s="180">
        <v>0</v>
      </c>
      <c r="Q68" s="180">
        <v>0</v>
      </c>
      <c r="R68" s="180">
        <v>0</v>
      </c>
      <c r="S68" s="180">
        <v>0</v>
      </c>
      <c r="T68" s="180">
        <v>0</v>
      </c>
      <c r="U68" s="180">
        <v>0</v>
      </c>
      <c r="V68" s="180">
        <v>69550</v>
      </c>
      <c r="W68" s="180">
        <v>0</v>
      </c>
      <c r="X68" s="180">
        <v>0</v>
      </c>
      <c r="Y68" s="180">
        <v>0</v>
      </c>
      <c r="Z68" s="180">
        <v>0</v>
      </c>
      <c r="AA68" s="180">
        <v>0</v>
      </c>
      <c r="AB68" s="180">
        <v>0</v>
      </c>
      <c r="AC68" s="180"/>
      <c r="AD68" s="180">
        <v>0</v>
      </c>
      <c r="AE68" s="180">
        <v>0</v>
      </c>
      <c r="AF68" s="180">
        <v>0</v>
      </c>
      <c r="AG68" s="180">
        <v>0</v>
      </c>
      <c r="AH68" s="180">
        <v>0</v>
      </c>
      <c r="AI68" s="180">
        <v>952332</v>
      </c>
      <c r="AJ68" s="180">
        <v>0</v>
      </c>
      <c r="AK68" s="180">
        <v>0</v>
      </c>
      <c r="AL68" s="180">
        <v>0</v>
      </c>
      <c r="AM68" s="180"/>
      <c r="AN68" s="180">
        <v>0</v>
      </c>
      <c r="AO68" s="180"/>
      <c r="AP68" s="180">
        <v>0</v>
      </c>
      <c r="AQ68" s="180">
        <v>0</v>
      </c>
      <c r="AR68" s="180">
        <v>0</v>
      </c>
      <c r="AS68" s="180">
        <v>0</v>
      </c>
      <c r="AT68" s="180">
        <v>0</v>
      </c>
      <c r="AU68" s="180">
        <v>0</v>
      </c>
      <c r="AV68" s="180">
        <v>0</v>
      </c>
      <c r="AW68" s="180">
        <v>0</v>
      </c>
      <c r="AX68" s="180">
        <v>0</v>
      </c>
      <c r="AY68" s="180">
        <v>0</v>
      </c>
      <c r="AZ68" s="180">
        <v>0</v>
      </c>
      <c r="BA68" s="180">
        <v>0</v>
      </c>
      <c r="BB68" s="180">
        <v>19067</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c r="BS68">
        <v>11446</v>
      </c>
      <c r="BT68" s="180"/>
      <c r="BU68" s="180">
        <v>0</v>
      </c>
      <c r="BV68" s="180">
        <v>0</v>
      </c>
      <c r="BW68" s="180">
        <v>134371</v>
      </c>
      <c r="BX68" s="180">
        <v>0</v>
      </c>
      <c r="BY68" s="180"/>
      <c r="BZ68" s="180">
        <v>0</v>
      </c>
      <c r="CA68" s="180">
        <v>35375</v>
      </c>
      <c r="CB68" s="180">
        <v>0</v>
      </c>
      <c r="CC68" s="180">
        <v>0</v>
      </c>
      <c r="CD68" s="180">
        <v>99612</v>
      </c>
      <c r="CE68" s="180"/>
      <c r="CF68" s="180">
        <v>0</v>
      </c>
      <c r="CG68" s="180">
        <v>0</v>
      </c>
      <c r="CH68" s="180">
        <v>0</v>
      </c>
      <c r="CI68" s="180">
        <v>0</v>
      </c>
      <c r="CJ68" s="180"/>
      <c r="CK68" s="180">
        <v>0</v>
      </c>
      <c r="CL68" s="180"/>
      <c r="CM68" s="180"/>
      <c r="CN68" s="180"/>
      <c r="CO68" s="180"/>
      <c r="CP68" s="180"/>
      <c r="CQ68" s="180"/>
      <c r="CR68" s="180"/>
      <c r="CS68" s="180"/>
      <c r="CT68" s="180"/>
      <c r="CU68" s="180"/>
    </row>
    <row r="69" spans="1:99" x14ac:dyDescent="0.3">
      <c r="A69" s="155">
        <v>353</v>
      </c>
      <c r="B69" s="180" t="s">
        <v>226</v>
      </c>
      <c r="C69" s="180"/>
      <c r="D69" s="180">
        <v>0</v>
      </c>
      <c r="E69" s="180">
        <v>0</v>
      </c>
      <c r="F69" s="180">
        <v>0</v>
      </c>
      <c r="G69" s="180">
        <v>0</v>
      </c>
      <c r="H69" s="180"/>
      <c r="I69" s="180">
        <v>0</v>
      </c>
      <c r="J69" s="180">
        <v>0</v>
      </c>
      <c r="K69" s="180">
        <v>400000</v>
      </c>
      <c r="L69" s="180">
        <v>0</v>
      </c>
      <c r="M69" s="180">
        <v>0</v>
      </c>
      <c r="N69" s="180"/>
      <c r="O69" s="180">
        <v>1000000</v>
      </c>
      <c r="P69" s="180">
        <v>0</v>
      </c>
      <c r="Q69" s="180">
        <v>0</v>
      </c>
      <c r="R69" s="180">
        <v>0</v>
      </c>
      <c r="S69" s="180">
        <v>0</v>
      </c>
      <c r="T69" s="180">
        <v>0</v>
      </c>
      <c r="U69" s="180">
        <v>0</v>
      </c>
      <c r="V69" s="180">
        <v>0</v>
      </c>
      <c r="W69" s="180">
        <v>0</v>
      </c>
      <c r="X69" s="180">
        <v>0</v>
      </c>
      <c r="Y69" s="180">
        <v>277000</v>
      </c>
      <c r="Z69" s="180">
        <v>0</v>
      </c>
      <c r="AA69" s="180">
        <v>0</v>
      </c>
      <c r="AB69" s="180">
        <v>0</v>
      </c>
      <c r="AC69" s="180"/>
      <c r="AD69" s="180">
        <v>22000</v>
      </c>
      <c r="AE69" s="180">
        <v>0</v>
      </c>
      <c r="AF69" s="180">
        <v>0</v>
      </c>
      <c r="AG69" s="180">
        <v>0</v>
      </c>
      <c r="AH69" s="180">
        <v>0</v>
      </c>
      <c r="AI69" s="180">
        <v>0</v>
      </c>
      <c r="AJ69" s="180">
        <v>0</v>
      </c>
      <c r="AK69" s="180">
        <v>0</v>
      </c>
      <c r="AL69" s="180">
        <v>0</v>
      </c>
      <c r="AM69" s="180"/>
      <c r="AN69" s="180">
        <v>0</v>
      </c>
      <c r="AO69" s="180"/>
      <c r="AP69" s="180">
        <v>0</v>
      </c>
      <c r="AQ69" s="180">
        <v>3112596</v>
      </c>
      <c r="AR69" s="180">
        <v>0</v>
      </c>
      <c r="AS69" s="180">
        <v>0</v>
      </c>
      <c r="AT69" s="180">
        <v>200000</v>
      </c>
      <c r="AU69" s="180">
        <v>0</v>
      </c>
      <c r="AV69" s="180">
        <v>0</v>
      </c>
      <c r="AW69" s="180">
        <v>0</v>
      </c>
      <c r="AX69" s="180">
        <v>0</v>
      </c>
      <c r="AY69" s="180">
        <v>0</v>
      </c>
      <c r="AZ69" s="180">
        <v>0</v>
      </c>
      <c r="BA69" s="180">
        <v>0</v>
      </c>
      <c r="BB69" s="180">
        <v>0</v>
      </c>
      <c r="BC69" s="180">
        <v>0</v>
      </c>
      <c r="BD69" s="180">
        <v>0</v>
      </c>
      <c r="BE69" s="180">
        <v>0</v>
      </c>
      <c r="BF69" s="180">
        <v>0</v>
      </c>
      <c r="BG69" s="180">
        <v>0</v>
      </c>
      <c r="BH69" s="180">
        <v>0</v>
      </c>
      <c r="BI69" s="180">
        <v>0</v>
      </c>
      <c r="BJ69" s="180">
        <v>0</v>
      </c>
      <c r="BK69" s="180">
        <v>0</v>
      </c>
      <c r="BL69" s="180">
        <v>0</v>
      </c>
      <c r="BM69" s="180">
        <v>0</v>
      </c>
      <c r="BN69" s="180">
        <v>0</v>
      </c>
      <c r="BO69" s="180">
        <v>0</v>
      </c>
      <c r="BP69" s="180">
        <v>0</v>
      </c>
      <c r="BQ69" s="180">
        <v>0</v>
      </c>
      <c r="BR69" s="180"/>
      <c r="BS69">
        <v>0</v>
      </c>
      <c r="BT69" s="180"/>
      <c r="BU69" s="180">
        <v>0</v>
      </c>
      <c r="BV69" s="180">
        <v>0</v>
      </c>
      <c r="BW69" s="180">
        <v>0</v>
      </c>
      <c r="BX69" s="180">
        <v>0</v>
      </c>
      <c r="BY69" s="180"/>
      <c r="BZ69" s="180">
        <v>0</v>
      </c>
      <c r="CA69" s="180">
        <v>0</v>
      </c>
      <c r="CB69" s="180">
        <v>0</v>
      </c>
      <c r="CC69" s="180">
        <v>0</v>
      </c>
      <c r="CD69" s="180">
        <v>0</v>
      </c>
      <c r="CE69" s="180"/>
      <c r="CF69" s="180">
        <v>0</v>
      </c>
      <c r="CG69" s="180">
        <v>0</v>
      </c>
      <c r="CH69" s="180">
        <v>0</v>
      </c>
      <c r="CI69" s="180">
        <v>0</v>
      </c>
      <c r="CJ69" s="180"/>
      <c r="CK69" s="180">
        <v>0</v>
      </c>
      <c r="CL69" s="180"/>
      <c r="CM69" s="180"/>
      <c r="CN69" s="180"/>
      <c r="CO69" s="180"/>
      <c r="CP69" s="180"/>
      <c r="CQ69" s="180"/>
      <c r="CR69" s="180"/>
      <c r="CS69" s="180"/>
      <c r="CT69" s="180"/>
      <c r="CU69" s="180"/>
    </row>
    <row r="70" spans="1:99" x14ac:dyDescent="0.3">
      <c r="A70" s="155">
        <v>356</v>
      </c>
      <c r="B70" s="180" t="s">
        <v>307</v>
      </c>
      <c r="C70" s="180"/>
      <c r="D70" s="180">
        <v>0</v>
      </c>
      <c r="E70" s="180">
        <v>0</v>
      </c>
      <c r="F70" s="180">
        <v>0</v>
      </c>
      <c r="G70" s="180">
        <v>0</v>
      </c>
      <c r="H70" s="180"/>
      <c r="I70" s="180">
        <v>0</v>
      </c>
      <c r="J70" s="180">
        <v>0</v>
      </c>
      <c r="K70" s="180">
        <v>0</v>
      </c>
      <c r="L70" s="180">
        <v>0</v>
      </c>
      <c r="M70" s="180">
        <v>0</v>
      </c>
      <c r="N70" s="180"/>
      <c r="O70" s="180">
        <v>0</v>
      </c>
      <c r="P70" s="180">
        <v>0</v>
      </c>
      <c r="Q70" s="180">
        <v>0</v>
      </c>
      <c r="R70" s="180">
        <v>0</v>
      </c>
      <c r="S70" s="180">
        <v>0</v>
      </c>
      <c r="T70" s="180">
        <v>0</v>
      </c>
      <c r="U70" s="180">
        <v>0</v>
      </c>
      <c r="V70" s="180">
        <v>0</v>
      </c>
      <c r="W70" s="180">
        <v>0</v>
      </c>
      <c r="X70" s="180">
        <v>0</v>
      </c>
      <c r="Y70" s="180">
        <v>0</v>
      </c>
      <c r="Z70" s="180">
        <v>5029830</v>
      </c>
      <c r="AA70" s="180">
        <v>0</v>
      </c>
      <c r="AB70" s="180">
        <v>0</v>
      </c>
      <c r="AC70" s="180"/>
      <c r="AD70" s="180">
        <v>0</v>
      </c>
      <c r="AE70" s="180">
        <v>0</v>
      </c>
      <c r="AF70" s="180">
        <v>24882990</v>
      </c>
      <c r="AG70" s="180">
        <v>0</v>
      </c>
      <c r="AH70" s="180">
        <v>0</v>
      </c>
      <c r="AI70" s="180">
        <v>0</v>
      </c>
      <c r="AJ70" s="180">
        <v>0</v>
      </c>
      <c r="AK70" s="180">
        <v>0</v>
      </c>
      <c r="AL70" s="180">
        <v>0</v>
      </c>
      <c r="AM70" s="180"/>
      <c r="AN70" s="180">
        <v>0</v>
      </c>
      <c r="AO70" s="180"/>
      <c r="AP70" s="180">
        <v>0</v>
      </c>
      <c r="AQ70" s="180">
        <v>163310674</v>
      </c>
      <c r="AR70" s="180">
        <v>0</v>
      </c>
      <c r="AS70" s="180">
        <v>0</v>
      </c>
      <c r="AT70" s="180">
        <v>0</v>
      </c>
      <c r="AU70" s="180">
        <v>0</v>
      </c>
      <c r="AV70" s="180">
        <v>0</v>
      </c>
      <c r="AW70" s="180">
        <v>12652340</v>
      </c>
      <c r="AX70" s="180">
        <v>0</v>
      </c>
      <c r="AY70" s="180">
        <v>0</v>
      </c>
      <c r="AZ70" s="180">
        <v>0</v>
      </c>
      <c r="BA70" s="180">
        <v>0</v>
      </c>
      <c r="BB70" s="180">
        <v>0</v>
      </c>
      <c r="BC70" s="180">
        <v>11212466</v>
      </c>
      <c r="BD70" s="180">
        <v>0</v>
      </c>
      <c r="BE70" s="180">
        <v>0</v>
      </c>
      <c r="BF70" s="180">
        <v>0</v>
      </c>
      <c r="BG70" s="180">
        <v>0</v>
      </c>
      <c r="BH70" s="180">
        <v>0</v>
      </c>
      <c r="BI70" s="180">
        <v>0</v>
      </c>
      <c r="BJ70" s="180">
        <v>0</v>
      </c>
      <c r="BK70" s="180">
        <v>0</v>
      </c>
      <c r="BL70" s="180">
        <v>1510822</v>
      </c>
      <c r="BM70" s="180">
        <v>0</v>
      </c>
      <c r="BN70" s="180">
        <v>0</v>
      </c>
      <c r="BO70" s="180">
        <v>0</v>
      </c>
      <c r="BP70" s="180">
        <v>0</v>
      </c>
      <c r="BQ70" s="180">
        <v>0</v>
      </c>
      <c r="BR70" s="180"/>
      <c r="BS70">
        <v>0</v>
      </c>
      <c r="BT70" s="180"/>
      <c r="BU70" s="180">
        <v>0</v>
      </c>
      <c r="BV70" s="180">
        <v>0</v>
      </c>
      <c r="BW70" s="180">
        <v>0</v>
      </c>
      <c r="BX70" s="180">
        <v>11774342</v>
      </c>
      <c r="BY70" s="180"/>
      <c r="BZ70" s="180">
        <v>0</v>
      </c>
      <c r="CA70" s="180">
        <v>0</v>
      </c>
      <c r="CB70" s="180">
        <v>0</v>
      </c>
      <c r="CC70" s="180">
        <v>0</v>
      </c>
      <c r="CD70" s="180">
        <v>0</v>
      </c>
      <c r="CE70" s="180"/>
      <c r="CF70" s="180">
        <v>0</v>
      </c>
      <c r="CG70" s="180">
        <v>0</v>
      </c>
      <c r="CH70" s="180">
        <v>2981022</v>
      </c>
      <c r="CI70" s="180">
        <v>0</v>
      </c>
      <c r="CJ70" s="180"/>
      <c r="CK70" s="180">
        <v>0</v>
      </c>
      <c r="CL70" s="180"/>
      <c r="CM70" s="180"/>
      <c r="CN70" s="180"/>
      <c r="CO70" s="180"/>
      <c r="CP70" s="180"/>
      <c r="CQ70" s="180"/>
      <c r="CR70" s="180"/>
      <c r="CS70" s="180"/>
      <c r="CT70" s="180"/>
      <c r="CU70" s="180"/>
    </row>
    <row r="71" spans="1:99" x14ac:dyDescent="0.3">
      <c r="A71" s="155">
        <v>357</v>
      </c>
      <c r="B71" s="180" t="s">
        <v>308</v>
      </c>
      <c r="C71" s="180"/>
      <c r="D71" s="180">
        <v>0</v>
      </c>
      <c r="E71" s="180">
        <v>0</v>
      </c>
      <c r="F71" s="180">
        <v>0</v>
      </c>
      <c r="G71" s="180">
        <v>0</v>
      </c>
      <c r="H71" s="180"/>
      <c r="I71" s="180">
        <v>0</v>
      </c>
      <c r="J71" s="180">
        <v>0</v>
      </c>
      <c r="K71" s="180">
        <v>0</v>
      </c>
      <c r="L71" s="180">
        <v>0</v>
      </c>
      <c r="M71" s="180">
        <v>0</v>
      </c>
      <c r="N71" s="180"/>
      <c r="O71" s="180">
        <v>0</v>
      </c>
      <c r="P71" s="180">
        <v>0</v>
      </c>
      <c r="Q71" s="180">
        <v>0</v>
      </c>
      <c r="R71" s="180">
        <v>0</v>
      </c>
      <c r="S71" s="180">
        <v>0</v>
      </c>
      <c r="T71" s="180">
        <v>0</v>
      </c>
      <c r="U71" s="180">
        <v>0</v>
      </c>
      <c r="V71" s="180">
        <v>0</v>
      </c>
      <c r="W71" s="180">
        <v>0</v>
      </c>
      <c r="X71" s="180">
        <v>0</v>
      </c>
      <c r="Y71" s="180">
        <v>0</v>
      </c>
      <c r="Z71" s="180">
        <v>3209042</v>
      </c>
      <c r="AA71" s="180">
        <v>0</v>
      </c>
      <c r="AB71" s="180">
        <v>0</v>
      </c>
      <c r="AC71" s="180"/>
      <c r="AD71" s="180">
        <v>0</v>
      </c>
      <c r="AE71" s="180">
        <v>0</v>
      </c>
      <c r="AF71" s="180">
        <v>8872537</v>
      </c>
      <c r="AG71" s="180">
        <v>0</v>
      </c>
      <c r="AH71" s="180">
        <v>0</v>
      </c>
      <c r="AI71" s="180">
        <v>0</v>
      </c>
      <c r="AJ71" s="180">
        <v>0</v>
      </c>
      <c r="AK71" s="180">
        <v>0</v>
      </c>
      <c r="AL71" s="180">
        <v>0</v>
      </c>
      <c r="AM71" s="180"/>
      <c r="AN71" s="180">
        <v>0</v>
      </c>
      <c r="AO71" s="180"/>
      <c r="AP71" s="180">
        <v>0</v>
      </c>
      <c r="AQ71" s="180">
        <v>98351462</v>
      </c>
      <c r="AR71" s="180">
        <v>0</v>
      </c>
      <c r="AS71" s="180">
        <v>0</v>
      </c>
      <c r="AT71" s="180">
        <v>0</v>
      </c>
      <c r="AU71" s="180">
        <v>0</v>
      </c>
      <c r="AV71" s="180">
        <v>0</v>
      </c>
      <c r="AW71" s="180">
        <v>7812892</v>
      </c>
      <c r="AX71" s="180">
        <v>0</v>
      </c>
      <c r="AY71" s="180">
        <v>0</v>
      </c>
      <c r="AZ71" s="180">
        <v>0</v>
      </c>
      <c r="BA71" s="180">
        <v>0</v>
      </c>
      <c r="BB71" s="180">
        <v>0</v>
      </c>
      <c r="BC71" s="180">
        <v>6414792</v>
      </c>
      <c r="BD71" s="180">
        <v>0</v>
      </c>
      <c r="BE71" s="180">
        <v>0</v>
      </c>
      <c r="BF71" s="180">
        <v>0</v>
      </c>
      <c r="BG71" s="180">
        <v>0</v>
      </c>
      <c r="BH71" s="180">
        <v>0</v>
      </c>
      <c r="BI71" s="180">
        <v>0</v>
      </c>
      <c r="BJ71" s="180">
        <v>0</v>
      </c>
      <c r="BK71" s="180">
        <v>0</v>
      </c>
      <c r="BL71" s="180">
        <v>1305492</v>
      </c>
      <c r="BM71" s="180">
        <v>0</v>
      </c>
      <c r="BN71" s="180">
        <v>0</v>
      </c>
      <c r="BO71" s="180">
        <v>0</v>
      </c>
      <c r="BP71" s="180">
        <v>0</v>
      </c>
      <c r="BQ71" s="180">
        <v>0</v>
      </c>
      <c r="BR71" s="180"/>
      <c r="BS71">
        <v>0</v>
      </c>
      <c r="BT71" s="180"/>
      <c r="BU71" s="180">
        <v>0</v>
      </c>
      <c r="BV71" s="180">
        <v>0</v>
      </c>
      <c r="BW71" s="180">
        <v>0</v>
      </c>
      <c r="BX71" s="180">
        <v>8577995</v>
      </c>
      <c r="BY71" s="180"/>
      <c r="BZ71" s="180">
        <v>0</v>
      </c>
      <c r="CA71" s="180">
        <v>0</v>
      </c>
      <c r="CB71" s="180">
        <v>0</v>
      </c>
      <c r="CC71" s="180">
        <v>0</v>
      </c>
      <c r="CD71" s="180">
        <v>0</v>
      </c>
      <c r="CE71" s="180"/>
      <c r="CF71" s="180">
        <v>0</v>
      </c>
      <c r="CG71" s="180">
        <v>0</v>
      </c>
      <c r="CH71" s="180">
        <v>2803806</v>
      </c>
      <c r="CI71" s="180">
        <v>0</v>
      </c>
      <c r="CJ71" s="180"/>
      <c r="CK71" s="180">
        <v>0</v>
      </c>
      <c r="CL71" s="180"/>
      <c r="CM71" s="180"/>
      <c r="CN71" s="180"/>
      <c r="CO71" s="180"/>
      <c r="CP71" s="180"/>
      <c r="CQ71" s="180"/>
      <c r="CR71" s="180"/>
      <c r="CS71" s="180"/>
      <c r="CT71" s="180"/>
      <c r="CU71" s="180"/>
    </row>
    <row r="72" spans="1:99" x14ac:dyDescent="0.3">
      <c r="A72" s="155">
        <v>359</v>
      </c>
      <c r="B72" s="180" t="s">
        <v>247</v>
      </c>
      <c r="C72" s="180"/>
      <c r="D72" s="180">
        <v>0</v>
      </c>
      <c r="E72" s="180">
        <v>0</v>
      </c>
      <c r="F72" s="180">
        <v>0</v>
      </c>
      <c r="G72" s="180">
        <v>0</v>
      </c>
      <c r="H72" s="180"/>
      <c r="I72" s="180">
        <v>0</v>
      </c>
      <c r="J72" s="180">
        <v>0</v>
      </c>
      <c r="K72" s="180">
        <v>0</v>
      </c>
      <c r="L72" s="180">
        <v>0</v>
      </c>
      <c r="M72" s="180">
        <v>0</v>
      </c>
      <c r="N72" s="180"/>
      <c r="O72" s="180">
        <v>0</v>
      </c>
      <c r="P72" s="180">
        <v>0</v>
      </c>
      <c r="Q72" s="180">
        <v>0</v>
      </c>
      <c r="R72" s="180">
        <v>0</v>
      </c>
      <c r="S72" s="180">
        <v>0</v>
      </c>
      <c r="T72" s="180">
        <v>0</v>
      </c>
      <c r="U72" s="180">
        <v>0</v>
      </c>
      <c r="V72" s="180">
        <v>0</v>
      </c>
      <c r="W72" s="180">
        <v>0</v>
      </c>
      <c r="X72" s="180">
        <v>0</v>
      </c>
      <c r="Y72" s="180">
        <v>0</v>
      </c>
      <c r="Z72" s="180">
        <v>0</v>
      </c>
      <c r="AA72" s="180">
        <v>0</v>
      </c>
      <c r="AB72" s="180">
        <v>0</v>
      </c>
      <c r="AC72" s="180"/>
      <c r="AD72" s="180">
        <v>0</v>
      </c>
      <c r="AE72" s="180">
        <v>0</v>
      </c>
      <c r="AF72" s="180">
        <v>5059468</v>
      </c>
      <c r="AG72" s="180">
        <v>0</v>
      </c>
      <c r="AH72" s="180">
        <v>0</v>
      </c>
      <c r="AI72" s="180">
        <v>0</v>
      </c>
      <c r="AJ72" s="180">
        <v>0</v>
      </c>
      <c r="AK72" s="180">
        <v>0</v>
      </c>
      <c r="AL72" s="180">
        <v>0</v>
      </c>
      <c r="AM72" s="180"/>
      <c r="AN72" s="180">
        <v>0</v>
      </c>
      <c r="AO72" s="180"/>
      <c r="AP72" s="180">
        <v>0</v>
      </c>
      <c r="AQ72" s="180">
        <v>9935165</v>
      </c>
      <c r="AR72" s="180">
        <v>0</v>
      </c>
      <c r="AS72" s="180">
        <v>0</v>
      </c>
      <c r="AT72" s="180">
        <v>0</v>
      </c>
      <c r="AU72" s="180">
        <v>0</v>
      </c>
      <c r="AV72" s="180">
        <v>0</v>
      </c>
      <c r="AW72" s="180">
        <v>201000</v>
      </c>
      <c r="AX72" s="180">
        <v>0</v>
      </c>
      <c r="AY72" s="180">
        <v>0</v>
      </c>
      <c r="AZ72" s="180">
        <v>0</v>
      </c>
      <c r="BA72" s="180">
        <v>0</v>
      </c>
      <c r="BB72" s="180">
        <v>0</v>
      </c>
      <c r="BC72" s="180">
        <v>89423</v>
      </c>
      <c r="BD72" s="180">
        <v>0</v>
      </c>
      <c r="BE72" s="180">
        <v>0</v>
      </c>
      <c r="BF72" s="180">
        <v>0</v>
      </c>
      <c r="BG72" s="180">
        <v>0</v>
      </c>
      <c r="BH72" s="180">
        <v>0</v>
      </c>
      <c r="BI72" s="180">
        <v>0</v>
      </c>
      <c r="BJ72" s="180">
        <v>0</v>
      </c>
      <c r="BK72" s="180">
        <v>0</v>
      </c>
      <c r="BL72" s="180">
        <v>0</v>
      </c>
      <c r="BM72" s="180">
        <v>0</v>
      </c>
      <c r="BN72" s="180">
        <v>0</v>
      </c>
      <c r="BO72" s="180">
        <v>0</v>
      </c>
      <c r="BP72" s="180">
        <v>0</v>
      </c>
      <c r="BQ72" s="180">
        <v>0</v>
      </c>
      <c r="BR72" s="180"/>
      <c r="BS72">
        <v>0</v>
      </c>
      <c r="BT72" s="180"/>
      <c r="BU72" s="180">
        <v>0</v>
      </c>
      <c r="BV72" s="180">
        <v>0</v>
      </c>
      <c r="BW72" s="180">
        <v>0</v>
      </c>
      <c r="BX72" s="180">
        <v>127917</v>
      </c>
      <c r="BY72" s="180"/>
      <c r="BZ72" s="180">
        <v>0</v>
      </c>
      <c r="CA72" s="180">
        <v>0</v>
      </c>
      <c r="CB72" s="180">
        <v>0</v>
      </c>
      <c r="CC72" s="180">
        <v>0</v>
      </c>
      <c r="CD72" s="180">
        <v>0</v>
      </c>
      <c r="CE72" s="180"/>
      <c r="CF72" s="180">
        <v>0</v>
      </c>
      <c r="CG72" s="180">
        <v>0</v>
      </c>
      <c r="CH72" s="180">
        <v>0</v>
      </c>
      <c r="CI72" s="180">
        <v>0</v>
      </c>
      <c r="CJ72" s="180"/>
      <c r="CK72" s="180">
        <v>0</v>
      </c>
      <c r="CL72" s="180"/>
      <c r="CM72" s="180"/>
      <c r="CN72" s="180"/>
      <c r="CO72" s="180"/>
      <c r="CP72" s="180"/>
      <c r="CQ72" s="180"/>
      <c r="CR72" s="180"/>
      <c r="CS72" s="180"/>
      <c r="CT72" s="180"/>
      <c r="CU72" s="180"/>
    </row>
    <row r="73" spans="1:99" x14ac:dyDescent="0.3">
      <c r="A73" s="155">
        <v>360</v>
      </c>
      <c r="B73" s="180" t="s">
        <v>117</v>
      </c>
      <c r="C73" s="180"/>
      <c r="D73" s="180">
        <v>0</v>
      </c>
      <c r="E73" s="180">
        <v>0</v>
      </c>
      <c r="F73" s="180">
        <v>0</v>
      </c>
      <c r="G73" s="180">
        <v>0</v>
      </c>
      <c r="H73" s="180"/>
      <c r="I73" s="180">
        <v>0</v>
      </c>
      <c r="J73" s="180">
        <v>0</v>
      </c>
      <c r="K73" s="180">
        <v>0</v>
      </c>
      <c r="L73" s="180">
        <v>0</v>
      </c>
      <c r="M73" s="180">
        <v>0</v>
      </c>
      <c r="N73" s="180"/>
      <c r="O73" s="180">
        <v>0</v>
      </c>
      <c r="P73" s="180">
        <v>0</v>
      </c>
      <c r="Q73" s="180">
        <v>0</v>
      </c>
      <c r="R73" s="180">
        <v>0</v>
      </c>
      <c r="S73" s="180">
        <v>0</v>
      </c>
      <c r="T73" s="180">
        <v>0</v>
      </c>
      <c r="U73" s="180">
        <v>0</v>
      </c>
      <c r="V73" s="180">
        <v>0</v>
      </c>
      <c r="W73" s="180">
        <v>0</v>
      </c>
      <c r="X73" s="180">
        <v>0</v>
      </c>
      <c r="Y73" s="180">
        <v>0</v>
      </c>
      <c r="Z73" s="180">
        <v>1246287</v>
      </c>
      <c r="AA73" s="180">
        <v>0</v>
      </c>
      <c r="AB73" s="180">
        <v>0</v>
      </c>
      <c r="AC73" s="180"/>
      <c r="AD73" s="180">
        <v>0</v>
      </c>
      <c r="AE73" s="180">
        <v>0</v>
      </c>
      <c r="AF73" s="180">
        <v>8376281</v>
      </c>
      <c r="AG73" s="180">
        <v>0</v>
      </c>
      <c r="AH73" s="180">
        <v>0</v>
      </c>
      <c r="AI73" s="180">
        <v>0</v>
      </c>
      <c r="AJ73" s="180">
        <v>0</v>
      </c>
      <c r="AK73" s="180">
        <v>0</v>
      </c>
      <c r="AL73" s="180">
        <v>0</v>
      </c>
      <c r="AM73" s="180"/>
      <c r="AN73" s="180">
        <v>0</v>
      </c>
      <c r="AO73" s="180"/>
      <c r="AP73" s="180">
        <v>0</v>
      </c>
      <c r="AQ73" s="180">
        <v>27334055</v>
      </c>
      <c r="AR73" s="180">
        <v>0</v>
      </c>
      <c r="AS73" s="180">
        <v>0</v>
      </c>
      <c r="AT73" s="180">
        <v>0</v>
      </c>
      <c r="AU73" s="180">
        <v>0</v>
      </c>
      <c r="AV73" s="180">
        <v>0</v>
      </c>
      <c r="AW73" s="180">
        <v>1259656</v>
      </c>
      <c r="AX73" s="180">
        <v>0</v>
      </c>
      <c r="AY73" s="180">
        <v>0</v>
      </c>
      <c r="AZ73" s="180">
        <v>0</v>
      </c>
      <c r="BA73" s="180">
        <v>0</v>
      </c>
      <c r="BB73" s="180">
        <v>0</v>
      </c>
      <c r="BC73" s="180">
        <v>1364530</v>
      </c>
      <c r="BD73" s="180">
        <v>0</v>
      </c>
      <c r="BE73" s="180">
        <v>0</v>
      </c>
      <c r="BF73" s="180">
        <v>0</v>
      </c>
      <c r="BG73" s="180">
        <v>0</v>
      </c>
      <c r="BH73" s="180">
        <v>0</v>
      </c>
      <c r="BI73" s="180">
        <v>0</v>
      </c>
      <c r="BJ73" s="180">
        <v>0</v>
      </c>
      <c r="BK73" s="180">
        <v>0</v>
      </c>
      <c r="BL73" s="180">
        <v>400143</v>
      </c>
      <c r="BM73" s="180">
        <v>0</v>
      </c>
      <c r="BN73" s="180">
        <v>0</v>
      </c>
      <c r="BO73" s="180">
        <v>0</v>
      </c>
      <c r="BP73" s="180">
        <v>0</v>
      </c>
      <c r="BQ73" s="180">
        <v>0</v>
      </c>
      <c r="BR73" s="180"/>
      <c r="BS73" s="180">
        <v>0</v>
      </c>
      <c r="BT73" s="180"/>
      <c r="BU73" s="180">
        <v>0</v>
      </c>
      <c r="BV73" s="180">
        <v>0</v>
      </c>
      <c r="BW73" s="180">
        <v>0</v>
      </c>
      <c r="BX73" s="180">
        <v>1987131</v>
      </c>
      <c r="BY73" s="180"/>
      <c r="BZ73" s="180">
        <v>0</v>
      </c>
      <c r="CA73" s="180">
        <v>0</v>
      </c>
      <c r="CB73" s="180">
        <v>0</v>
      </c>
      <c r="CC73" s="180">
        <v>0</v>
      </c>
      <c r="CD73" s="180">
        <v>0</v>
      </c>
      <c r="CE73" s="180"/>
      <c r="CF73" s="180">
        <v>0</v>
      </c>
      <c r="CG73" s="180">
        <v>0</v>
      </c>
      <c r="CH73" s="180">
        <v>741547</v>
      </c>
      <c r="CI73" s="180">
        <v>0</v>
      </c>
      <c r="CJ73" s="180"/>
      <c r="CK73" s="180">
        <v>0</v>
      </c>
      <c r="CL73" s="180"/>
      <c r="CM73" s="180"/>
      <c r="CN73" s="180"/>
      <c r="CO73" s="180"/>
      <c r="CP73" s="180"/>
      <c r="CQ73" s="180"/>
      <c r="CR73" s="180"/>
      <c r="CS73" s="180"/>
      <c r="CT73" s="180"/>
      <c r="CU73" s="180"/>
    </row>
    <row r="74" spans="1:99" x14ac:dyDescent="0.3">
      <c r="A74" s="155">
        <v>361</v>
      </c>
      <c r="B74" s="180" t="s">
        <v>98</v>
      </c>
      <c r="C74" s="180"/>
      <c r="D74" s="180">
        <v>0</v>
      </c>
      <c r="E74" s="180">
        <v>0</v>
      </c>
      <c r="F74" s="180">
        <v>0</v>
      </c>
      <c r="G74" s="180">
        <v>0</v>
      </c>
      <c r="H74" s="180"/>
      <c r="I74" s="180">
        <v>0</v>
      </c>
      <c r="J74" s="180">
        <v>0</v>
      </c>
      <c r="K74" s="180">
        <v>0</v>
      </c>
      <c r="L74" s="180">
        <v>0</v>
      </c>
      <c r="M74" s="180">
        <v>0</v>
      </c>
      <c r="N74" s="180"/>
      <c r="O74" s="180">
        <v>0</v>
      </c>
      <c r="P74" s="180">
        <v>0</v>
      </c>
      <c r="Q74" s="180">
        <v>0</v>
      </c>
      <c r="R74" s="180">
        <v>0</v>
      </c>
      <c r="S74" s="180">
        <v>0</v>
      </c>
      <c r="T74" s="180">
        <v>0</v>
      </c>
      <c r="U74" s="180">
        <v>0</v>
      </c>
      <c r="V74" s="180">
        <v>0</v>
      </c>
      <c r="W74" s="180">
        <v>0</v>
      </c>
      <c r="X74" s="180">
        <v>0</v>
      </c>
      <c r="Y74" s="180">
        <v>0</v>
      </c>
      <c r="Z74" s="180">
        <v>4044986</v>
      </c>
      <c r="AA74" s="180">
        <v>0</v>
      </c>
      <c r="AB74" s="180">
        <v>0</v>
      </c>
      <c r="AC74" s="180"/>
      <c r="AD74" s="180">
        <v>0</v>
      </c>
      <c r="AE74" s="180">
        <v>0</v>
      </c>
      <c r="AF74" s="180">
        <v>5559232</v>
      </c>
      <c r="AG74" s="180">
        <v>0</v>
      </c>
      <c r="AH74" s="180">
        <v>0</v>
      </c>
      <c r="AI74" s="180">
        <v>0</v>
      </c>
      <c r="AJ74" s="180">
        <v>0</v>
      </c>
      <c r="AK74" s="180">
        <v>0</v>
      </c>
      <c r="AL74" s="180">
        <v>0</v>
      </c>
      <c r="AM74" s="180"/>
      <c r="AN74" s="180">
        <v>0</v>
      </c>
      <c r="AO74" s="180"/>
      <c r="AP74" s="180">
        <v>0</v>
      </c>
      <c r="AQ74" s="180">
        <v>95258084</v>
      </c>
      <c r="AR74" s="180">
        <v>0</v>
      </c>
      <c r="AS74" s="180">
        <v>0</v>
      </c>
      <c r="AT74" s="180">
        <v>0</v>
      </c>
      <c r="AU74" s="180">
        <v>0</v>
      </c>
      <c r="AV74" s="180">
        <v>0</v>
      </c>
      <c r="AW74" s="180">
        <v>5691064</v>
      </c>
      <c r="AX74" s="180">
        <v>0</v>
      </c>
      <c r="AY74" s="180">
        <v>0</v>
      </c>
      <c r="AZ74" s="180">
        <v>0</v>
      </c>
      <c r="BA74" s="180">
        <v>0</v>
      </c>
      <c r="BB74" s="180">
        <v>0</v>
      </c>
      <c r="BC74" s="180">
        <v>5279484</v>
      </c>
      <c r="BD74" s="180">
        <v>0</v>
      </c>
      <c r="BE74" s="180">
        <v>0</v>
      </c>
      <c r="BF74" s="180">
        <v>0</v>
      </c>
      <c r="BG74" s="180">
        <v>0</v>
      </c>
      <c r="BH74" s="180">
        <v>0</v>
      </c>
      <c r="BI74" s="180">
        <v>0</v>
      </c>
      <c r="BJ74" s="180">
        <v>0</v>
      </c>
      <c r="BK74" s="180">
        <v>0</v>
      </c>
      <c r="BL74" s="180">
        <v>3998661</v>
      </c>
      <c r="BM74" s="180">
        <v>0</v>
      </c>
      <c r="BN74" s="180">
        <v>0</v>
      </c>
      <c r="BO74" s="180">
        <v>0</v>
      </c>
      <c r="BP74" s="180">
        <v>0</v>
      </c>
      <c r="BQ74" s="180">
        <v>0</v>
      </c>
      <c r="BR74" s="180"/>
      <c r="BS74" s="180">
        <v>0</v>
      </c>
      <c r="BT74" s="180"/>
      <c r="BU74" s="180">
        <v>0</v>
      </c>
      <c r="BV74" s="180">
        <v>0</v>
      </c>
      <c r="BW74" s="180">
        <v>0</v>
      </c>
      <c r="BX74" s="180">
        <v>1578620</v>
      </c>
      <c r="BY74" s="180"/>
      <c r="BZ74" s="180">
        <v>0</v>
      </c>
      <c r="CA74" s="180">
        <v>0</v>
      </c>
      <c r="CB74" s="180">
        <v>0</v>
      </c>
      <c r="CC74" s="180">
        <v>0</v>
      </c>
      <c r="CD74" s="180">
        <v>0</v>
      </c>
      <c r="CE74" s="180"/>
      <c r="CF74" s="180">
        <v>0</v>
      </c>
      <c r="CG74" s="180">
        <v>0</v>
      </c>
      <c r="CH74" s="180">
        <v>7577162</v>
      </c>
      <c r="CI74" s="180">
        <v>0</v>
      </c>
      <c r="CJ74" s="180"/>
      <c r="CK74" s="180">
        <v>0</v>
      </c>
      <c r="CL74" s="180"/>
      <c r="CM74" s="180"/>
      <c r="CN74" s="180"/>
      <c r="CO74" s="180"/>
      <c r="CP74" s="180"/>
      <c r="CQ74" s="180"/>
      <c r="CR74" s="180"/>
      <c r="CS74" s="180"/>
      <c r="CT74" s="180"/>
      <c r="CU74" s="180"/>
    </row>
    <row r="75" spans="1:99" x14ac:dyDescent="0.3">
      <c r="A75" s="155">
        <v>362</v>
      </c>
      <c r="B75" s="180" t="s">
        <v>99</v>
      </c>
      <c r="C75" s="180"/>
      <c r="D75" s="180">
        <v>0</v>
      </c>
      <c r="E75" s="180">
        <v>0</v>
      </c>
      <c r="F75" s="180">
        <v>0</v>
      </c>
      <c r="G75" s="180">
        <v>0</v>
      </c>
      <c r="H75" s="180"/>
      <c r="I75" s="180">
        <v>0</v>
      </c>
      <c r="J75" s="180">
        <v>0</v>
      </c>
      <c r="K75" s="180">
        <v>0</v>
      </c>
      <c r="L75" s="180">
        <v>0</v>
      </c>
      <c r="M75" s="180">
        <v>0</v>
      </c>
      <c r="N75" s="180"/>
      <c r="O75" s="180">
        <v>0</v>
      </c>
      <c r="P75" s="180">
        <v>0</v>
      </c>
      <c r="Q75" s="180">
        <v>0</v>
      </c>
      <c r="R75" s="180">
        <v>0</v>
      </c>
      <c r="S75" s="180">
        <v>0</v>
      </c>
      <c r="T75" s="180">
        <v>0</v>
      </c>
      <c r="U75" s="180">
        <v>0</v>
      </c>
      <c r="V75" s="180">
        <v>0</v>
      </c>
      <c r="W75" s="180">
        <v>0</v>
      </c>
      <c r="X75" s="180">
        <v>0</v>
      </c>
      <c r="Y75" s="180">
        <v>0</v>
      </c>
      <c r="Z75" s="180">
        <v>5903313</v>
      </c>
      <c r="AA75" s="180">
        <v>0</v>
      </c>
      <c r="AB75" s="180">
        <v>0</v>
      </c>
      <c r="AC75" s="180"/>
      <c r="AD75" s="180">
        <v>0</v>
      </c>
      <c r="AE75" s="180">
        <v>0</v>
      </c>
      <c r="AF75" s="180">
        <v>17470813</v>
      </c>
      <c r="AG75" s="180">
        <v>0</v>
      </c>
      <c r="AH75" s="180">
        <v>0</v>
      </c>
      <c r="AI75" s="180">
        <v>0</v>
      </c>
      <c r="AJ75" s="180">
        <v>0</v>
      </c>
      <c r="AK75" s="180">
        <v>0</v>
      </c>
      <c r="AL75" s="180">
        <v>0</v>
      </c>
      <c r="AM75" s="180"/>
      <c r="AN75" s="180">
        <v>0</v>
      </c>
      <c r="AO75" s="180"/>
      <c r="AP75" s="180">
        <v>0</v>
      </c>
      <c r="AQ75" s="180">
        <v>184535444</v>
      </c>
      <c r="AR75" s="180">
        <v>0</v>
      </c>
      <c r="AS75" s="180">
        <v>0</v>
      </c>
      <c r="AT75" s="180">
        <v>0</v>
      </c>
      <c r="AU75" s="180">
        <v>0</v>
      </c>
      <c r="AV75" s="180">
        <v>0</v>
      </c>
      <c r="AW75" s="180">
        <v>10329512</v>
      </c>
      <c r="AX75" s="180">
        <v>0</v>
      </c>
      <c r="AY75" s="180">
        <v>0</v>
      </c>
      <c r="AZ75" s="180">
        <v>0</v>
      </c>
      <c r="BA75" s="180">
        <v>0</v>
      </c>
      <c r="BB75" s="180">
        <v>0</v>
      </c>
      <c r="BC75" s="180">
        <v>10063946</v>
      </c>
      <c r="BD75" s="180">
        <v>0</v>
      </c>
      <c r="BE75" s="180">
        <v>0</v>
      </c>
      <c r="BF75" s="180">
        <v>0</v>
      </c>
      <c r="BG75" s="180">
        <v>0</v>
      </c>
      <c r="BH75" s="180">
        <v>0</v>
      </c>
      <c r="BI75" s="180">
        <v>0</v>
      </c>
      <c r="BJ75" s="180">
        <v>0</v>
      </c>
      <c r="BK75" s="180">
        <v>0</v>
      </c>
      <c r="BL75" s="180">
        <v>4203991</v>
      </c>
      <c r="BM75" s="180">
        <v>0</v>
      </c>
      <c r="BN75" s="180">
        <v>0</v>
      </c>
      <c r="BO75" s="180">
        <v>0</v>
      </c>
      <c r="BP75" s="180">
        <v>0</v>
      </c>
      <c r="BQ75" s="180">
        <v>0</v>
      </c>
      <c r="BR75" s="180"/>
      <c r="BS75" s="180">
        <v>0</v>
      </c>
      <c r="BT75" s="180"/>
      <c r="BU75" s="180">
        <v>0</v>
      </c>
      <c r="BV75" s="180">
        <v>0</v>
      </c>
      <c r="BW75" s="180">
        <v>0</v>
      </c>
      <c r="BX75" s="180">
        <v>4731197</v>
      </c>
      <c r="BY75" s="180"/>
      <c r="BZ75" s="180">
        <v>0</v>
      </c>
      <c r="CA75" s="180">
        <v>0</v>
      </c>
      <c r="CB75" s="180">
        <v>0</v>
      </c>
      <c r="CC75" s="180">
        <v>0</v>
      </c>
      <c r="CD75" s="180">
        <v>0</v>
      </c>
      <c r="CE75" s="180"/>
      <c r="CF75" s="180">
        <v>0</v>
      </c>
      <c r="CG75" s="180">
        <v>0</v>
      </c>
      <c r="CH75" s="180">
        <v>7763178</v>
      </c>
      <c r="CI75" s="180">
        <v>0</v>
      </c>
      <c r="CJ75" s="180"/>
      <c r="CK75" s="180">
        <v>0</v>
      </c>
      <c r="CL75" s="180"/>
      <c r="CM75" s="180"/>
      <c r="CN75" s="180"/>
      <c r="CO75" s="180"/>
      <c r="CP75" s="180"/>
      <c r="CQ75" s="180"/>
      <c r="CR75" s="180"/>
      <c r="CS75" s="180"/>
      <c r="CT75" s="180"/>
      <c r="CU75" s="180"/>
    </row>
    <row r="76" spans="1:99" x14ac:dyDescent="0.3">
      <c r="A76" s="155">
        <v>363</v>
      </c>
      <c r="B76" s="180" t="s">
        <v>233</v>
      </c>
      <c r="C76" s="180"/>
      <c r="D76" s="180">
        <v>0</v>
      </c>
      <c r="E76" s="180">
        <v>0</v>
      </c>
      <c r="F76" s="180">
        <v>0</v>
      </c>
      <c r="G76" s="180">
        <v>0</v>
      </c>
      <c r="H76" s="180"/>
      <c r="I76" s="180">
        <v>0</v>
      </c>
      <c r="J76" s="180">
        <v>0</v>
      </c>
      <c r="K76" s="180">
        <v>0</v>
      </c>
      <c r="L76" s="180">
        <v>0</v>
      </c>
      <c r="M76" s="180">
        <v>0</v>
      </c>
      <c r="N76" s="180"/>
      <c r="O76" s="180">
        <v>0</v>
      </c>
      <c r="P76" s="180">
        <v>0</v>
      </c>
      <c r="Q76" s="180">
        <v>0</v>
      </c>
      <c r="R76" s="180">
        <v>0</v>
      </c>
      <c r="S76" s="180">
        <v>0</v>
      </c>
      <c r="T76" s="180">
        <v>0</v>
      </c>
      <c r="U76" s="180">
        <v>0</v>
      </c>
      <c r="V76" s="180">
        <v>0</v>
      </c>
      <c r="W76" s="180">
        <v>0</v>
      </c>
      <c r="X76" s="180">
        <v>0</v>
      </c>
      <c r="Y76" s="180">
        <v>0</v>
      </c>
      <c r="Z76" s="180">
        <v>15486</v>
      </c>
      <c r="AA76" s="180">
        <v>0</v>
      </c>
      <c r="AB76" s="180">
        <v>0</v>
      </c>
      <c r="AC76" s="180"/>
      <c r="AD76" s="180">
        <v>0</v>
      </c>
      <c r="AE76" s="180">
        <v>0</v>
      </c>
      <c r="AF76" s="180">
        <v>161102</v>
      </c>
      <c r="AG76" s="180">
        <v>0</v>
      </c>
      <c r="AH76" s="180">
        <v>0</v>
      </c>
      <c r="AI76" s="180">
        <v>0</v>
      </c>
      <c r="AJ76" s="180">
        <v>0</v>
      </c>
      <c r="AK76" s="180">
        <v>0</v>
      </c>
      <c r="AL76" s="180">
        <v>0</v>
      </c>
      <c r="AM76" s="180"/>
      <c r="AN76" s="180">
        <v>0</v>
      </c>
      <c r="AO76" s="180"/>
      <c r="AP76" s="180">
        <v>0</v>
      </c>
      <c r="AQ76" s="180">
        <v>291938</v>
      </c>
      <c r="AR76" s="180">
        <v>0</v>
      </c>
      <c r="AS76" s="180">
        <v>0</v>
      </c>
      <c r="AT76" s="180">
        <v>0</v>
      </c>
      <c r="AU76" s="180">
        <v>0</v>
      </c>
      <c r="AV76" s="180">
        <v>0</v>
      </c>
      <c r="AW76" s="180">
        <v>45294</v>
      </c>
      <c r="AX76" s="180">
        <v>0</v>
      </c>
      <c r="AY76" s="180">
        <v>0</v>
      </c>
      <c r="AZ76" s="180">
        <v>0</v>
      </c>
      <c r="BA76" s="180">
        <v>0</v>
      </c>
      <c r="BB76" s="180">
        <v>0</v>
      </c>
      <c r="BC76" s="180">
        <v>101881</v>
      </c>
      <c r="BD76" s="180">
        <v>0</v>
      </c>
      <c r="BE76" s="180">
        <v>0</v>
      </c>
      <c r="BF76" s="180">
        <v>0</v>
      </c>
      <c r="BG76" s="180">
        <v>0</v>
      </c>
      <c r="BH76" s="180">
        <v>0</v>
      </c>
      <c r="BI76" s="180">
        <v>0</v>
      </c>
      <c r="BJ76" s="180">
        <v>0</v>
      </c>
      <c r="BK76" s="180">
        <v>0</v>
      </c>
      <c r="BL76" s="180">
        <v>3200</v>
      </c>
      <c r="BM76" s="180">
        <v>0</v>
      </c>
      <c r="BN76" s="180">
        <v>0</v>
      </c>
      <c r="BO76" s="180">
        <v>0</v>
      </c>
      <c r="BP76" s="180">
        <v>0</v>
      </c>
      <c r="BQ76" s="180">
        <v>0</v>
      </c>
      <c r="BR76" s="180"/>
      <c r="BS76" s="180">
        <v>0</v>
      </c>
      <c r="BT76" s="180"/>
      <c r="BU76" s="180">
        <v>0</v>
      </c>
      <c r="BV76" s="180">
        <v>0</v>
      </c>
      <c r="BW76" s="180">
        <v>0</v>
      </c>
      <c r="BX76" s="180">
        <v>59</v>
      </c>
      <c r="BY76" s="180"/>
      <c r="BZ76" s="180">
        <v>0</v>
      </c>
      <c r="CA76" s="180">
        <v>0</v>
      </c>
      <c r="CB76" s="180">
        <v>0</v>
      </c>
      <c r="CC76" s="180">
        <v>0</v>
      </c>
      <c r="CD76" s="180">
        <v>0</v>
      </c>
      <c r="CE76" s="180"/>
      <c r="CF76" s="180">
        <v>0</v>
      </c>
      <c r="CG76" s="180">
        <v>0</v>
      </c>
      <c r="CH76" s="180">
        <v>2823</v>
      </c>
      <c r="CI76" s="180">
        <v>0</v>
      </c>
      <c r="CJ76" s="180"/>
      <c r="CK76" s="180">
        <v>0</v>
      </c>
      <c r="CL76" s="180"/>
      <c r="CM76" s="180"/>
      <c r="CN76" s="180"/>
      <c r="CO76" s="180"/>
      <c r="CP76" s="180"/>
      <c r="CQ76" s="180"/>
      <c r="CR76" s="180"/>
      <c r="CS76" s="180"/>
      <c r="CT76" s="180"/>
      <c r="CU76" s="180"/>
    </row>
    <row r="77" spans="1:99" x14ac:dyDescent="0.3">
      <c r="A77" s="155">
        <v>364</v>
      </c>
      <c r="B77" s="180" t="s">
        <v>234</v>
      </c>
      <c r="C77" s="180"/>
      <c r="D77" s="180">
        <v>0</v>
      </c>
      <c r="E77" s="180">
        <v>0</v>
      </c>
      <c r="F77" s="180">
        <v>0</v>
      </c>
      <c r="G77" s="180">
        <v>0</v>
      </c>
      <c r="H77" s="180"/>
      <c r="I77" s="180">
        <v>0</v>
      </c>
      <c r="J77" s="180">
        <v>0</v>
      </c>
      <c r="K77" s="180">
        <v>0</v>
      </c>
      <c r="L77" s="180">
        <v>0</v>
      </c>
      <c r="M77" s="180">
        <v>0</v>
      </c>
      <c r="N77" s="180"/>
      <c r="O77" s="180">
        <v>0</v>
      </c>
      <c r="P77" s="180">
        <v>0</v>
      </c>
      <c r="Q77" s="180">
        <v>0</v>
      </c>
      <c r="R77" s="180">
        <v>0</v>
      </c>
      <c r="S77" s="180">
        <v>0</v>
      </c>
      <c r="T77" s="180">
        <v>0</v>
      </c>
      <c r="U77" s="180">
        <v>0</v>
      </c>
      <c r="V77" s="180">
        <v>0</v>
      </c>
      <c r="W77" s="180">
        <v>0</v>
      </c>
      <c r="X77" s="180">
        <v>0</v>
      </c>
      <c r="Y77" s="180">
        <v>0</v>
      </c>
      <c r="Z77" s="180">
        <v>0</v>
      </c>
      <c r="AA77" s="180">
        <v>0</v>
      </c>
      <c r="AB77" s="180">
        <v>0</v>
      </c>
      <c r="AC77" s="180"/>
      <c r="AD77" s="180">
        <v>0</v>
      </c>
      <c r="AE77" s="180">
        <v>0</v>
      </c>
      <c r="AF77" s="180">
        <v>120030</v>
      </c>
      <c r="AG77" s="180">
        <v>0</v>
      </c>
      <c r="AH77" s="180">
        <v>0</v>
      </c>
      <c r="AI77" s="180">
        <v>0</v>
      </c>
      <c r="AJ77" s="180">
        <v>0</v>
      </c>
      <c r="AK77" s="180">
        <v>0</v>
      </c>
      <c r="AL77" s="180">
        <v>0</v>
      </c>
      <c r="AM77" s="180"/>
      <c r="AN77" s="180">
        <v>0</v>
      </c>
      <c r="AO77" s="180"/>
      <c r="AP77" s="180">
        <v>0</v>
      </c>
      <c r="AQ77" s="180">
        <v>3900201</v>
      </c>
      <c r="AR77" s="180">
        <v>0</v>
      </c>
      <c r="AS77" s="180">
        <v>0</v>
      </c>
      <c r="AT77" s="180">
        <v>0</v>
      </c>
      <c r="AU77" s="180">
        <v>0</v>
      </c>
      <c r="AV77" s="180">
        <v>0</v>
      </c>
      <c r="AW77" s="180">
        <v>4484</v>
      </c>
      <c r="AX77" s="180">
        <v>0</v>
      </c>
      <c r="AY77" s="180">
        <v>0</v>
      </c>
      <c r="AZ77" s="180">
        <v>0</v>
      </c>
      <c r="BA77" s="180">
        <v>0</v>
      </c>
      <c r="BB77" s="180">
        <v>0</v>
      </c>
      <c r="BC77" s="180">
        <v>132303</v>
      </c>
      <c r="BD77" s="180">
        <v>0</v>
      </c>
      <c r="BE77" s="180">
        <v>0</v>
      </c>
      <c r="BF77" s="180">
        <v>0</v>
      </c>
      <c r="BG77" s="180">
        <v>0</v>
      </c>
      <c r="BH77" s="180">
        <v>0</v>
      </c>
      <c r="BI77" s="180">
        <v>0</v>
      </c>
      <c r="BJ77" s="180">
        <v>0</v>
      </c>
      <c r="BK77" s="180">
        <v>0</v>
      </c>
      <c r="BL77" s="180">
        <v>0</v>
      </c>
      <c r="BM77" s="180">
        <v>0</v>
      </c>
      <c r="BN77" s="180">
        <v>0</v>
      </c>
      <c r="BO77" s="180">
        <v>0</v>
      </c>
      <c r="BP77" s="180">
        <v>0</v>
      </c>
      <c r="BQ77" s="180">
        <v>0</v>
      </c>
      <c r="BR77" s="180"/>
      <c r="BS77" s="180">
        <v>0</v>
      </c>
      <c r="BT77" s="180"/>
      <c r="BU77" s="180">
        <v>0</v>
      </c>
      <c r="BV77" s="180">
        <v>0</v>
      </c>
      <c r="BW77" s="180">
        <v>0</v>
      </c>
      <c r="BX77" s="180">
        <v>4507</v>
      </c>
      <c r="BY77" s="180"/>
      <c r="BZ77" s="180">
        <v>0</v>
      </c>
      <c r="CA77" s="180">
        <v>0</v>
      </c>
      <c r="CB77" s="180">
        <v>0</v>
      </c>
      <c r="CC77" s="180">
        <v>0</v>
      </c>
      <c r="CD77" s="180">
        <v>0</v>
      </c>
      <c r="CE77" s="180"/>
      <c r="CF77" s="180">
        <v>0</v>
      </c>
      <c r="CG77" s="180">
        <v>0</v>
      </c>
      <c r="CH77" s="180">
        <v>0</v>
      </c>
      <c r="CI77" s="180">
        <v>0</v>
      </c>
      <c r="CJ77" s="180"/>
      <c r="CK77" s="180">
        <v>0</v>
      </c>
      <c r="CL77" s="180"/>
      <c r="CM77" s="180"/>
      <c r="CN77" s="180"/>
      <c r="CO77" s="180"/>
      <c r="CP77" s="180"/>
      <c r="CQ77" s="180"/>
      <c r="CR77" s="180"/>
      <c r="CS77" s="180"/>
      <c r="CT77" s="180"/>
      <c r="CU77" s="180"/>
    </row>
    <row r="78" spans="1:99" x14ac:dyDescent="0.3">
      <c r="A78" s="155">
        <v>365</v>
      </c>
      <c r="B78" s="180" t="s">
        <v>236</v>
      </c>
      <c r="C78" s="180"/>
      <c r="D78" s="180">
        <v>0</v>
      </c>
      <c r="E78" s="180">
        <v>0</v>
      </c>
      <c r="F78" s="180">
        <v>0</v>
      </c>
      <c r="G78" s="180">
        <v>0</v>
      </c>
      <c r="H78" s="180"/>
      <c r="I78" s="180">
        <v>0</v>
      </c>
      <c r="J78" s="180">
        <v>0</v>
      </c>
      <c r="K78" s="180">
        <v>0</v>
      </c>
      <c r="L78" s="180">
        <v>0</v>
      </c>
      <c r="M78" s="180">
        <v>0</v>
      </c>
      <c r="N78" s="180"/>
      <c r="O78" s="180">
        <v>0</v>
      </c>
      <c r="P78" s="180">
        <v>0</v>
      </c>
      <c r="Q78" s="180">
        <v>0</v>
      </c>
      <c r="R78" s="180">
        <v>0</v>
      </c>
      <c r="S78" s="180">
        <v>0</v>
      </c>
      <c r="T78" s="180">
        <v>0</v>
      </c>
      <c r="U78" s="180">
        <v>0</v>
      </c>
      <c r="V78" s="180">
        <v>0</v>
      </c>
      <c r="W78" s="180">
        <v>0</v>
      </c>
      <c r="X78" s="180">
        <v>0</v>
      </c>
      <c r="Y78" s="180">
        <v>0</v>
      </c>
      <c r="Z78" s="180">
        <v>0</v>
      </c>
      <c r="AA78" s="180">
        <v>0</v>
      </c>
      <c r="AB78" s="180">
        <v>0</v>
      </c>
      <c r="AC78" s="180"/>
      <c r="AD78" s="180">
        <v>0</v>
      </c>
      <c r="AE78" s="180">
        <v>0</v>
      </c>
      <c r="AF78" s="180">
        <v>0</v>
      </c>
      <c r="AG78" s="180">
        <v>0</v>
      </c>
      <c r="AH78" s="180">
        <v>0</v>
      </c>
      <c r="AI78" s="180">
        <v>0</v>
      </c>
      <c r="AJ78" s="180">
        <v>0</v>
      </c>
      <c r="AK78" s="180">
        <v>0</v>
      </c>
      <c r="AL78" s="180">
        <v>0</v>
      </c>
      <c r="AM78" s="180"/>
      <c r="AN78" s="180">
        <v>0</v>
      </c>
      <c r="AO78" s="180"/>
      <c r="AP78" s="180">
        <v>0</v>
      </c>
      <c r="AQ78" s="180">
        <v>0</v>
      </c>
      <c r="AR78" s="180">
        <v>0</v>
      </c>
      <c r="AS78" s="180">
        <v>0</v>
      </c>
      <c r="AT78" s="180">
        <v>0</v>
      </c>
      <c r="AU78" s="180">
        <v>0</v>
      </c>
      <c r="AV78" s="180">
        <v>0</v>
      </c>
      <c r="AW78" s="180">
        <v>0</v>
      </c>
      <c r="AX78" s="180">
        <v>0</v>
      </c>
      <c r="AY78" s="180">
        <v>0</v>
      </c>
      <c r="AZ78" s="180">
        <v>0</v>
      </c>
      <c r="BA78" s="180">
        <v>0</v>
      </c>
      <c r="BB78" s="180">
        <v>0</v>
      </c>
      <c r="BC78" s="180">
        <v>0</v>
      </c>
      <c r="BD78" s="180">
        <v>0</v>
      </c>
      <c r="BE78" s="180">
        <v>0</v>
      </c>
      <c r="BF78" s="180">
        <v>0</v>
      </c>
      <c r="BG78" s="180">
        <v>0</v>
      </c>
      <c r="BH78" s="180">
        <v>0</v>
      </c>
      <c r="BI78" s="180">
        <v>0</v>
      </c>
      <c r="BJ78" s="180">
        <v>0</v>
      </c>
      <c r="BK78" s="180">
        <v>0</v>
      </c>
      <c r="BL78" s="180">
        <v>0</v>
      </c>
      <c r="BM78" s="180">
        <v>0</v>
      </c>
      <c r="BN78" s="180">
        <v>0</v>
      </c>
      <c r="BO78" s="180">
        <v>0</v>
      </c>
      <c r="BP78" s="180">
        <v>0</v>
      </c>
      <c r="BQ78" s="180">
        <v>0</v>
      </c>
      <c r="BR78" s="180"/>
      <c r="BS78" s="180">
        <v>0</v>
      </c>
      <c r="BT78" s="180"/>
      <c r="BU78" s="180">
        <v>0</v>
      </c>
      <c r="BV78" s="180">
        <v>0</v>
      </c>
      <c r="BW78" s="180">
        <v>0</v>
      </c>
      <c r="BX78" s="180">
        <v>0</v>
      </c>
      <c r="BY78" s="180"/>
      <c r="BZ78" s="180">
        <v>0</v>
      </c>
      <c r="CA78" s="180">
        <v>0</v>
      </c>
      <c r="CB78" s="180">
        <v>0</v>
      </c>
      <c r="CC78" s="180">
        <v>0</v>
      </c>
      <c r="CD78" s="180">
        <v>0</v>
      </c>
      <c r="CE78" s="180"/>
      <c r="CF78" s="180">
        <v>0</v>
      </c>
      <c r="CG78" s="180">
        <v>0</v>
      </c>
      <c r="CH78" s="180">
        <v>0</v>
      </c>
      <c r="CI78" s="180">
        <v>0</v>
      </c>
      <c r="CJ78" s="180"/>
      <c r="CK78" s="180">
        <v>0</v>
      </c>
      <c r="CL78" s="180"/>
      <c r="CM78" s="180"/>
      <c r="CN78" s="180"/>
      <c r="CO78" s="180"/>
      <c r="CP78" s="180"/>
      <c r="CQ78" s="180"/>
      <c r="CR78" s="180"/>
      <c r="CS78" s="180"/>
      <c r="CT78" s="180"/>
      <c r="CU78" s="180"/>
    </row>
    <row r="79" spans="1:99" x14ac:dyDescent="0.3">
      <c r="A79" s="155">
        <v>366</v>
      </c>
      <c r="B79" s="180" t="s">
        <v>924</v>
      </c>
      <c r="C79" s="180"/>
      <c r="D79" s="180">
        <v>0</v>
      </c>
      <c r="E79" s="180">
        <v>0</v>
      </c>
      <c r="F79" s="180">
        <v>0</v>
      </c>
      <c r="G79" s="180">
        <v>0</v>
      </c>
      <c r="H79" s="180"/>
      <c r="I79" s="180">
        <v>0</v>
      </c>
      <c r="J79" s="180">
        <v>0</v>
      </c>
      <c r="K79" s="180">
        <v>0</v>
      </c>
      <c r="L79" s="180">
        <v>0</v>
      </c>
      <c r="M79" s="180">
        <v>0</v>
      </c>
      <c r="N79" s="180"/>
      <c r="O79" s="180">
        <v>0</v>
      </c>
      <c r="P79" s="180">
        <v>0</v>
      </c>
      <c r="Q79" s="180">
        <v>0</v>
      </c>
      <c r="R79" s="180">
        <v>0</v>
      </c>
      <c r="S79" s="180">
        <v>0</v>
      </c>
      <c r="T79" s="180">
        <v>0</v>
      </c>
      <c r="U79" s="180">
        <v>0</v>
      </c>
      <c r="V79" s="180">
        <v>0</v>
      </c>
      <c r="W79" s="180">
        <v>0</v>
      </c>
      <c r="X79" s="180">
        <v>0</v>
      </c>
      <c r="Y79" s="180">
        <v>0</v>
      </c>
      <c r="Z79" s="180">
        <v>0</v>
      </c>
      <c r="AA79" s="180">
        <v>0</v>
      </c>
      <c r="AB79" s="180">
        <v>0</v>
      </c>
      <c r="AC79" s="180"/>
      <c r="AD79" s="180">
        <v>0</v>
      </c>
      <c r="AE79" s="180">
        <v>0</v>
      </c>
      <c r="AF79" s="180">
        <v>0</v>
      </c>
      <c r="AG79" s="180">
        <v>0</v>
      </c>
      <c r="AH79" s="180">
        <v>0</v>
      </c>
      <c r="AI79" s="180">
        <v>0</v>
      </c>
      <c r="AJ79" s="180">
        <v>0</v>
      </c>
      <c r="AK79" s="180">
        <v>0</v>
      </c>
      <c r="AL79" s="180">
        <v>0</v>
      </c>
      <c r="AM79" s="180"/>
      <c r="AN79" s="180">
        <v>0</v>
      </c>
      <c r="AO79" s="180"/>
      <c r="AP79" s="180">
        <v>0</v>
      </c>
      <c r="AQ79" s="180">
        <v>3226021</v>
      </c>
      <c r="AR79" s="180">
        <v>0</v>
      </c>
      <c r="AS79" s="180">
        <v>0</v>
      </c>
      <c r="AT79" s="180">
        <v>0</v>
      </c>
      <c r="AU79" s="180">
        <v>0</v>
      </c>
      <c r="AV79" s="180">
        <v>0</v>
      </c>
      <c r="AW79" s="180">
        <v>0</v>
      </c>
      <c r="AX79" s="180">
        <v>0</v>
      </c>
      <c r="AY79" s="180">
        <v>0</v>
      </c>
      <c r="AZ79" s="180">
        <v>0</v>
      </c>
      <c r="BA79" s="180">
        <v>0</v>
      </c>
      <c r="BB79" s="180">
        <v>0</v>
      </c>
      <c r="BC79" s="180">
        <v>1427275</v>
      </c>
      <c r="BD79" s="180">
        <v>0</v>
      </c>
      <c r="BE79" s="180">
        <v>0</v>
      </c>
      <c r="BF79" s="180">
        <v>0</v>
      </c>
      <c r="BG79" s="180">
        <v>0</v>
      </c>
      <c r="BH79" s="180">
        <v>0</v>
      </c>
      <c r="BI79" s="180">
        <v>0</v>
      </c>
      <c r="BJ79" s="180">
        <v>0</v>
      </c>
      <c r="BK79" s="180">
        <v>0</v>
      </c>
      <c r="BL79" s="180">
        <v>0</v>
      </c>
      <c r="BM79" s="180">
        <v>0</v>
      </c>
      <c r="BN79" s="180">
        <v>0</v>
      </c>
      <c r="BO79" s="180">
        <v>0</v>
      </c>
      <c r="BP79" s="180">
        <v>0</v>
      </c>
      <c r="BQ79" s="180">
        <v>0</v>
      </c>
      <c r="BR79" s="180"/>
      <c r="BS79" s="180">
        <v>0</v>
      </c>
      <c r="BT79" s="180"/>
      <c r="BU79" s="180">
        <v>0</v>
      </c>
      <c r="BV79" s="180">
        <v>0</v>
      </c>
      <c r="BW79" s="180">
        <v>0</v>
      </c>
      <c r="BX79" s="180">
        <v>332293</v>
      </c>
      <c r="BY79" s="180"/>
      <c r="BZ79" s="180">
        <v>0</v>
      </c>
      <c r="CA79" s="180">
        <v>0</v>
      </c>
      <c r="CB79" s="180">
        <v>0</v>
      </c>
      <c r="CC79" s="180">
        <v>0</v>
      </c>
      <c r="CD79" s="180">
        <v>0</v>
      </c>
      <c r="CE79" s="180"/>
      <c r="CF79" s="180">
        <v>0</v>
      </c>
      <c r="CG79" s="180">
        <v>0</v>
      </c>
      <c r="CH79" s="180">
        <v>0</v>
      </c>
      <c r="CI79" s="180">
        <v>0</v>
      </c>
      <c r="CJ79" s="180"/>
      <c r="CK79" s="180">
        <v>0</v>
      </c>
      <c r="CL79" s="180"/>
      <c r="CM79" s="180"/>
      <c r="CN79" s="180"/>
      <c r="CO79" s="180"/>
      <c r="CP79" s="180"/>
      <c r="CQ79" s="180"/>
      <c r="CR79" s="180"/>
      <c r="CS79" s="180"/>
      <c r="CT79" s="180"/>
      <c r="CU79" s="180"/>
    </row>
    <row r="80" spans="1:99" x14ac:dyDescent="0.3">
      <c r="A80" s="155">
        <v>368</v>
      </c>
      <c r="B80" s="180" t="s">
        <v>191</v>
      </c>
      <c r="C80" s="180"/>
      <c r="D80" s="180">
        <v>0</v>
      </c>
      <c r="E80" s="180">
        <v>235659</v>
      </c>
      <c r="F80" s="180">
        <v>0</v>
      </c>
      <c r="G80" s="180">
        <v>0</v>
      </c>
      <c r="H80" s="180"/>
      <c r="I80" s="180">
        <v>0</v>
      </c>
      <c r="J80" s="180">
        <v>0</v>
      </c>
      <c r="K80" s="180">
        <v>0</v>
      </c>
      <c r="L80" s="180">
        <v>0</v>
      </c>
      <c r="M80" s="180">
        <v>42070</v>
      </c>
      <c r="N80" s="180"/>
      <c r="O80" s="180">
        <v>0</v>
      </c>
      <c r="P80" s="180">
        <v>0</v>
      </c>
      <c r="Q80" s="180">
        <v>0</v>
      </c>
      <c r="R80" s="180">
        <v>268679</v>
      </c>
      <c r="S80" s="180">
        <v>1000</v>
      </c>
      <c r="T80" s="180">
        <v>0</v>
      </c>
      <c r="U80" s="180">
        <v>0</v>
      </c>
      <c r="V80" s="180">
        <v>0</v>
      </c>
      <c r="W80" s="180">
        <v>0</v>
      </c>
      <c r="X80" s="180">
        <v>843032</v>
      </c>
      <c r="Y80" s="180">
        <v>0</v>
      </c>
      <c r="Z80" s="180">
        <v>0</v>
      </c>
      <c r="AA80" s="180">
        <v>0</v>
      </c>
      <c r="AB80" s="180">
        <v>197988</v>
      </c>
      <c r="AC80" s="180"/>
      <c r="AD80" s="180">
        <v>0</v>
      </c>
      <c r="AE80" s="180">
        <v>0</v>
      </c>
      <c r="AF80" s="180">
        <v>0</v>
      </c>
      <c r="AG80" s="180">
        <v>1764</v>
      </c>
      <c r="AH80" s="180">
        <v>3738</v>
      </c>
      <c r="AI80" s="180">
        <v>0</v>
      </c>
      <c r="AJ80" s="180">
        <v>0</v>
      </c>
      <c r="AK80" s="180">
        <v>0</v>
      </c>
      <c r="AL80" s="180">
        <v>1056</v>
      </c>
      <c r="AM80" s="180"/>
      <c r="AN80" s="180">
        <v>0</v>
      </c>
      <c r="AO80" s="180"/>
      <c r="AP80" s="180">
        <v>0</v>
      </c>
      <c r="AQ80" s="180">
        <v>4071514</v>
      </c>
      <c r="AR80" s="180">
        <v>0</v>
      </c>
      <c r="AS80" s="180">
        <v>0</v>
      </c>
      <c r="AT80" s="180">
        <v>0</v>
      </c>
      <c r="AU80" s="180">
        <v>0</v>
      </c>
      <c r="AV80" s="180">
        <v>0</v>
      </c>
      <c r="AW80" s="180">
        <v>0</v>
      </c>
      <c r="AX80" s="180">
        <v>0</v>
      </c>
      <c r="AY80" s="180">
        <v>0</v>
      </c>
      <c r="AZ80" s="180">
        <v>0</v>
      </c>
      <c r="BA80" s="180">
        <v>0</v>
      </c>
      <c r="BB80" s="180">
        <v>0</v>
      </c>
      <c r="BC80" s="180">
        <v>0</v>
      </c>
      <c r="BD80" s="180">
        <v>0</v>
      </c>
      <c r="BE80" s="180">
        <v>0</v>
      </c>
      <c r="BF80" s="180">
        <v>0</v>
      </c>
      <c r="BG80" s="180">
        <v>0</v>
      </c>
      <c r="BH80" s="180">
        <v>0</v>
      </c>
      <c r="BI80" s="180">
        <v>0</v>
      </c>
      <c r="BJ80" s="180">
        <v>0</v>
      </c>
      <c r="BK80" s="180">
        <v>76623</v>
      </c>
      <c r="BL80" s="180">
        <v>0</v>
      </c>
      <c r="BM80" s="180">
        <v>0</v>
      </c>
      <c r="BN80" s="180">
        <v>0</v>
      </c>
      <c r="BO80" s="180">
        <v>0</v>
      </c>
      <c r="BP80" s="180">
        <v>0</v>
      </c>
      <c r="BQ80" s="180">
        <v>0</v>
      </c>
      <c r="BR80" s="180"/>
      <c r="BS80" s="180">
        <v>0</v>
      </c>
      <c r="BT80" s="180"/>
      <c r="BU80" s="180">
        <v>0</v>
      </c>
      <c r="BV80" s="180">
        <v>0</v>
      </c>
      <c r="BW80" s="180">
        <v>0</v>
      </c>
      <c r="BX80" s="180">
        <v>0</v>
      </c>
      <c r="BY80" s="180"/>
      <c r="BZ80" s="180">
        <v>0</v>
      </c>
      <c r="CA80" s="180">
        <v>0</v>
      </c>
      <c r="CB80" s="180">
        <v>0</v>
      </c>
      <c r="CC80" s="180">
        <v>0</v>
      </c>
      <c r="CD80" s="180">
        <v>0</v>
      </c>
      <c r="CE80" s="180"/>
      <c r="CF80" s="180">
        <v>0</v>
      </c>
      <c r="CG80" s="180">
        <v>0</v>
      </c>
      <c r="CH80" s="180">
        <v>0</v>
      </c>
      <c r="CI80" s="180">
        <v>0</v>
      </c>
      <c r="CJ80" s="180"/>
      <c r="CK80" s="180">
        <v>0</v>
      </c>
      <c r="CL80" s="180"/>
      <c r="CM80" s="180"/>
      <c r="CN80" s="180"/>
      <c r="CO80" s="180"/>
      <c r="CP80" s="180"/>
      <c r="CQ80" s="180"/>
      <c r="CR80" s="180"/>
      <c r="CS80" s="180"/>
      <c r="CT80" s="180"/>
      <c r="CU80" s="180"/>
    </row>
    <row r="81" spans="1:99" s="561" customFormat="1" x14ac:dyDescent="0.3">
      <c r="A81" s="560">
        <v>369</v>
      </c>
      <c r="B81" s="561" t="s">
        <v>196</v>
      </c>
      <c r="D81" s="561">
        <v>77456</v>
      </c>
      <c r="E81" s="561">
        <v>1130731</v>
      </c>
      <c r="F81" s="561">
        <v>349761</v>
      </c>
      <c r="G81" s="561">
        <v>121179</v>
      </c>
      <c r="I81" s="561">
        <v>5147204</v>
      </c>
      <c r="J81" s="561">
        <v>1171411</v>
      </c>
      <c r="K81" s="561">
        <v>6124508</v>
      </c>
      <c r="L81" s="561">
        <v>3490716</v>
      </c>
      <c r="M81" s="561">
        <v>2089013</v>
      </c>
      <c r="O81" s="561">
        <v>11732434</v>
      </c>
      <c r="P81" s="561">
        <v>37029</v>
      </c>
      <c r="Q81" s="561">
        <v>103582</v>
      </c>
      <c r="R81" s="561">
        <v>286509</v>
      </c>
      <c r="S81" s="561">
        <v>390168</v>
      </c>
      <c r="T81" s="561">
        <v>1458997</v>
      </c>
      <c r="U81" s="561">
        <v>156238</v>
      </c>
      <c r="V81" s="561">
        <v>208303</v>
      </c>
      <c r="W81" s="561">
        <v>743341</v>
      </c>
      <c r="X81" s="561">
        <v>8578168</v>
      </c>
      <c r="Y81" s="561">
        <v>106774000</v>
      </c>
      <c r="Z81" s="561">
        <v>2144430</v>
      </c>
      <c r="AA81" s="561">
        <v>107834</v>
      </c>
      <c r="AB81" s="561">
        <v>2300773</v>
      </c>
      <c r="AD81" s="561">
        <v>1052281</v>
      </c>
      <c r="AE81" s="561">
        <v>374665</v>
      </c>
      <c r="AF81" s="561">
        <v>13917404</v>
      </c>
      <c r="AG81" s="561">
        <v>3549333</v>
      </c>
      <c r="AH81" s="561">
        <v>495635</v>
      </c>
      <c r="AI81" s="561">
        <v>5572200</v>
      </c>
      <c r="AJ81" s="561">
        <v>837624</v>
      </c>
      <c r="AK81" s="561">
        <v>624860</v>
      </c>
      <c r="AL81" s="561">
        <v>135287</v>
      </c>
      <c r="AN81" s="561">
        <v>210737</v>
      </c>
      <c r="AP81" s="561">
        <v>15011</v>
      </c>
      <c r="AQ81" s="561">
        <v>11709122</v>
      </c>
      <c r="AR81" s="561">
        <v>88788</v>
      </c>
      <c r="AS81" s="561">
        <v>638410</v>
      </c>
      <c r="AT81" s="561">
        <v>4659391</v>
      </c>
      <c r="AU81" s="561">
        <v>342410</v>
      </c>
      <c r="AV81" s="561">
        <v>100408</v>
      </c>
      <c r="AW81" s="561">
        <v>11114874</v>
      </c>
      <c r="AX81" s="561">
        <v>153574</v>
      </c>
      <c r="AY81" s="561">
        <v>2166159</v>
      </c>
      <c r="AZ81" s="561">
        <v>572041</v>
      </c>
      <c r="BA81" s="561">
        <v>83956</v>
      </c>
      <c r="BB81" s="561">
        <v>143507</v>
      </c>
      <c r="BC81" s="561">
        <v>1141089</v>
      </c>
      <c r="BD81" s="561">
        <v>22831</v>
      </c>
      <c r="BE81" s="561">
        <v>5226039</v>
      </c>
      <c r="BF81" s="561">
        <v>576938</v>
      </c>
      <c r="BG81" s="561">
        <v>35771</v>
      </c>
      <c r="BH81" s="561">
        <v>257681</v>
      </c>
      <c r="BI81" s="561">
        <v>1080010</v>
      </c>
      <c r="BJ81" s="561">
        <v>364520</v>
      </c>
      <c r="BK81" s="561">
        <v>134933</v>
      </c>
      <c r="BL81" s="561">
        <v>820820</v>
      </c>
      <c r="BM81" s="561">
        <v>99096</v>
      </c>
      <c r="BN81" s="561">
        <v>2600277</v>
      </c>
      <c r="BO81" s="561">
        <v>4610852</v>
      </c>
      <c r="BP81" s="561">
        <v>18839241</v>
      </c>
      <c r="BQ81" s="561">
        <v>30119</v>
      </c>
      <c r="BS81" s="561">
        <v>213172</v>
      </c>
      <c r="BU81" s="561">
        <v>753284</v>
      </c>
      <c r="BV81" s="561">
        <v>1248307</v>
      </c>
      <c r="BW81" s="561">
        <v>2427991</v>
      </c>
      <c r="BX81" s="561">
        <v>2107262</v>
      </c>
      <c r="BZ81" s="561">
        <v>1420449</v>
      </c>
      <c r="CA81" s="561">
        <v>359823</v>
      </c>
      <c r="CB81" s="561">
        <v>2631951</v>
      </c>
      <c r="CC81" s="561">
        <v>106399</v>
      </c>
      <c r="CD81" s="561">
        <v>1031577</v>
      </c>
      <c r="CF81" s="561">
        <v>1140566</v>
      </c>
      <c r="CG81" s="561">
        <v>0</v>
      </c>
      <c r="CH81" s="561">
        <v>648778</v>
      </c>
      <c r="CI81" s="561">
        <v>1283512</v>
      </c>
      <c r="CK81" s="561">
        <v>28567</v>
      </c>
    </row>
    <row r="82" spans="1:99" s="561" customFormat="1" x14ac:dyDescent="0.3">
      <c r="A82" s="560">
        <v>370</v>
      </c>
      <c r="B82" s="561" t="s">
        <v>198</v>
      </c>
      <c r="D82" s="561">
        <v>0</v>
      </c>
      <c r="E82" s="561">
        <v>2087</v>
      </c>
      <c r="F82" s="561">
        <v>0</v>
      </c>
      <c r="G82" s="561">
        <v>12479</v>
      </c>
      <c r="I82" s="561">
        <v>254172</v>
      </c>
      <c r="J82" s="561">
        <v>28248</v>
      </c>
      <c r="K82" s="561">
        <v>856951</v>
      </c>
      <c r="L82" s="561">
        <v>0</v>
      </c>
      <c r="M82" s="561">
        <v>888248</v>
      </c>
      <c r="O82" s="561">
        <v>18621950</v>
      </c>
      <c r="P82" s="561">
        <v>0</v>
      </c>
      <c r="Q82" s="561">
        <v>0</v>
      </c>
      <c r="R82" s="561">
        <v>79116</v>
      </c>
      <c r="S82" s="561">
        <v>0</v>
      </c>
      <c r="T82" s="561">
        <v>1137780</v>
      </c>
      <c r="U82" s="561">
        <v>0</v>
      </c>
      <c r="V82" s="561">
        <v>0</v>
      </c>
      <c r="W82" s="561">
        <v>0</v>
      </c>
      <c r="X82" s="561">
        <v>0</v>
      </c>
      <c r="Y82" s="561">
        <v>2195000</v>
      </c>
      <c r="Z82" s="561">
        <v>176485</v>
      </c>
      <c r="AA82" s="561">
        <v>36000</v>
      </c>
      <c r="AB82" s="561">
        <v>458713</v>
      </c>
      <c r="AD82" s="561">
        <v>149532</v>
      </c>
      <c r="AE82" s="561">
        <v>7812</v>
      </c>
      <c r="AF82" s="561">
        <v>3659874</v>
      </c>
      <c r="AG82" s="561">
        <v>0</v>
      </c>
      <c r="AH82" s="561">
        <v>0</v>
      </c>
      <c r="AI82" s="561">
        <v>483255</v>
      </c>
      <c r="AJ82" s="561">
        <v>0</v>
      </c>
      <c r="AK82" s="561">
        <v>0</v>
      </c>
      <c r="AL82" s="561">
        <v>0</v>
      </c>
      <c r="AN82" s="561">
        <v>0</v>
      </c>
      <c r="AP82" s="561">
        <v>0</v>
      </c>
      <c r="AQ82" s="561">
        <v>1168891</v>
      </c>
      <c r="AR82" s="561">
        <v>0</v>
      </c>
      <c r="AS82" s="561">
        <v>0</v>
      </c>
      <c r="AT82" s="561">
        <v>539891</v>
      </c>
      <c r="AU82" s="561">
        <v>0</v>
      </c>
      <c r="AV82" s="561">
        <v>0</v>
      </c>
      <c r="AW82" s="561">
        <v>2601228</v>
      </c>
      <c r="AX82" s="561">
        <v>0</v>
      </c>
      <c r="AY82" s="561">
        <v>296964</v>
      </c>
      <c r="AZ82" s="561">
        <v>49750</v>
      </c>
      <c r="BA82" s="561">
        <v>0</v>
      </c>
      <c r="BB82" s="561">
        <v>0</v>
      </c>
      <c r="BC82" s="561">
        <v>245006</v>
      </c>
      <c r="BD82" s="561">
        <v>0</v>
      </c>
      <c r="BE82" s="561">
        <v>2200568</v>
      </c>
      <c r="BF82" s="561">
        <v>0</v>
      </c>
      <c r="BG82" s="561">
        <v>0</v>
      </c>
      <c r="BH82" s="561">
        <v>5013</v>
      </c>
      <c r="BI82" s="561">
        <v>46970</v>
      </c>
      <c r="BJ82" s="561">
        <v>0</v>
      </c>
      <c r="BK82" s="561">
        <v>0</v>
      </c>
      <c r="BL82" s="561">
        <v>30047</v>
      </c>
      <c r="BM82" s="561">
        <v>30000</v>
      </c>
      <c r="BN82" s="561">
        <v>1758412</v>
      </c>
      <c r="BO82" s="561">
        <v>1118642</v>
      </c>
      <c r="BP82" s="561">
        <v>1489519</v>
      </c>
      <c r="BQ82" s="561">
        <v>0</v>
      </c>
      <c r="BS82" s="561">
        <v>0</v>
      </c>
      <c r="BU82" s="561">
        <v>36510</v>
      </c>
      <c r="BV82" s="561">
        <v>0</v>
      </c>
      <c r="BW82" s="561">
        <v>2671926</v>
      </c>
      <c r="BX82" s="561">
        <v>417377</v>
      </c>
      <c r="BZ82" s="561">
        <v>307401</v>
      </c>
      <c r="CA82" s="561">
        <v>19287</v>
      </c>
      <c r="CB82" s="561">
        <v>142853</v>
      </c>
      <c r="CC82" s="561">
        <v>0</v>
      </c>
      <c r="CD82" s="561">
        <v>62100</v>
      </c>
      <c r="CF82" s="561">
        <v>100117</v>
      </c>
      <c r="CG82" s="561">
        <v>733250</v>
      </c>
      <c r="CH82" s="561">
        <v>61123</v>
      </c>
      <c r="CI82" s="561">
        <v>0</v>
      </c>
      <c r="CK82" s="561">
        <v>0</v>
      </c>
    </row>
    <row r="83" spans="1:99" s="561" customFormat="1" x14ac:dyDescent="0.3">
      <c r="A83" s="560">
        <v>371</v>
      </c>
      <c r="B83" s="561" t="s">
        <v>248</v>
      </c>
      <c r="D83" s="561">
        <v>0</v>
      </c>
      <c r="E83" s="561">
        <v>0</v>
      </c>
      <c r="F83" s="561">
        <v>0</v>
      </c>
      <c r="G83" s="561">
        <v>0</v>
      </c>
      <c r="I83" s="561">
        <v>0</v>
      </c>
      <c r="J83" s="561">
        <v>0</v>
      </c>
      <c r="K83" s="561">
        <v>0</v>
      </c>
      <c r="L83" s="561">
        <v>0</v>
      </c>
      <c r="M83" s="561">
        <v>0</v>
      </c>
      <c r="O83" s="561">
        <v>0</v>
      </c>
      <c r="P83" s="561">
        <v>0</v>
      </c>
      <c r="Q83" s="561">
        <v>0</v>
      </c>
      <c r="R83" s="561">
        <v>0</v>
      </c>
      <c r="S83" s="561">
        <v>0</v>
      </c>
      <c r="T83" s="561">
        <v>0</v>
      </c>
      <c r="U83" s="561">
        <v>0</v>
      </c>
      <c r="V83" s="561">
        <v>0</v>
      </c>
      <c r="W83" s="561">
        <v>0</v>
      </c>
      <c r="X83" s="561">
        <v>0</v>
      </c>
      <c r="Y83" s="561">
        <v>19665000</v>
      </c>
      <c r="Z83" s="561">
        <v>0</v>
      </c>
      <c r="AA83" s="561">
        <v>0</v>
      </c>
      <c r="AB83" s="561">
        <v>0</v>
      </c>
      <c r="AD83" s="561">
        <v>0</v>
      </c>
      <c r="AE83" s="561">
        <v>0</v>
      </c>
      <c r="AF83" s="561">
        <v>0</v>
      </c>
      <c r="AG83" s="561">
        <v>0</v>
      </c>
      <c r="AH83" s="561">
        <v>0</v>
      </c>
      <c r="AI83" s="561">
        <v>0</v>
      </c>
      <c r="AJ83" s="561">
        <v>0</v>
      </c>
      <c r="AK83" s="561">
        <v>0</v>
      </c>
      <c r="AL83" s="561">
        <v>0</v>
      </c>
      <c r="AN83" s="561">
        <v>0</v>
      </c>
      <c r="AP83" s="561">
        <v>0</v>
      </c>
      <c r="AQ83" s="561">
        <v>0</v>
      </c>
      <c r="AR83" s="561">
        <v>0</v>
      </c>
      <c r="AS83" s="561">
        <v>0</v>
      </c>
      <c r="AT83" s="561">
        <v>0</v>
      </c>
      <c r="AU83" s="561">
        <v>0</v>
      </c>
      <c r="AV83" s="561">
        <v>0</v>
      </c>
      <c r="AW83" s="561">
        <v>0</v>
      </c>
      <c r="AX83" s="561">
        <v>0</v>
      </c>
      <c r="AY83" s="561">
        <v>0</v>
      </c>
      <c r="AZ83" s="561">
        <v>0</v>
      </c>
      <c r="BA83" s="561">
        <v>0</v>
      </c>
      <c r="BB83" s="561">
        <v>0</v>
      </c>
      <c r="BC83" s="561">
        <v>0</v>
      </c>
      <c r="BD83" s="561">
        <v>0</v>
      </c>
      <c r="BE83" s="561">
        <v>0</v>
      </c>
      <c r="BF83" s="561">
        <v>0</v>
      </c>
      <c r="BG83" s="561">
        <v>0</v>
      </c>
      <c r="BH83" s="561">
        <v>0</v>
      </c>
      <c r="BI83" s="561">
        <v>0</v>
      </c>
      <c r="BJ83" s="561">
        <v>0</v>
      </c>
      <c r="BK83" s="561">
        <v>0</v>
      </c>
      <c r="BL83" s="561">
        <v>0</v>
      </c>
      <c r="BM83" s="561">
        <v>0</v>
      </c>
      <c r="BN83" s="561">
        <v>0</v>
      </c>
      <c r="BO83" s="561">
        <v>0</v>
      </c>
      <c r="BP83" s="561">
        <v>0</v>
      </c>
      <c r="BQ83" s="561">
        <v>0</v>
      </c>
      <c r="BS83" s="561">
        <v>0</v>
      </c>
      <c r="BU83" s="561">
        <v>0</v>
      </c>
      <c r="BV83" s="561">
        <v>0</v>
      </c>
      <c r="BW83" s="561">
        <v>0</v>
      </c>
      <c r="BX83" s="561">
        <v>0</v>
      </c>
      <c r="BZ83" s="561">
        <v>0</v>
      </c>
      <c r="CA83" s="561">
        <v>0</v>
      </c>
      <c r="CB83" s="561">
        <v>0</v>
      </c>
      <c r="CC83" s="561">
        <v>0</v>
      </c>
      <c r="CD83" s="561">
        <v>0</v>
      </c>
      <c r="CF83" s="561">
        <v>0</v>
      </c>
      <c r="CG83" s="561">
        <v>0</v>
      </c>
      <c r="CH83" s="561">
        <v>0</v>
      </c>
      <c r="CI83" s="561">
        <v>0</v>
      </c>
      <c r="CK83" s="561">
        <v>0</v>
      </c>
    </row>
    <row r="84" spans="1:99" x14ac:dyDescent="0.3">
      <c r="A84" s="155">
        <v>373</v>
      </c>
      <c r="B84" s="180" t="s">
        <v>304</v>
      </c>
      <c r="C84" s="180"/>
      <c r="D84" s="180">
        <v>343307</v>
      </c>
      <c r="E84" s="180">
        <v>640269</v>
      </c>
      <c r="F84" s="180">
        <v>406333</v>
      </c>
      <c r="G84" s="180">
        <v>111496</v>
      </c>
      <c r="H84" s="180"/>
      <c r="I84" s="180">
        <v>4169573</v>
      </c>
      <c r="J84" s="180">
        <v>1272237</v>
      </c>
      <c r="K84" s="180">
        <v>13552560</v>
      </c>
      <c r="L84" s="180">
        <v>5288505</v>
      </c>
      <c r="M84" s="180">
        <v>23924044</v>
      </c>
      <c r="N84" s="180"/>
      <c r="O84" s="180">
        <v>559346614</v>
      </c>
      <c r="P84" s="180">
        <v>201414</v>
      </c>
      <c r="Q84" s="180">
        <v>157195</v>
      </c>
      <c r="R84" s="180">
        <v>1121183</v>
      </c>
      <c r="S84" s="180">
        <v>726870</v>
      </c>
      <c r="T84" s="180">
        <v>279972</v>
      </c>
      <c r="U84" s="180">
        <v>81552</v>
      </c>
      <c r="V84" s="180">
        <v>114965</v>
      </c>
      <c r="W84" s="180">
        <v>1160911</v>
      </c>
      <c r="X84" s="180">
        <v>134105662</v>
      </c>
      <c r="Y84" s="180">
        <v>2245366000</v>
      </c>
      <c r="Z84" s="180">
        <v>7628072</v>
      </c>
      <c r="AA84" s="180">
        <v>236933</v>
      </c>
      <c r="AB84" s="180">
        <v>3537073</v>
      </c>
      <c r="AC84" s="180"/>
      <c r="AD84" s="180">
        <v>6343571</v>
      </c>
      <c r="AE84" s="180">
        <v>900406</v>
      </c>
      <c r="AF84" s="180">
        <v>26177829</v>
      </c>
      <c r="AG84" s="180">
        <v>33394524</v>
      </c>
      <c r="AH84" s="180">
        <v>0</v>
      </c>
      <c r="AI84" s="180">
        <v>17643678</v>
      </c>
      <c r="AJ84" s="180">
        <v>1419278</v>
      </c>
      <c r="AK84" s="180">
        <v>2088132</v>
      </c>
      <c r="AL84" s="180">
        <v>422053</v>
      </c>
      <c r="AM84" s="180"/>
      <c r="AN84" s="180">
        <v>579962</v>
      </c>
      <c r="AO84" s="180"/>
      <c r="AP84" s="180">
        <v>82069</v>
      </c>
      <c r="AQ84" s="180">
        <v>503783129</v>
      </c>
      <c r="AR84" s="180">
        <v>190323</v>
      </c>
      <c r="AS84" s="180">
        <v>1133985</v>
      </c>
      <c r="AT84" s="180">
        <v>18953353</v>
      </c>
      <c r="AU84" s="180">
        <v>641934</v>
      </c>
      <c r="AV84" s="180">
        <v>409339</v>
      </c>
      <c r="AW84" s="180">
        <v>38441874</v>
      </c>
      <c r="AX84" s="180">
        <v>109005</v>
      </c>
      <c r="AY84" s="180">
        <v>6309407</v>
      </c>
      <c r="AZ84" s="180">
        <v>3372938</v>
      </c>
      <c r="BA84" s="180">
        <v>288760</v>
      </c>
      <c r="BB84" s="180">
        <v>335144</v>
      </c>
      <c r="BC84" s="180">
        <v>4445394</v>
      </c>
      <c r="BD84" s="180">
        <v>57753</v>
      </c>
      <c r="BE84" s="180">
        <v>10444990</v>
      </c>
      <c r="BF84" s="180">
        <v>4175463</v>
      </c>
      <c r="BG84" s="180">
        <v>518590</v>
      </c>
      <c r="BH84" s="180">
        <v>631913</v>
      </c>
      <c r="BI84" s="180">
        <v>2236859</v>
      </c>
      <c r="BJ84" s="180">
        <v>153406</v>
      </c>
      <c r="BK84" s="180">
        <v>171598</v>
      </c>
      <c r="BL84" s="180">
        <v>2367969</v>
      </c>
      <c r="BM84" s="180">
        <v>1827199</v>
      </c>
      <c r="BN84" s="180">
        <v>11838293</v>
      </c>
      <c r="BO84" s="180">
        <v>9792825</v>
      </c>
      <c r="BP84" s="180">
        <v>414121885</v>
      </c>
      <c r="BQ84" s="180">
        <v>106236</v>
      </c>
      <c r="BR84" s="180"/>
      <c r="BS84" s="180">
        <v>402260</v>
      </c>
      <c r="BT84" s="180"/>
      <c r="BU84" s="180">
        <v>2451749</v>
      </c>
      <c r="BV84" s="180">
        <v>463941</v>
      </c>
      <c r="BW84" s="180">
        <v>23733020</v>
      </c>
      <c r="BX84" s="180">
        <v>4789259</v>
      </c>
      <c r="BY84" s="180"/>
      <c r="BZ84" s="180">
        <v>10996707</v>
      </c>
      <c r="CA84" s="180">
        <v>557986</v>
      </c>
      <c r="CB84" s="180">
        <v>10746922</v>
      </c>
      <c r="CC84" s="180">
        <v>124649</v>
      </c>
      <c r="CD84" s="180">
        <v>1617467</v>
      </c>
      <c r="CE84" s="180"/>
      <c r="CF84" s="180">
        <v>8982114</v>
      </c>
      <c r="CG84" s="180">
        <v>9241979</v>
      </c>
      <c r="CH84" s="180">
        <v>3427943</v>
      </c>
      <c r="CI84" s="180">
        <v>3770679</v>
      </c>
      <c r="CJ84" s="180"/>
      <c r="CK84" s="180">
        <v>77858</v>
      </c>
      <c r="CL84" s="180"/>
      <c r="CM84" s="180"/>
      <c r="CN84" s="180"/>
      <c r="CO84" s="180"/>
      <c r="CP84" s="180"/>
      <c r="CQ84" s="180"/>
      <c r="CR84" s="180"/>
      <c r="CS84" s="180"/>
      <c r="CT84" s="180"/>
      <c r="CU84" s="180"/>
    </row>
    <row r="85" spans="1:99" x14ac:dyDescent="0.3">
      <c r="A85" s="155">
        <v>375</v>
      </c>
      <c r="B85" s="180" t="s">
        <v>213</v>
      </c>
      <c r="C85" s="180"/>
      <c r="D85" s="180">
        <v>170422</v>
      </c>
      <c r="E85" s="180">
        <v>0</v>
      </c>
      <c r="F85" s="180">
        <v>1188889</v>
      </c>
      <c r="G85" s="180">
        <v>196100</v>
      </c>
      <c r="H85" s="180"/>
      <c r="I85" s="180">
        <v>2826189</v>
      </c>
      <c r="J85" s="180">
        <v>0</v>
      </c>
      <c r="K85" s="180">
        <v>2410713</v>
      </c>
      <c r="L85" s="180">
        <v>0</v>
      </c>
      <c r="M85" s="180">
        <v>0</v>
      </c>
      <c r="N85" s="180"/>
      <c r="O85" s="180">
        <v>233226127</v>
      </c>
      <c r="P85" s="180">
        <v>0</v>
      </c>
      <c r="Q85" s="180">
        <v>0</v>
      </c>
      <c r="R85" s="180">
        <v>0</v>
      </c>
      <c r="S85" s="180">
        <v>0</v>
      </c>
      <c r="T85" s="180">
        <v>0</v>
      </c>
      <c r="U85" s="180">
        <v>0</v>
      </c>
      <c r="V85" s="180">
        <v>180708</v>
      </c>
      <c r="W85" s="180">
        <v>2107304</v>
      </c>
      <c r="X85" s="180">
        <v>0</v>
      </c>
      <c r="Y85" s="180">
        <v>152205000</v>
      </c>
      <c r="Z85" s="180">
        <v>-3118964</v>
      </c>
      <c r="AA85" s="180">
        <v>264578</v>
      </c>
      <c r="AB85" s="180">
        <v>0</v>
      </c>
      <c r="AC85" s="180"/>
      <c r="AD85" s="180">
        <v>4203035</v>
      </c>
      <c r="AE85" s="180">
        <v>757200</v>
      </c>
      <c r="AF85" s="180">
        <v>3869556</v>
      </c>
      <c r="AG85" s="180">
        <v>0</v>
      </c>
      <c r="AH85" s="180">
        <v>2925970</v>
      </c>
      <c r="AI85" s="180">
        <v>5663702</v>
      </c>
      <c r="AJ85" s="180">
        <v>877167</v>
      </c>
      <c r="AK85" s="180">
        <v>824311</v>
      </c>
      <c r="AL85" s="180">
        <v>487081</v>
      </c>
      <c r="AM85" s="180"/>
      <c r="AN85" s="180">
        <v>2533726</v>
      </c>
      <c r="AO85" s="180"/>
      <c r="AP85" s="180">
        <v>0</v>
      </c>
      <c r="AQ85" s="180">
        <v>97826760</v>
      </c>
      <c r="AR85" s="180">
        <v>0</v>
      </c>
      <c r="AS85" s="180">
        <v>65726</v>
      </c>
      <c r="AT85" s="180">
        <v>9737751</v>
      </c>
      <c r="AU85" s="180">
        <v>0</v>
      </c>
      <c r="AV85" s="180">
        <v>0</v>
      </c>
      <c r="AW85" s="180">
        <v>0</v>
      </c>
      <c r="AX85" s="180">
        <v>42925</v>
      </c>
      <c r="AY85" s="180">
        <v>0</v>
      </c>
      <c r="AZ85" s="180">
        <v>0</v>
      </c>
      <c r="BA85" s="180">
        <v>338303</v>
      </c>
      <c r="BB85" s="180">
        <v>60460</v>
      </c>
      <c r="BC85" s="180">
        <v>2776399</v>
      </c>
      <c r="BD85" s="180">
        <v>0</v>
      </c>
      <c r="BE85" s="180">
        <v>0</v>
      </c>
      <c r="BF85" s="180">
        <v>900630</v>
      </c>
      <c r="BG85" s="180">
        <v>0</v>
      </c>
      <c r="BH85" s="180">
        <v>0</v>
      </c>
      <c r="BI85" s="180">
        <v>909025</v>
      </c>
      <c r="BJ85" s="180">
        <v>0</v>
      </c>
      <c r="BK85" s="180">
        <v>-35551</v>
      </c>
      <c r="BL85" s="180">
        <v>629065</v>
      </c>
      <c r="BM85" s="180">
        <v>345453</v>
      </c>
      <c r="BN85" s="180">
        <v>0</v>
      </c>
      <c r="BO85" s="180">
        <v>0</v>
      </c>
      <c r="BP85" s="180">
        <v>103781033</v>
      </c>
      <c r="BQ85" s="180">
        <v>0</v>
      </c>
      <c r="BR85" s="180"/>
      <c r="BS85" s="180">
        <v>493338</v>
      </c>
      <c r="BT85" s="180"/>
      <c r="BU85" s="180">
        <v>-603887</v>
      </c>
      <c r="BV85" s="180">
        <v>0</v>
      </c>
      <c r="BW85" s="180">
        <v>2717257</v>
      </c>
      <c r="BX85" s="180">
        <v>581936</v>
      </c>
      <c r="BY85" s="180"/>
      <c r="BZ85" s="180">
        <v>3569671</v>
      </c>
      <c r="CA85" s="180">
        <v>-160021</v>
      </c>
      <c r="CB85" s="180">
        <v>2868121</v>
      </c>
      <c r="CC85" s="180">
        <v>1312787</v>
      </c>
      <c r="CD85" s="180">
        <v>-73568</v>
      </c>
      <c r="CE85" s="180"/>
      <c r="CF85" s="180">
        <v>5417126</v>
      </c>
      <c r="CG85" s="180">
        <v>0</v>
      </c>
      <c r="CH85" s="180">
        <v>1046037</v>
      </c>
      <c r="CI85" s="180">
        <v>0</v>
      </c>
      <c r="CJ85" s="180"/>
      <c r="CK85" s="180">
        <v>27402</v>
      </c>
      <c r="CL85" s="180"/>
      <c r="CM85" s="180"/>
      <c r="CN85" s="180"/>
      <c r="CO85" s="180"/>
      <c r="CP85" s="180"/>
      <c r="CQ85" s="180"/>
      <c r="CR85" s="180"/>
      <c r="CS85" s="180"/>
      <c r="CT85" s="180"/>
      <c r="CU85" s="180"/>
    </row>
    <row r="86" spans="1:99" x14ac:dyDescent="0.3">
      <c r="A86" s="155">
        <v>376</v>
      </c>
      <c r="B86" s="180" t="s">
        <v>100</v>
      </c>
      <c r="C86" s="180"/>
      <c r="D86" s="180">
        <v>0</v>
      </c>
      <c r="E86" s="180">
        <v>0</v>
      </c>
      <c r="F86" s="180">
        <v>0</v>
      </c>
      <c r="G86" s="180">
        <v>0</v>
      </c>
      <c r="H86" s="180"/>
      <c r="I86" s="180">
        <v>-8633</v>
      </c>
      <c r="J86" s="180">
        <v>0</v>
      </c>
      <c r="K86" s="180">
        <v>0</v>
      </c>
      <c r="L86" s="180">
        <v>0</v>
      </c>
      <c r="M86" s="180">
        <v>0</v>
      </c>
      <c r="N86" s="180"/>
      <c r="O86" s="180">
        <v>-1</v>
      </c>
      <c r="P86" s="180">
        <v>0</v>
      </c>
      <c r="Q86" s="180">
        <v>20256</v>
      </c>
      <c r="R86" s="180">
        <v>0</v>
      </c>
      <c r="S86" s="180">
        <v>0</v>
      </c>
      <c r="T86" s="180">
        <v>0</v>
      </c>
      <c r="U86" s="180">
        <v>0</v>
      </c>
      <c r="V86" s="180">
        <v>-2</v>
      </c>
      <c r="W86" s="180">
        <v>0</v>
      </c>
      <c r="X86" s="180">
        <v>0</v>
      </c>
      <c r="Y86" s="180">
        <v>19359000</v>
      </c>
      <c r="Z86" s="180">
        <v>0</v>
      </c>
      <c r="AA86" s="180">
        <v>0</v>
      </c>
      <c r="AB86" s="180">
        <v>1383</v>
      </c>
      <c r="AC86" s="180"/>
      <c r="AD86" s="180">
        <v>0</v>
      </c>
      <c r="AE86" s="180">
        <v>0</v>
      </c>
      <c r="AF86" s="180">
        <v>0</v>
      </c>
      <c r="AG86" s="180">
        <v>0</v>
      </c>
      <c r="AH86" s="180">
        <v>-4</v>
      </c>
      <c r="AI86" s="180">
        <v>0</v>
      </c>
      <c r="AJ86" s="180">
        <v>0</v>
      </c>
      <c r="AK86" s="180">
        <v>0</v>
      </c>
      <c r="AL86" s="180">
        <v>0</v>
      </c>
      <c r="AM86" s="180"/>
      <c r="AN86" s="180">
        <v>0</v>
      </c>
      <c r="AO86" s="180"/>
      <c r="AP86" s="180">
        <v>0</v>
      </c>
      <c r="AQ86" s="180">
        <v>0</v>
      </c>
      <c r="AR86" s="180">
        <v>0</v>
      </c>
      <c r="AS86" s="180">
        <v>0</v>
      </c>
      <c r="AT86" s="180">
        <v>0</v>
      </c>
      <c r="AU86" s="180">
        <v>2</v>
      </c>
      <c r="AV86" s="180">
        <v>0</v>
      </c>
      <c r="AW86" s="180">
        <v>0</v>
      </c>
      <c r="AX86" s="180">
        <v>0</v>
      </c>
      <c r="AY86" s="180">
        <v>0</v>
      </c>
      <c r="AZ86" s="180">
        <v>213912</v>
      </c>
      <c r="BA86" s="180">
        <v>0</v>
      </c>
      <c r="BB86" s="180">
        <v>0</v>
      </c>
      <c r="BC86" s="180">
        <v>-51384</v>
      </c>
      <c r="BD86" s="180">
        <v>0</v>
      </c>
      <c r="BE86" s="180">
        <v>-49166</v>
      </c>
      <c r="BF86" s="180">
        <v>1</v>
      </c>
      <c r="BG86" s="180">
        <v>0</v>
      </c>
      <c r="BH86" s="180">
        <v>0</v>
      </c>
      <c r="BI86" s="180">
        <v>0</v>
      </c>
      <c r="BJ86" s="180">
        <v>0</v>
      </c>
      <c r="BK86" s="180">
        <v>0</v>
      </c>
      <c r="BL86" s="180">
        <v>0</v>
      </c>
      <c r="BM86" s="180">
        <v>0</v>
      </c>
      <c r="BN86" s="180">
        <v>0</v>
      </c>
      <c r="BO86" s="180">
        <v>0</v>
      </c>
      <c r="BP86" s="180">
        <v>0</v>
      </c>
      <c r="BQ86" s="180">
        <v>0</v>
      </c>
      <c r="BR86" s="180"/>
      <c r="BS86" s="180">
        <v>0</v>
      </c>
      <c r="BT86" s="180"/>
      <c r="BU86" s="180">
        <v>-1</v>
      </c>
      <c r="BV86" s="180">
        <v>0</v>
      </c>
      <c r="BW86" s="180">
        <v>0</v>
      </c>
      <c r="BX86" s="180">
        <v>0</v>
      </c>
      <c r="BY86" s="180"/>
      <c r="BZ86" s="180">
        <v>459494</v>
      </c>
      <c r="CA86" s="180">
        <v>0</v>
      </c>
      <c r="CB86" s="180">
        <v>0</v>
      </c>
      <c r="CC86" s="180">
        <v>0</v>
      </c>
      <c r="CD86" s="180">
        <v>0</v>
      </c>
      <c r="CE86" s="180"/>
      <c r="CF86" s="180">
        <v>115582</v>
      </c>
      <c r="CG86" s="180">
        <v>0</v>
      </c>
      <c r="CH86" s="180">
        <v>0</v>
      </c>
      <c r="CI86" s="180">
        <v>0</v>
      </c>
      <c r="CJ86" s="180"/>
      <c r="CK86" s="180">
        <v>0</v>
      </c>
      <c r="CL86" s="180"/>
      <c r="CM86" s="180"/>
      <c r="CN86" s="180"/>
      <c r="CO86" s="180"/>
      <c r="CP86" s="180"/>
      <c r="CQ86" s="180"/>
      <c r="CR86" s="180"/>
      <c r="CS86" s="180"/>
      <c r="CT86" s="180"/>
      <c r="CU86" s="180"/>
    </row>
    <row r="87" spans="1:99" x14ac:dyDescent="0.3">
      <c r="A87" s="155">
        <v>377</v>
      </c>
      <c r="B87" s="180" t="s">
        <v>101</v>
      </c>
      <c r="C87" s="180"/>
      <c r="D87" s="180">
        <v>0</v>
      </c>
      <c r="E87" s="180">
        <v>0</v>
      </c>
      <c r="F87" s="180">
        <v>0</v>
      </c>
      <c r="G87" s="180">
        <v>0</v>
      </c>
      <c r="H87" s="180"/>
      <c r="I87" s="180">
        <v>-25160</v>
      </c>
      <c r="J87" s="180">
        <v>0</v>
      </c>
      <c r="K87" s="180">
        <v>0</v>
      </c>
      <c r="L87" s="180">
        <v>0</v>
      </c>
      <c r="M87" s="180">
        <v>0</v>
      </c>
      <c r="N87" s="180"/>
      <c r="O87" s="180">
        <v>0</v>
      </c>
      <c r="P87" s="180">
        <v>0</v>
      </c>
      <c r="Q87" s="180">
        <v>0</v>
      </c>
      <c r="R87" s="180">
        <v>0</v>
      </c>
      <c r="S87" s="180">
        <v>0</v>
      </c>
      <c r="T87" s="180">
        <v>0</v>
      </c>
      <c r="U87" s="180">
        <v>0</v>
      </c>
      <c r="V87" s="180">
        <v>0</v>
      </c>
      <c r="W87" s="180">
        <v>0</v>
      </c>
      <c r="X87" s="180">
        <v>0</v>
      </c>
      <c r="Y87" s="180">
        <v>0</v>
      </c>
      <c r="Z87" s="180">
        <v>0</v>
      </c>
      <c r="AA87" s="180">
        <v>0</v>
      </c>
      <c r="AB87" s="180">
        <v>0</v>
      </c>
      <c r="AC87" s="180"/>
      <c r="AD87" s="180">
        <v>0</v>
      </c>
      <c r="AE87" s="180">
        <v>0</v>
      </c>
      <c r="AF87" s="180">
        <v>0</v>
      </c>
      <c r="AG87" s="180">
        <v>0</v>
      </c>
      <c r="AH87" s="180">
        <v>-1</v>
      </c>
      <c r="AI87" s="180">
        <v>0</v>
      </c>
      <c r="AJ87" s="180">
        <v>0</v>
      </c>
      <c r="AK87" s="180">
        <v>0</v>
      </c>
      <c r="AL87" s="180">
        <v>0</v>
      </c>
      <c r="AM87" s="180"/>
      <c r="AN87" s="180">
        <v>0</v>
      </c>
      <c r="AO87" s="180"/>
      <c r="AP87" s="180">
        <v>0</v>
      </c>
      <c r="AQ87" s="180">
        <v>0</v>
      </c>
      <c r="AR87" s="180">
        <v>0</v>
      </c>
      <c r="AS87" s="180">
        <v>0</v>
      </c>
      <c r="AT87" s="180">
        <v>932707</v>
      </c>
      <c r="AU87" s="180">
        <v>0</v>
      </c>
      <c r="AV87" s="180">
        <v>0</v>
      </c>
      <c r="AW87" s="180">
        <v>0</v>
      </c>
      <c r="AX87" s="180">
        <v>0</v>
      </c>
      <c r="AY87" s="180">
        <v>0</v>
      </c>
      <c r="AZ87" s="180">
        <v>0</v>
      </c>
      <c r="BA87" s="180">
        <v>0</v>
      </c>
      <c r="BB87" s="180">
        <v>0</v>
      </c>
      <c r="BC87" s="180">
        <v>-90903</v>
      </c>
      <c r="BD87" s="180">
        <v>0</v>
      </c>
      <c r="BE87" s="180">
        <v>0</v>
      </c>
      <c r="BF87" s="180">
        <v>-2</v>
      </c>
      <c r="BG87" s="180">
        <v>0</v>
      </c>
      <c r="BH87" s="180">
        <v>0</v>
      </c>
      <c r="BI87" s="180">
        <v>0</v>
      </c>
      <c r="BJ87" s="180">
        <v>0</v>
      </c>
      <c r="BK87" s="180">
        <v>0</v>
      </c>
      <c r="BL87" s="180">
        <v>0</v>
      </c>
      <c r="BM87" s="180">
        <v>0</v>
      </c>
      <c r="BN87" s="180">
        <v>0</v>
      </c>
      <c r="BO87" s="180">
        <v>0</v>
      </c>
      <c r="BP87" s="180">
        <v>0</v>
      </c>
      <c r="BQ87" s="180">
        <v>0</v>
      </c>
      <c r="BR87" s="180"/>
      <c r="BS87" s="180">
        <v>0</v>
      </c>
      <c r="BT87" s="180"/>
      <c r="BU87" s="180">
        <v>1</v>
      </c>
      <c r="BV87" s="180">
        <v>0</v>
      </c>
      <c r="BW87" s="180">
        <v>0</v>
      </c>
      <c r="BX87" s="180">
        <v>0</v>
      </c>
      <c r="BY87" s="180"/>
      <c r="BZ87" s="180">
        <v>0</v>
      </c>
      <c r="CA87" s="180">
        <v>0</v>
      </c>
      <c r="CB87" s="180">
        <v>0</v>
      </c>
      <c r="CC87" s="180">
        <v>0</v>
      </c>
      <c r="CD87" s="180">
        <v>0</v>
      </c>
      <c r="CE87" s="180"/>
      <c r="CF87" s="180">
        <v>0</v>
      </c>
      <c r="CG87" s="180">
        <v>0</v>
      </c>
      <c r="CH87" s="180">
        <v>0</v>
      </c>
      <c r="CI87" s="180">
        <v>0</v>
      </c>
      <c r="CJ87" s="180"/>
      <c r="CK87" s="180">
        <v>0</v>
      </c>
      <c r="CL87" s="180"/>
      <c r="CM87" s="180"/>
      <c r="CN87" s="180"/>
      <c r="CO87" s="180"/>
      <c r="CP87" s="180"/>
      <c r="CQ87" s="180"/>
      <c r="CR87" s="180"/>
      <c r="CS87" s="180"/>
      <c r="CT87" s="180"/>
      <c r="CU87" s="180"/>
    </row>
    <row r="88" spans="1:99" x14ac:dyDescent="0.3">
      <c r="A88" s="155">
        <v>378</v>
      </c>
      <c r="B88" s="180" t="s">
        <v>102</v>
      </c>
      <c r="C88" s="180"/>
      <c r="D88" s="180">
        <v>0</v>
      </c>
      <c r="E88" s="180">
        <v>0</v>
      </c>
      <c r="F88" s="180">
        <v>0</v>
      </c>
      <c r="G88" s="180">
        <v>0</v>
      </c>
      <c r="H88" s="180"/>
      <c r="I88" s="180">
        <v>0</v>
      </c>
      <c r="J88" s="180">
        <v>0</v>
      </c>
      <c r="K88" s="180">
        <v>0</v>
      </c>
      <c r="L88" s="180">
        <v>0</v>
      </c>
      <c r="M88" s="180">
        <v>0</v>
      </c>
      <c r="N88" s="180"/>
      <c r="O88" s="180">
        <v>0</v>
      </c>
      <c r="P88" s="180">
        <v>0</v>
      </c>
      <c r="Q88" s="180">
        <v>0</v>
      </c>
      <c r="R88" s="180">
        <v>0</v>
      </c>
      <c r="S88" s="180">
        <v>0</v>
      </c>
      <c r="T88" s="180">
        <v>0</v>
      </c>
      <c r="U88" s="180">
        <v>0</v>
      </c>
      <c r="V88" s="180">
        <v>0</v>
      </c>
      <c r="W88" s="180">
        <v>0</v>
      </c>
      <c r="X88" s="180">
        <v>0</v>
      </c>
      <c r="Y88" s="180">
        <v>0</v>
      </c>
      <c r="Z88" s="180">
        <v>0</v>
      </c>
      <c r="AA88" s="180">
        <v>0</v>
      </c>
      <c r="AB88" s="180">
        <v>0</v>
      </c>
      <c r="AC88" s="180"/>
      <c r="AD88" s="180">
        <v>0</v>
      </c>
      <c r="AE88" s="180">
        <v>0</v>
      </c>
      <c r="AF88" s="180">
        <v>0</v>
      </c>
      <c r="AG88" s="180">
        <v>0</v>
      </c>
      <c r="AH88" s="180">
        <v>0</v>
      </c>
      <c r="AI88" s="180">
        <v>0</v>
      </c>
      <c r="AJ88" s="180">
        <v>0</v>
      </c>
      <c r="AK88" s="180">
        <v>0</v>
      </c>
      <c r="AL88" s="180">
        <v>0</v>
      </c>
      <c r="AM88" s="180"/>
      <c r="AN88" s="180">
        <v>0</v>
      </c>
      <c r="AO88" s="180"/>
      <c r="AP88" s="180">
        <v>0</v>
      </c>
      <c r="AQ88" s="180">
        <v>0</v>
      </c>
      <c r="AR88" s="180">
        <v>0</v>
      </c>
      <c r="AS88" s="180">
        <v>0</v>
      </c>
      <c r="AT88" s="180">
        <v>0</v>
      </c>
      <c r="AU88" s="180">
        <v>0</v>
      </c>
      <c r="AV88" s="180">
        <v>0</v>
      </c>
      <c r="AW88" s="180">
        <v>0</v>
      </c>
      <c r="AX88" s="180">
        <v>0</v>
      </c>
      <c r="AY88" s="180">
        <v>0</v>
      </c>
      <c r="AZ88" s="180">
        <v>0</v>
      </c>
      <c r="BA88" s="180">
        <v>0</v>
      </c>
      <c r="BB88" s="180">
        <v>0</v>
      </c>
      <c r="BC88" s="180">
        <v>-65775</v>
      </c>
      <c r="BD88" s="180">
        <v>0</v>
      </c>
      <c r="BE88" s="180">
        <v>0</v>
      </c>
      <c r="BF88" s="180">
        <v>0</v>
      </c>
      <c r="BG88" s="180">
        <v>0</v>
      </c>
      <c r="BH88" s="180">
        <v>0</v>
      </c>
      <c r="BI88" s="180">
        <v>0</v>
      </c>
      <c r="BJ88" s="180">
        <v>0</v>
      </c>
      <c r="BK88" s="180">
        <v>0</v>
      </c>
      <c r="BL88" s="180">
        <v>0</v>
      </c>
      <c r="BM88" s="180">
        <v>0</v>
      </c>
      <c r="BN88" s="180">
        <v>0</v>
      </c>
      <c r="BO88" s="180">
        <v>0</v>
      </c>
      <c r="BP88" s="180">
        <v>0</v>
      </c>
      <c r="BQ88" s="180">
        <v>0</v>
      </c>
      <c r="BR88" s="180"/>
      <c r="BS88" s="180">
        <v>0</v>
      </c>
      <c r="BT88" s="180"/>
      <c r="BU88" s="180">
        <v>0</v>
      </c>
      <c r="BV88" s="180">
        <v>0</v>
      </c>
      <c r="BW88" s="180">
        <v>0</v>
      </c>
      <c r="BX88" s="180">
        <v>0</v>
      </c>
      <c r="BY88" s="180"/>
      <c r="BZ88" s="180">
        <v>0</v>
      </c>
      <c r="CA88" s="180">
        <v>0</v>
      </c>
      <c r="CB88" s="180">
        <v>0</v>
      </c>
      <c r="CC88" s="180">
        <v>0</v>
      </c>
      <c r="CD88" s="180">
        <v>0</v>
      </c>
      <c r="CE88" s="180"/>
      <c r="CF88" s="180">
        <v>0</v>
      </c>
      <c r="CG88" s="180">
        <v>0</v>
      </c>
      <c r="CH88" s="180">
        <v>0</v>
      </c>
      <c r="CI88" s="180">
        <v>0</v>
      </c>
      <c r="CJ88" s="180"/>
      <c r="CK88" s="180">
        <v>0</v>
      </c>
      <c r="CL88" s="180"/>
      <c r="CM88" s="180"/>
      <c r="CN88" s="180"/>
      <c r="CO88" s="180"/>
      <c r="CP88" s="180"/>
      <c r="CQ88" s="180"/>
      <c r="CR88" s="180"/>
      <c r="CS88" s="180"/>
      <c r="CT88" s="180"/>
      <c r="CU88" s="180"/>
    </row>
    <row r="89" spans="1:99" x14ac:dyDescent="0.3">
      <c r="A89" s="155">
        <v>379</v>
      </c>
      <c r="B89" s="180" t="s">
        <v>110</v>
      </c>
      <c r="C89" s="180"/>
      <c r="D89" s="180">
        <v>3473430</v>
      </c>
      <c r="E89" s="180">
        <v>2604398</v>
      </c>
      <c r="F89" s="180">
        <v>1002185</v>
      </c>
      <c r="G89" s="180">
        <v>707066</v>
      </c>
      <c r="H89" s="180"/>
      <c r="I89" s="180">
        <v>4497346</v>
      </c>
      <c r="J89" s="180">
        <v>3055189</v>
      </c>
      <c r="K89" s="180">
        <v>10919794</v>
      </c>
      <c r="L89" s="180">
        <v>5320181</v>
      </c>
      <c r="M89" s="180">
        <v>17890742</v>
      </c>
      <c r="N89" s="180"/>
      <c r="O89" s="180">
        <v>207140209</v>
      </c>
      <c r="P89" s="180">
        <v>90349</v>
      </c>
      <c r="Q89" s="180">
        <v>342692</v>
      </c>
      <c r="R89" s="180">
        <v>1451998</v>
      </c>
      <c r="S89" s="180">
        <v>1343231</v>
      </c>
      <c r="T89" s="180">
        <v>1618952</v>
      </c>
      <c r="U89" s="180">
        <v>482338</v>
      </c>
      <c r="V89" s="180">
        <v>448034</v>
      </c>
      <c r="W89" s="180">
        <v>2457412</v>
      </c>
      <c r="X89" s="180">
        <v>42385862</v>
      </c>
      <c r="Y89" s="180">
        <v>278986000</v>
      </c>
      <c r="Z89" s="180">
        <v>6046311</v>
      </c>
      <c r="AA89" s="180">
        <v>548838</v>
      </c>
      <c r="AB89" s="180">
        <v>4583164</v>
      </c>
      <c r="AC89" s="180"/>
      <c r="AD89" s="180">
        <v>4742240</v>
      </c>
      <c r="AE89" s="180">
        <v>2793105</v>
      </c>
      <c r="AF89" s="180">
        <v>28767755</v>
      </c>
      <c r="AG89" s="180">
        <v>9969619</v>
      </c>
      <c r="AH89" s="180">
        <v>3543815</v>
      </c>
      <c r="AI89" s="180">
        <v>9174181</v>
      </c>
      <c r="AJ89" s="180">
        <v>1580719</v>
      </c>
      <c r="AK89" s="180">
        <v>1911113</v>
      </c>
      <c r="AL89" s="180">
        <v>1025343</v>
      </c>
      <c r="AM89" s="180"/>
      <c r="AN89" s="180">
        <v>1075843</v>
      </c>
      <c r="AO89" s="180"/>
      <c r="AP89" s="180">
        <v>85247</v>
      </c>
      <c r="AQ89" s="180">
        <v>107053501</v>
      </c>
      <c r="AR89" s="180">
        <v>407121</v>
      </c>
      <c r="AS89" s="180">
        <v>2102446</v>
      </c>
      <c r="AT89" s="180">
        <v>13198260</v>
      </c>
      <c r="AU89" s="180">
        <v>708766</v>
      </c>
      <c r="AV89" s="180">
        <v>1224499</v>
      </c>
      <c r="AW89" s="180">
        <v>34001211</v>
      </c>
      <c r="AX89" s="180">
        <v>368532</v>
      </c>
      <c r="AY89" s="180">
        <v>6068333</v>
      </c>
      <c r="AZ89" s="180">
        <v>9979622</v>
      </c>
      <c r="BA89" s="180">
        <v>608519</v>
      </c>
      <c r="BB89" s="180">
        <v>333535</v>
      </c>
      <c r="BC89" s="180">
        <v>3981493</v>
      </c>
      <c r="BD89" s="180">
        <v>186932</v>
      </c>
      <c r="BE89" s="180">
        <v>15085054</v>
      </c>
      <c r="BF89" s="180">
        <v>2749338</v>
      </c>
      <c r="BG89" s="180">
        <v>869930</v>
      </c>
      <c r="BH89" s="180">
        <v>725940</v>
      </c>
      <c r="BI89" s="180">
        <v>1946730</v>
      </c>
      <c r="BJ89" s="180">
        <v>3384102</v>
      </c>
      <c r="BK89" s="180">
        <v>527559</v>
      </c>
      <c r="BL89" s="180">
        <v>2217394</v>
      </c>
      <c r="BM89" s="180">
        <v>1100335</v>
      </c>
      <c r="BN89" s="180">
        <v>11807014</v>
      </c>
      <c r="BO89" s="180">
        <v>9052742</v>
      </c>
      <c r="BP89" s="180">
        <v>149837645</v>
      </c>
      <c r="BQ89" s="180">
        <v>111867</v>
      </c>
      <c r="BR89" s="180"/>
      <c r="BS89" s="180">
        <v>961784</v>
      </c>
      <c r="BT89" s="180"/>
      <c r="BU89" s="180">
        <v>2525379</v>
      </c>
      <c r="BV89" s="180">
        <v>7350608</v>
      </c>
      <c r="BW89" s="180">
        <v>13327612</v>
      </c>
      <c r="BX89" s="180">
        <v>3642089</v>
      </c>
      <c r="BY89" s="180"/>
      <c r="BZ89" s="180">
        <v>3683636</v>
      </c>
      <c r="CA89" s="180">
        <v>789840</v>
      </c>
      <c r="CB89" s="180">
        <v>6601299</v>
      </c>
      <c r="CC89" s="180">
        <v>966469</v>
      </c>
      <c r="CD89" s="180">
        <v>1138641</v>
      </c>
      <c r="CE89" s="180"/>
      <c r="CF89" s="180">
        <v>9815681</v>
      </c>
      <c r="CG89" s="180">
        <v>4828201</v>
      </c>
      <c r="CH89" s="180">
        <v>842491</v>
      </c>
      <c r="CI89" s="180">
        <v>4336932</v>
      </c>
      <c r="CJ89" s="180"/>
      <c r="CK89" s="180">
        <v>83905</v>
      </c>
      <c r="CL89" s="180"/>
      <c r="CM89" s="180"/>
      <c r="CN89" s="180"/>
      <c r="CO89" s="180"/>
      <c r="CP89" s="180"/>
      <c r="CQ89" s="180"/>
      <c r="CR89" s="180"/>
      <c r="CS89" s="180"/>
      <c r="CT89" s="180"/>
      <c r="CU89" s="180"/>
    </row>
    <row r="90" spans="1:99" x14ac:dyDescent="0.3">
      <c r="A90" s="155">
        <v>380</v>
      </c>
      <c r="B90" s="180" t="s">
        <v>113</v>
      </c>
      <c r="C90" s="180"/>
      <c r="D90" s="180">
        <v>0</v>
      </c>
      <c r="E90" s="180">
        <v>4869</v>
      </c>
      <c r="F90" s="180">
        <v>6128</v>
      </c>
      <c r="G90" s="180">
        <v>2032</v>
      </c>
      <c r="H90" s="180"/>
      <c r="I90" s="180">
        <v>61179</v>
      </c>
      <c r="J90" s="180">
        <v>8930</v>
      </c>
      <c r="K90" s="180">
        <v>255834</v>
      </c>
      <c r="L90" s="180">
        <v>5907</v>
      </c>
      <c r="M90" s="180">
        <v>1061108</v>
      </c>
      <c r="N90" s="180"/>
      <c r="O90" s="180">
        <v>0</v>
      </c>
      <c r="P90" s="180">
        <v>288</v>
      </c>
      <c r="Q90" s="180">
        <v>5870</v>
      </c>
      <c r="R90" s="180">
        <v>3036</v>
      </c>
      <c r="S90" s="180">
        <v>28928</v>
      </c>
      <c r="T90" s="180">
        <v>19259</v>
      </c>
      <c r="U90" s="180">
        <v>113</v>
      </c>
      <c r="V90" s="180">
        <v>206</v>
      </c>
      <c r="W90" s="180">
        <v>57450</v>
      </c>
      <c r="X90" s="180">
        <v>554286</v>
      </c>
      <c r="Y90" s="180">
        <v>22470000</v>
      </c>
      <c r="Z90" s="180">
        <v>88237</v>
      </c>
      <c r="AA90" s="180">
        <v>3688</v>
      </c>
      <c r="AB90" s="180">
        <v>782141</v>
      </c>
      <c r="AC90" s="180"/>
      <c r="AD90" s="180">
        <v>2716</v>
      </c>
      <c r="AE90" s="180">
        <v>52718</v>
      </c>
      <c r="AF90" s="180">
        <v>803939</v>
      </c>
      <c r="AG90" s="180">
        <v>13515</v>
      </c>
      <c r="AH90" s="180">
        <v>67745</v>
      </c>
      <c r="AI90" s="180">
        <v>168236</v>
      </c>
      <c r="AJ90" s="180">
        <v>31675</v>
      </c>
      <c r="AK90" s="180">
        <v>8206</v>
      </c>
      <c r="AL90" s="180">
        <v>15146</v>
      </c>
      <c r="AM90" s="180"/>
      <c r="AN90" s="180">
        <v>25553</v>
      </c>
      <c r="AO90" s="180"/>
      <c r="AP90" s="180">
        <v>0</v>
      </c>
      <c r="AQ90" s="180">
        <v>1019621</v>
      </c>
      <c r="AR90" s="180">
        <v>3327</v>
      </c>
      <c r="AS90" s="180">
        <v>2002</v>
      </c>
      <c r="AT90" s="180">
        <v>56344</v>
      </c>
      <c r="AU90" s="180">
        <v>45053</v>
      </c>
      <c r="AV90" s="180">
        <v>17255</v>
      </c>
      <c r="AW90" s="180">
        <v>168486</v>
      </c>
      <c r="AX90" s="180">
        <v>3633</v>
      </c>
      <c r="AY90" s="180">
        <v>153449</v>
      </c>
      <c r="AZ90" s="180">
        <v>29395</v>
      </c>
      <c r="BA90" s="180">
        <v>11145</v>
      </c>
      <c r="BB90" s="180">
        <v>1299</v>
      </c>
      <c r="BC90" s="180">
        <v>21436</v>
      </c>
      <c r="BD90" s="180">
        <v>639</v>
      </c>
      <c r="BE90" s="180">
        <v>64710</v>
      </c>
      <c r="BF90" s="180">
        <v>59654</v>
      </c>
      <c r="BG90" s="180">
        <v>3145</v>
      </c>
      <c r="BH90" s="180">
        <v>47516</v>
      </c>
      <c r="BI90" s="180">
        <v>4184</v>
      </c>
      <c r="BJ90" s="180">
        <v>0</v>
      </c>
      <c r="BK90" s="180">
        <v>5221</v>
      </c>
      <c r="BL90" s="180">
        <v>13875</v>
      </c>
      <c r="BM90" s="180">
        <v>6991</v>
      </c>
      <c r="BN90" s="180">
        <v>3092</v>
      </c>
      <c r="BO90" s="180">
        <v>41553</v>
      </c>
      <c r="BP90" s="180">
        <v>458388</v>
      </c>
      <c r="BQ90" s="180">
        <v>876</v>
      </c>
      <c r="BR90" s="180"/>
      <c r="BS90" s="180">
        <v>23120</v>
      </c>
      <c r="BT90" s="180"/>
      <c r="BU90" s="180">
        <v>139132</v>
      </c>
      <c r="BV90" s="180">
        <v>9549</v>
      </c>
      <c r="BW90" s="180">
        <v>121336</v>
      </c>
      <c r="BX90" s="180">
        <v>70781</v>
      </c>
      <c r="BY90" s="180"/>
      <c r="BZ90" s="180">
        <v>840686</v>
      </c>
      <c r="CA90" s="180">
        <v>429</v>
      </c>
      <c r="CB90" s="180">
        <v>134663</v>
      </c>
      <c r="CC90" s="180">
        <v>10423</v>
      </c>
      <c r="CD90" s="180">
        <v>37743</v>
      </c>
      <c r="CE90" s="180"/>
      <c r="CF90" s="180">
        <v>6408</v>
      </c>
      <c r="CG90" s="180">
        <v>346528</v>
      </c>
      <c r="CH90" s="180">
        <v>132260</v>
      </c>
      <c r="CI90" s="180">
        <v>21997</v>
      </c>
      <c r="CJ90" s="180"/>
      <c r="CK90" s="180">
        <v>9244</v>
      </c>
      <c r="CL90" s="180"/>
      <c r="CM90" s="180"/>
      <c r="CN90" s="180"/>
      <c r="CO90" s="180"/>
      <c r="CP90" s="180"/>
      <c r="CQ90" s="180"/>
      <c r="CR90" s="180"/>
      <c r="CS90" s="180"/>
      <c r="CT90" s="180"/>
      <c r="CU90" s="180"/>
    </row>
    <row r="91" spans="1:99" x14ac:dyDescent="0.3">
      <c r="A91" s="155">
        <v>381</v>
      </c>
      <c r="B91" s="180" t="s">
        <v>105</v>
      </c>
      <c r="C91" s="180"/>
      <c r="D91" s="180">
        <v>3088463</v>
      </c>
      <c r="E91" s="180">
        <v>0</v>
      </c>
      <c r="F91" s="180">
        <v>4396813</v>
      </c>
      <c r="G91" s="180">
        <v>803503</v>
      </c>
      <c r="H91" s="180"/>
      <c r="I91" s="180">
        <v>17333177</v>
      </c>
      <c r="J91" s="180">
        <v>0</v>
      </c>
      <c r="K91" s="180">
        <v>54499184</v>
      </c>
      <c r="L91" s="180">
        <v>0</v>
      </c>
      <c r="M91" s="180">
        <v>0</v>
      </c>
      <c r="N91" s="180"/>
      <c r="O91" s="180">
        <v>1192709784</v>
      </c>
      <c r="P91" s="180">
        <v>0</v>
      </c>
      <c r="Q91" s="180">
        <v>0</v>
      </c>
      <c r="R91" s="180">
        <v>0</v>
      </c>
      <c r="S91" s="180">
        <v>0</v>
      </c>
      <c r="T91" s="180">
        <v>0</v>
      </c>
      <c r="U91" s="180">
        <v>0</v>
      </c>
      <c r="V91" s="180">
        <v>2291944</v>
      </c>
      <c r="W91" s="180">
        <v>13668544</v>
      </c>
      <c r="X91" s="180">
        <v>0</v>
      </c>
      <c r="Y91" s="180">
        <v>5005160000</v>
      </c>
      <c r="Z91" s="180">
        <v>19752466</v>
      </c>
      <c r="AA91" s="180">
        <v>3725325</v>
      </c>
      <c r="AB91" s="180">
        <v>0</v>
      </c>
      <c r="AC91" s="180"/>
      <c r="AD91" s="180">
        <v>10019325</v>
      </c>
      <c r="AE91" s="180">
        <v>5359317</v>
      </c>
      <c r="AF91" s="180">
        <v>145986910</v>
      </c>
      <c r="AG91" s="180">
        <v>0</v>
      </c>
      <c r="AH91" s="180">
        <v>6406783</v>
      </c>
      <c r="AI91" s="180">
        <v>30658093</v>
      </c>
      <c r="AJ91" s="180">
        <v>4322201</v>
      </c>
      <c r="AK91" s="180">
        <v>1203736</v>
      </c>
      <c r="AL91" s="180">
        <v>2386079</v>
      </c>
      <c r="AM91" s="180"/>
      <c r="AN91" s="180">
        <v>13699534</v>
      </c>
      <c r="AO91" s="180"/>
      <c r="AP91" s="180">
        <v>0</v>
      </c>
      <c r="AQ91" s="180">
        <v>302918405</v>
      </c>
      <c r="AR91" s="180">
        <v>0</v>
      </c>
      <c r="AS91" s="180">
        <v>2035443</v>
      </c>
      <c r="AT91" s="180">
        <v>39634371</v>
      </c>
      <c r="AU91" s="180">
        <v>4574162</v>
      </c>
      <c r="AV91" s="180">
        <v>0</v>
      </c>
      <c r="AW91" s="180">
        <v>0</v>
      </c>
      <c r="AX91" s="180">
        <v>5249906</v>
      </c>
      <c r="AY91" s="180">
        <v>0</v>
      </c>
      <c r="AZ91" s="180">
        <v>0</v>
      </c>
      <c r="BA91" s="180">
        <v>5509408</v>
      </c>
      <c r="BB91" s="180">
        <v>1134636</v>
      </c>
      <c r="BC91" s="180">
        <v>11848539</v>
      </c>
      <c r="BD91" s="180">
        <v>0</v>
      </c>
      <c r="BE91" s="180">
        <v>0</v>
      </c>
      <c r="BF91" s="180">
        <v>11497134</v>
      </c>
      <c r="BG91" s="180">
        <v>0</v>
      </c>
      <c r="BH91" s="180">
        <v>0</v>
      </c>
      <c r="BI91" s="180">
        <v>13462182</v>
      </c>
      <c r="BJ91" s="180">
        <v>0</v>
      </c>
      <c r="BK91" s="180">
        <v>8099962</v>
      </c>
      <c r="BL91" s="180">
        <v>3395693</v>
      </c>
      <c r="BM91" s="180">
        <v>2363971</v>
      </c>
      <c r="BN91" s="180">
        <v>0</v>
      </c>
      <c r="BO91" s="180">
        <v>36837876</v>
      </c>
      <c r="BP91" s="180">
        <v>1308536796</v>
      </c>
      <c r="BQ91" s="180">
        <v>0</v>
      </c>
      <c r="BR91" s="180"/>
      <c r="BS91" s="180">
        <v>1139197</v>
      </c>
      <c r="BT91" s="180"/>
      <c r="BU91" s="180">
        <v>4220688</v>
      </c>
      <c r="BV91" s="180">
        <v>0</v>
      </c>
      <c r="BW91" s="180">
        <v>82038175</v>
      </c>
      <c r="BX91" s="180">
        <v>13306267</v>
      </c>
      <c r="BY91" s="180"/>
      <c r="BZ91" s="180">
        <v>17326124</v>
      </c>
      <c r="CA91" s="180">
        <v>2291041</v>
      </c>
      <c r="CB91" s="180">
        <v>8882246</v>
      </c>
      <c r="CC91" s="180">
        <v>4479124</v>
      </c>
      <c r="CD91" s="180">
        <v>6174704</v>
      </c>
      <c r="CE91" s="180"/>
      <c r="CF91" s="180">
        <v>12514239</v>
      </c>
      <c r="CG91" s="180">
        <v>0</v>
      </c>
      <c r="CH91" s="180">
        <v>7711748</v>
      </c>
      <c r="CI91" s="180">
        <v>0</v>
      </c>
      <c r="CJ91" s="180"/>
      <c r="CK91" s="180">
        <v>1702392</v>
      </c>
      <c r="CL91" s="180"/>
      <c r="CM91" s="180"/>
      <c r="CN91" s="180"/>
      <c r="CO91" s="180"/>
      <c r="CP91" s="180"/>
      <c r="CQ91" s="180"/>
      <c r="CR91" s="180"/>
      <c r="CS91" s="180"/>
      <c r="CT91" s="180"/>
      <c r="CU91" s="180"/>
    </row>
    <row r="92" spans="1:99" x14ac:dyDescent="0.3">
      <c r="A92" s="155">
        <v>382</v>
      </c>
      <c r="B92" s="180" t="s">
        <v>106</v>
      </c>
      <c r="C92" s="180"/>
      <c r="D92" s="180">
        <v>0</v>
      </c>
      <c r="E92" s="180">
        <v>0</v>
      </c>
      <c r="F92" s="180">
        <v>0</v>
      </c>
      <c r="G92" s="180">
        <v>0</v>
      </c>
      <c r="H92" s="180"/>
      <c r="I92" s="180">
        <v>0</v>
      </c>
      <c r="J92" s="180">
        <v>0</v>
      </c>
      <c r="K92" s="180">
        <v>0</v>
      </c>
      <c r="L92" s="180">
        <v>0</v>
      </c>
      <c r="M92" s="180">
        <v>0</v>
      </c>
      <c r="N92" s="180"/>
      <c r="O92" s="180">
        <v>0</v>
      </c>
      <c r="P92" s="180">
        <v>0</v>
      </c>
      <c r="Q92" s="180">
        <v>0</v>
      </c>
      <c r="R92" s="180">
        <v>0</v>
      </c>
      <c r="S92" s="180">
        <v>0</v>
      </c>
      <c r="T92" s="180">
        <v>0</v>
      </c>
      <c r="U92" s="180">
        <v>0</v>
      </c>
      <c r="V92" s="180">
        <v>0</v>
      </c>
      <c r="W92" s="180">
        <v>0</v>
      </c>
      <c r="X92" s="180">
        <v>0</v>
      </c>
      <c r="Y92" s="180">
        <v>0</v>
      </c>
      <c r="Z92" s="180">
        <v>7149600</v>
      </c>
      <c r="AA92" s="180">
        <v>0</v>
      </c>
      <c r="AB92" s="180">
        <v>0</v>
      </c>
      <c r="AC92" s="180"/>
      <c r="AD92" s="180">
        <v>0</v>
      </c>
      <c r="AE92" s="180">
        <v>0</v>
      </c>
      <c r="AF92" s="180">
        <v>25847094</v>
      </c>
      <c r="AG92" s="180">
        <v>0</v>
      </c>
      <c r="AH92" s="180">
        <v>0</v>
      </c>
      <c r="AI92" s="180">
        <v>0</v>
      </c>
      <c r="AJ92" s="180">
        <v>0</v>
      </c>
      <c r="AK92" s="180">
        <v>0</v>
      </c>
      <c r="AL92" s="180">
        <v>0</v>
      </c>
      <c r="AM92" s="180"/>
      <c r="AN92" s="180">
        <v>0</v>
      </c>
      <c r="AO92" s="180"/>
      <c r="AP92" s="180">
        <v>0</v>
      </c>
      <c r="AQ92" s="180">
        <v>211869499</v>
      </c>
      <c r="AR92" s="180">
        <v>0</v>
      </c>
      <c r="AS92" s="180">
        <v>0</v>
      </c>
      <c r="AT92" s="180">
        <v>0</v>
      </c>
      <c r="AU92" s="180">
        <v>0</v>
      </c>
      <c r="AV92" s="180">
        <v>0</v>
      </c>
      <c r="AW92" s="180">
        <v>11589168</v>
      </c>
      <c r="AX92" s="180">
        <v>0</v>
      </c>
      <c r="AY92" s="180">
        <v>0</v>
      </c>
      <c r="AZ92" s="180">
        <v>0</v>
      </c>
      <c r="BA92" s="180">
        <v>0</v>
      </c>
      <c r="BB92" s="180">
        <v>0</v>
      </c>
      <c r="BC92" s="180">
        <v>11428476</v>
      </c>
      <c r="BD92" s="180">
        <v>0</v>
      </c>
      <c r="BE92" s="180">
        <v>0</v>
      </c>
      <c r="BF92" s="180">
        <v>0</v>
      </c>
      <c r="BG92" s="180">
        <v>0</v>
      </c>
      <c r="BH92" s="180">
        <v>0</v>
      </c>
      <c r="BI92" s="180">
        <v>0</v>
      </c>
      <c r="BJ92" s="180">
        <v>0</v>
      </c>
      <c r="BK92" s="180">
        <v>0</v>
      </c>
      <c r="BL92" s="180">
        <v>4604134</v>
      </c>
      <c r="BM92" s="180">
        <v>0</v>
      </c>
      <c r="BN92" s="180">
        <v>0</v>
      </c>
      <c r="BO92" s="180">
        <v>0</v>
      </c>
      <c r="BP92" s="180">
        <v>0</v>
      </c>
      <c r="BQ92" s="180">
        <v>0</v>
      </c>
      <c r="BR92" s="180"/>
      <c r="BS92" s="180">
        <v>0</v>
      </c>
      <c r="BT92" s="180"/>
      <c r="BU92" s="180">
        <v>0</v>
      </c>
      <c r="BV92" s="180">
        <v>0</v>
      </c>
      <c r="BW92" s="180">
        <v>0</v>
      </c>
      <c r="BX92" s="180">
        <v>6718328</v>
      </c>
      <c r="BY92" s="180"/>
      <c r="BZ92" s="180">
        <v>0</v>
      </c>
      <c r="CA92" s="180">
        <v>0</v>
      </c>
      <c r="CB92" s="180">
        <v>0</v>
      </c>
      <c r="CC92" s="180">
        <v>0</v>
      </c>
      <c r="CD92" s="180">
        <v>0</v>
      </c>
      <c r="CE92" s="180"/>
      <c r="CF92" s="180">
        <v>0</v>
      </c>
      <c r="CG92" s="180">
        <v>0</v>
      </c>
      <c r="CH92" s="180">
        <v>8504725</v>
      </c>
      <c r="CI92" s="180">
        <v>0</v>
      </c>
      <c r="CJ92" s="180"/>
      <c r="CK92" s="180">
        <v>0</v>
      </c>
      <c r="CL92" s="180"/>
      <c r="CM92" s="180"/>
      <c r="CN92" s="180"/>
      <c r="CO92" s="180"/>
      <c r="CP92" s="180"/>
      <c r="CQ92" s="180"/>
      <c r="CR92" s="180"/>
      <c r="CS92" s="180"/>
      <c r="CT92" s="180"/>
      <c r="CU92" s="180"/>
    </row>
    <row r="93" spans="1:99" x14ac:dyDescent="0.3">
      <c r="A93" s="155">
        <v>383</v>
      </c>
      <c r="B93" s="180" t="s">
        <v>212</v>
      </c>
      <c r="C93" s="180"/>
      <c r="D93" s="180">
        <v>0</v>
      </c>
      <c r="E93" s="180">
        <v>0</v>
      </c>
      <c r="F93" s="180">
        <v>0</v>
      </c>
      <c r="G93" s="180">
        <v>0</v>
      </c>
      <c r="H93" s="180"/>
      <c r="I93" s="180">
        <v>0</v>
      </c>
      <c r="J93" s="180">
        <v>0</v>
      </c>
      <c r="K93" s="180">
        <v>0</v>
      </c>
      <c r="L93" s="180">
        <v>0</v>
      </c>
      <c r="M93" s="180">
        <v>0</v>
      </c>
      <c r="N93" s="180"/>
      <c r="O93" s="180">
        <v>0</v>
      </c>
      <c r="P93" s="180">
        <v>0</v>
      </c>
      <c r="Q93" s="180">
        <v>0</v>
      </c>
      <c r="R93" s="180">
        <v>0</v>
      </c>
      <c r="S93" s="180">
        <v>0</v>
      </c>
      <c r="T93" s="180">
        <v>0</v>
      </c>
      <c r="U93" s="180">
        <v>0</v>
      </c>
      <c r="V93" s="180">
        <v>0</v>
      </c>
      <c r="W93" s="180">
        <v>0</v>
      </c>
      <c r="X93" s="180">
        <v>0</v>
      </c>
      <c r="Y93" s="180">
        <v>0</v>
      </c>
      <c r="Z93" s="180">
        <v>0</v>
      </c>
      <c r="AA93" s="180">
        <v>0</v>
      </c>
      <c r="AB93" s="180">
        <v>0</v>
      </c>
      <c r="AC93" s="180"/>
      <c r="AD93" s="180">
        <v>0</v>
      </c>
      <c r="AE93" s="180">
        <v>0</v>
      </c>
      <c r="AF93" s="180">
        <v>0</v>
      </c>
      <c r="AG93" s="180">
        <v>0</v>
      </c>
      <c r="AH93" s="180">
        <v>0</v>
      </c>
      <c r="AI93" s="180">
        <v>0</v>
      </c>
      <c r="AJ93" s="180">
        <v>11238</v>
      </c>
      <c r="AK93" s="180">
        <v>0</v>
      </c>
      <c r="AL93" s="180">
        <v>0</v>
      </c>
      <c r="AM93" s="180"/>
      <c r="AN93" s="180">
        <v>0</v>
      </c>
      <c r="AO93" s="180"/>
      <c r="AP93" s="180">
        <v>0</v>
      </c>
      <c r="AQ93" s="180">
        <v>0</v>
      </c>
      <c r="AR93" s="180">
        <v>0</v>
      </c>
      <c r="AS93" s="180">
        <v>0</v>
      </c>
      <c r="AT93" s="180">
        <v>140380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c r="BS93" s="180">
        <v>0</v>
      </c>
      <c r="BT93" s="180"/>
      <c r="BU93" s="180">
        <v>0</v>
      </c>
      <c r="BV93" s="180">
        <v>0</v>
      </c>
      <c r="BW93" s="180">
        <v>0</v>
      </c>
      <c r="BX93" s="180">
        <v>0</v>
      </c>
      <c r="BY93" s="180"/>
      <c r="BZ93" s="180">
        <v>0</v>
      </c>
      <c r="CA93" s="180">
        <v>0</v>
      </c>
      <c r="CB93" s="180">
        <v>8005</v>
      </c>
      <c r="CC93" s="180">
        <v>0</v>
      </c>
      <c r="CD93" s="180">
        <v>0</v>
      </c>
      <c r="CE93" s="180"/>
      <c r="CF93" s="180">
        <v>0</v>
      </c>
      <c r="CG93" s="180">
        <v>0</v>
      </c>
      <c r="CH93" s="180">
        <v>0</v>
      </c>
      <c r="CI93" s="180">
        <v>0</v>
      </c>
      <c r="CJ93" s="180"/>
      <c r="CK93" s="180">
        <v>0</v>
      </c>
      <c r="CL93" s="180"/>
      <c r="CM93" s="180"/>
      <c r="CN93" s="180"/>
      <c r="CO93" s="180"/>
      <c r="CP93" s="180"/>
      <c r="CQ93" s="180"/>
      <c r="CR93" s="180"/>
      <c r="CS93" s="180"/>
      <c r="CT93" s="180"/>
      <c r="CU93" s="180"/>
    </row>
    <row r="94" spans="1:99" x14ac:dyDescent="0.3">
      <c r="A94" s="155">
        <v>384</v>
      </c>
      <c r="B94" s="180" t="s">
        <v>116</v>
      </c>
      <c r="C94" s="180"/>
      <c r="D94" s="180">
        <v>0</v>
      </c>
      <c r="E94" s="180">
        <v>0</v>
      </c>
      <c r="F94" s="180">
        <v>0</v>
      </c>
      <c r="G94" s="180">
        <v>0</v>
      </c>
      <c r="H94" s="180"/>
      <c r="I94" s="180">
        <v>0</v>
      </c>
      <c r="J94" s="180">
        <v>0</v>
      </c>
      <c r="K94" s="180">
        <v>0</v>
      </c>
      <c r="L94" s="180">
        <v>0</v>
      </c>
      <c r="M94" s="180">
        <v>0</v>
      </c>
      <c r="N94" s="180"/>
      <c r="O94" s="180">
        <v>0</v>
      </c>
      <c r="P94" s="180">
        <v>0</v>
      </c>
      <c r="Q94" s="180">
        <v>0</v>
      </c>
      <c r="R94" s="180">
        <v>0</v>
      </c>
      <c r="S94" s="180">
        <v>0</v>
      </c>
      <c r="T94" s="180">
        <v>0</v>
      </c>
      <c r="U94" s="180">
        <v>0</v>
      </c>
      <c r="V94" s="180">
        <v>0</v>
      </c>
      <c r="W94" s="180">
        <v>0</v>
      </c>
      <c r="X94" s="180">
        <v>0</v>
      </c>
      <c r="Y94" s="180">
        <v>0</v>
      </c>
      <c r="Z94" s="180">
        <v>0</v>
      </c>
      <c r="AA94" s="180">
        <v>0</v>
      </c>
      <c r="AB94" s="180">
        <v>0</v>
      </c>
      <c r="AC94" s="180"/>
      <c r="AD94" s="180">
        <v>0</v>
      </c>
      <c r="AE94" s="180">
        <v>0</v>
      </c>
      <c r="AF94" s="180">
        <v>0</v>
      </c>
      <c r="AG94" s="180">
        <v>0</v>
      </c>
      <c r="AH94" s="180">
        <v>0</v>
      </c>
      <c r="AI94" s="180">
        <v>0</v>
      </c>
      <c r="AJ94" s="180">
        <v>0</v>
      </c>
      <c r="AK94" s="180">
        <v>0</v>
      </c>
      <c r="AL94" s="180">
        <v>0</v>
      </c>
      <c r="AM94" s="180"/>
      <c r="AN94" s="180">
        <v>0</v>
      </c>
      <c r="AO94" s="180"/>
      <c r="AP94" s="180">
        <v>0</v>
      </c>
      <c r="AQ94" s="180">
        <v>0</v>
      </c>
      <c r="AR94" s="180">
        <v>0</v>
      </c>
      <c r="AS94" s="180">
        <v>0</v>
      </c>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0</v>
      </c>
      <c r="BP94" s="180">
        <v>0</v>
      </c>
      <c r="BQ94" s="180">
        <v>0</v>
      </c>
      <c r="BR94" s="180"/>
      <c r="BS94" s="180">
        <v>0</v>
      </c>
      <c r="BT94" s="180"/>
      <c r="BU94" s="180">
        <v>0</v>
      </c>
      <c r="BV94" s="180">
        <v>0</v>
      </c>
      <c r="BW94" s="180">
        <v>0</v>
      </c>
      <c r="BX94" s="180">
        <v>0</v>
      </c>
      <c r="BY94" s="180"/>
      <c r="BZ94" s="180">
        <v>0</v>
      </c>
      <c r="CA94" s="180">
        <v>0</v>
      </c>
      <c r="CB94" s="180">
        <v>0</v>
      </c>
      <c r="CC94" s="180">
        <v>0</v>
      </c>
      <c r="CD94" s="180">
        <v>0</v>
      </c>
      <c r="CE94" s="180"/>
      <c r="CF94" s="180">
        <v>0</v>
      </c>
      <c r="CG94" s="180">
        <v>0</v>
      </c>
      <c r="CH94" s="180">
        <v>0</v>
      </c>
      <c r="CI94" s="180">
        <v>0</v>
      </c>
      <c r="CJ94" s="180"/>
      <c r="CK94" s="180">
        <v>0</v>
      </c>
      <c r="CL94" s="180"/>
      <c r="CM94" s="180"/>
      <c r="CN94" s="180"/>
      <c r="CO94" s="180"/>
      <c r="CP94" s="180"/>
      <c r="CQ94" s="180"/>
      <c r="CR94" s="180"/>
      <c r="CS94" s="180"/>
      <c r="CT94" s="180"/>
      <c r="CU94" s="180"/>
    </row>
    <row r="95" spans="1:99" x14ac:dyDescent="0.3">
      <c r="A95" s="155">
        <v>385</v>
      </c>
      <c r="B95" s="180" t="s">
        <v>107</v>
      </c>
      <c r="C95" s="180"/>
      <c r="D95" s="180">
        <v>4100909</v>
      </c>
      <c r="E95" s="180">
        <v>4807550</v>
      </c>
      <c r="F95" s="180">
        <v>1183722</v>
      </c>
      <c r="G95" s="180">
        <v>1048113</v>
      </c>
      <c r="H95" s="180"/>
      <c r="I95" s="180">
        <v>18286100</v>
      </c>
      <c r="J95" s="180">
        <v>5673073</v>
      </c>
      <c r="K95" s="180">
        <v>51520364</v>
      </c>
      <c r="L95" s="180">
        <v>9495058</v>
      </c>
      <c r="M95" s="180">
        <v>90485874</v>
      </c>
      <c r="N95" s="180"/>
      <c r="O95" s="180">
        <v>1506205992</v>
      </c>
      <c r="P95" s="180">
        <v>162718</v>
      </c>
      <c r="Q95" s="180">
        <v>949621</v>
      </c>
      <c r="R95" s="180">
        <v>10257646</v>
      </c>
      <c r="S95" s="180">
        <v>2871883</v>
      </c>
      <c r="T95" s="180">
        <v>5073076</v>
      </c>
      <c r="U95" s="180">
        <v>740202</v>
      </c>
      <c r="V95" s="180">
        <v>1248288</v>
      </c>
      <c r="W95" s="180">
        <v>5380606</v>
      </c>
      <c r="X95" s="180">
        <v>258822992</v>
      </c>
      <c r="Y95" s="180">
        <v>8786001000</v>
      </c>
      <c r="Z95" s="180">
        <v>15035061</v>
      </c>
      <c r="AA95" s="180">
        <v>2386148</v>
      </c>
      <c r="AB95" s="180">
        <v>10027349</v>
      </c>
      <c r="AC95" s="180"/>
      <c r="AD95" s="180">
        <v>14557427</v>
      </c>
      <c r="AE95" s="180">
        <v>3696891</v>
      </c>
      <c r="AF95" s="180">
        <v>120795888</v>
      </c>
      <c r="AG95" s="180">
        <v>59733473</v>
      </c>
      <c r="AH95" s="180">
        <v>6081224</v>
      </c>
      <c r="AI95" s="180">
        <v>24743901</v>
      </c>
      <c r="AJ95" s="180">
        <v>2875093</v>
      </c>
      <c r="AK95" s="180">
        <v>3632296</v>
      </c>
      <c r="AL95" s="180">
        <v>2075027</v>
      </c>
      <c r="AM95" s="180"/>
      <c r="AN95" s="180">
        <v>1766830</v>
      </c>
      <c r="AO95" s="180"/>
      <c r="AP95" s="180">
        <v>120498</v>
      </c>
      <c r="AQ95" s="180">
        <v>681227846</v>
      </c>
      <c r="AR95" s="180">
        <v>502148</v>
      </c>
      <c r="AS95" s="180">
        <v>3776790</v>
      </c>
      <c r="AT95" s="180">
        <v>66512297</v>
      </c>
      <c r="AU95" s="180">
        <v>1305697</v>
      </c>
      <c r="AV95" s="180">
        <v>2164677</v>
      </c>
      <c r="AW95" s="180">
        <v>138771667</v>
      </c>
      <c r="AX95" s="180">
        <v>764530</v>
      </c>
      <c r="AY95" s="180">
        <v>19565004</v>
      </c>
      <c r="AZ95" s="180">
        <v>36022308</v>
      </c>
      <c r="BA95" s="180">
        <v>672831</v>
      </c>
      <c r="BB95" s="180">
        <v>466226</v>
      </c>
      <c r="BC95" s="180">
        <v>14410558</v>
      </c>
      <c r="BD95" s="180">
        <v>353916</v>
      </c>
      <c r="BE95" s="180">
        <v>67689044</v>
      </c>
      <c r="BF95" s="180">
        <v>4603304</v>
      </c>
      <c r="BG95" s="180">
        <v>1850563</v>
      </c>
      <c r="BH95" s="180">
        <v>985694</v>
      </c>
      <c r="BI95" s="180">
        <v>4712603</v>
      </c>
      <c r="BJ95" s="180">
        <v>3796290</v>
      </c>
      <c r="BK95" s="180">
        <v>991184</v>
      </c>
      <c r="BL95" s="180">
        <v>4286683</v>
      </c>
      <c r="BM95" s="180">
        <v>1786259</v>
      </c>
      <c r="BN95" s="180">
        <v>37906638</v>
      </c>
      <c r="BO95" s="180">
        <v>31249737</v>
      </c>
      <c r="BP95" s="180">
        <v>1337595858</v>
      </c>
      <c r="BQ95" s="180">
        <v>166672</v>
      </c>
      <c r="BR95" s="180"/>
      <c r="BS95" s="180">
        <v>1989925</v>
      </c>
      <c r="BT95" s="180"/>
      <c r="BU95" s="180">
        <v>4362694</v>
      </c>
      <c r="BV95" s="180">
        <v>11198415</v>
      </c>
      <c r="BW95" s="180">
        <v>48919679</v>
      </c>
      <c r="BX95" s="180">
        <v>14324375</v>
      </c>
      <c r="BY95" s="180"/>
      <c r="BZ95" s="180">
        <v>27676679</v>
      </c>
      <c r="CA95" s="180">
        <v>1475161</v>
      </c>
      <c r="CB95" s="180">
        <v>15492437</v>
      </c>
      <c r="CC95" s="180">
        <v>1251891</v>
      </c>
      <c r="CD95" s="180">
        <v>2251057</v>
      </c>
      <c r="CE95" s="180"/>
      <c r="CF95" s="180">
        <v>22017361</v>
      </c>
      <c r="CG95" s="180">
        <v>39950333</v>
      </c>
      <c r="CH95" s="180">
        <v>9662390</v>
      </c>
      <c r="CI95" s="180">
        <v>12687775</v>
      </c>
      <c r="CJ95" s="180"/>
      <c r="CK95" s="180">
        <v>129283</v>
      </c>
      <c r="CL95" s="180"/>
      <c r="CM95" s="180"/>
      <c r="CN95" s="180"/>
      <c r="CO95" s="180"/>
      <c r="CP95" s="180"/>
      <c r="CQ95" s="180"/>
      <c r="CR95" s="180"/>
      <c r="CS95" s="180"/>
      <c r="CT95" s="180"/>
      <c r="CU95" s="180"/>
    </row>
    <row r="96" spans="1:99" x14ac:dyDescent="0.3">
      <c r="A96" s="155">
        <v>386</v>
      </c>
      <c r="B96" s="180" t="s">
        <v>185</v>
      </c>
      <c r="C96" s="180"/>
      <c r="D96" s="180">
        <v>0</v>
      </c>
      <c r="E96" s="180">
        <v>0</v>
      </c>
      <c r="F96" s="180">
        <v>0</v>
      </c>
      <c r="G96" s="180">
        <v>0</v>
      </c>
      <c r="H96" s="180"/>
      <c r="I96" s="180">
        <v>0</v>
      </c>
      <c r="J96" s="180">
        <v>0</v>
      </c>
      <c r="K96" s="180">
        <v>400000</v>
      </c>
      <c r="L96" s="180">
        <v>0</v>
      </c>
      <c r="M96" s="180">
        <v>0</v>
      </c>
      <c r="N96" s="180"/>
      <c r="O96" s="180">
        <v>1000000</v>
      </c>
      <c r="P96" s="180">
        <v>0</v>
      </c>
      <c r="Q96" s="180">
        <v>0</v>
      </c>
      <c r="R96" s="180">
        <v>0</v>
      </c>
      <c r="S96" s="180">
        <v>0</v>
      </c>
      <c r="T96" s="180">
        <v>0</v>
      </c>
      <c r="U96" s="180">
        <v>0</v>
      </c>
      <c r="V96" s="180">
        <v>0</v>
      </c>
      <c r="W96" s="180">
        <v>0</v>
      </c>
      <c r="X96" s="180">
        <v>1130530</v>
      </c>
      <c r="Y96" s="180">
        <v>0</v>
      </c>
      <c r="Z96" s="180">
        <v>0</v>
      </c>
      <c r="AA96" s="180">
        <v>0</v>
      </c>
      <c r="AB96" s="180">
        <v>0</v>
      </c>
      <c r="AC96" s="180"/>
      <c r="AD96" s="180">
        <v>22000</v>
      </c>
      <c r="AE96" s="180">
        <v>0</v>
      </c>
      <c r="AF96" s="180">
        <v>0</v>
      </c>
      <c r="AG96" s="180">
        <v>0</v>
      </c>
      <c r="AH96" s="180">
        <v>0</v>
      </c>
      <c r="AI96" s="180">
        <v>0</v>
      </c>
      <c r="AJ96" s="180">
        <v>0</v>
      </c>
      <c r="AK96" s="180">
        <v>0</v>
      </c>
      <c r="AL96" s="180">
        <v>0</v>
      </c>
      <c r="AM96" s="180"/>
      <c r="AN96" s="180">
        <v>0</v>
      </c>
      <c r="AO96" s="180"/>
      <c r="AP96" s="180">
        <v>0</v>
      </c>
      <c r="AQ96" s="180">
        <v>4391825</v>
      </c>
      <c r="AR96" s="180">
        <v>0</v>
      </c>
      <c r="AS96" s="180">
        <v>0</v>
      </c>
      <c r="AT96" s="180">
        <v>200000</v>
      </c>
      <c r="AU96" s="180">
        <v>0</v>
      </c>
      <c r="AV96" s="180">
        <v>0</v>
      </c>
      <c r="AW96" s="180">
        <v>0</v>
      </c>
      <c r="AX96" s="180">
        <v>61827</v>
      </c>
      <c r="AY96" s="180">
        <v>0</v>
      </c>
      <c r="AZ96" s="180">
        <v>0</v>
      </c>
      <c r="BA96" s="180">
        <v>0</v>
      </c>
      <c r="BB96" s="180">
        <v>0</v>
      </c>
      <c r="BC96" s="180">
        <v>1427275</v>
      </c>
      <c r="BD96" s="180">
        <v>0</v>
      </c>
      <c r="BE96" s="180">
        <v>0</v>
      </c>
      <c r="BF96" s="180">
        <v>0</v>
      </c>
      <c r="BG96" s="180">
        <v>0</v>
      </c>
      <c r="BH96" s="180">
        <v>0</v>
      </c>
      <c r="BI96" s="180">
        <v>0</v>
      </c>
      <c r="BJ96" s="180">
        <v>0</v>
      </c>
      <c r="BK96" s="180">
        <v>0</v>
      </c>
      <c r="BL96" s="180">
        <v>0</v>
      </c>
      <c r="BM96" s="180">
        <v>0</v>
      </c>
      <c r="BN96" s="180">
        <v>0</v>
      </c>
      <c r="BO96" s="180">
        <v>0</v>
      </c>
      <c r="BP96" s="180">
        <v>0</v>
      </c>
      <c r="BQ96" s="180">
        <v>0</v>
      </c>
      <c r="BR96" s="180"/>
      <c r="BS96" s="180">
        <v>0</v>
      </c>
      <c r="BT96" s="180"/>
      <c r="BU96" s="180">
        <v>0</v>
      </c>
      <c r="BV96" s="180">
        <v>0</v>
      </c>
      <c r="BW96" s="180">
        <v>0</v>
      </c>
      <c r="BX96" s="180">
        <v>332293</v>
      </c>
      <c r="BY96" s="180"/>
      <c r="BZ96" s="180">
        <v>0</v>
      </c>
      <c r="CA96" s="180">
        <v>0</v>
      </c>
      <c r="CB96" s="180">
        <v>0</v>
      </c>
      <c r="CC96" s="180">
        <v>0</v>
      </c>
      <c r="CD96" s="180">
        <v>0</v>
      </c>
      <c r="CE96" s="180"/>
      <c r="CF96" s="180">
        <v>0</v>
      </c>
      <c r="CG96" s="180">
        <v>0</v>
      </c>
      <c r="CH96" s="180">
        <v>0</v>
      </c>
      <c r="CI96" s="180">
        <v>0</v>
      </c>
      <c r="CJ96" s="180"/>
      <c r="CK96" s="180">
        <v>22628</v>
      </c>
      <c r="CL96" s="180"/>
      <c r="CM96" s="180"/>
      <c r="CN96" s="180"/>
      <c r="CO96" s="180"/>
      <c r="CP96" s="180"/>
      <c r="CQ96" s="180"/>
      <c r="CR96" s="180"/>
      <c r="CS96" s="180"/>
      <c r="CT96" s="180"/>
      <c r="CU96" s="180"/>
    </row>
    <row r="97" spans="1:99" x14ac:dyDescent="0.3">
      <c r="A97" s="155">
        <v>387</v>
      </c>
      <c r="B97" s="180" t="s">
        <v>186</v>
      </c>
      <c r="C97" s="180"/>
      <c r="D97" s="180">
        <v>0</v>
      </c>
      <c r="E97" s="180">
        <v>0</v>
      </c>
      <c r="F97" s="180">
        <v>0</v>
      </c>
      <c r="G97" s="180">
        <v>0</v>
      </c>
      <c r="H97" s="180"/>
      <c r="I97" s="180">
        <v>0</v>
      </c>
      <c r="J97" s="180">
        <v>0</v>
      </c>
      <c r="K97" s="180">
        <v>0</v>
      </c>
      <c r="L97" s="180">
        <v>0</v>
      </c>
      <c r="M97" s="180">
        <v>6036</v>
      </c>
      <c r="N97" s="180"/>
      <c r="O97" s="180">
        <v>70000</v>
      </c>
      <c r="P97" s="180">
        <v>0</v>
      </c>
      <c r="Q97" s="180">
        <v>0</v>
      </c>
      <c r="R97" s="180">
        <v>0</v>
      </c>
      <c r="S97" s="180">
        <v>0</v>
      </c>
      <c r="T97" s="180">
        <v>0</v>
      </c>
      <c r="U97" s="180">
        <v>0</v>
      </c>
      <c r="V97" s="180">
        <v>69550</v>
      </c>
      <c r="W97" s="180">
        <v>0</v>
      </c>
      <c r="X97" s="180">
        <v>0</v>
      </c>
      <c r="Y97" s="180">
        <v>160625000</v>
      </c>
      <c r="Z97" s="180">
        <v>0</v>
      </c>
      <c r="AA97" s="180">
        <v>0</v>
      </c>
      <c r="AB97" s="180">
        <v>0</v>
      </c>
      <c r="AC97" s="180"/>
      <c r="AD97" s="180">
        <v>0</v>
      </c>
      <c r="AE97" s="180">
        <v>0</v>
      </c>
      <c r="AF97" s="180">
        <v>0</v>
      </c>
      <c r="AG97" s="180">
        <v>305517</v>
      </c>
      <c r="AH97" s="180">
        <v>0</v>
      </c>
      <c r="AI97" s="180">
        <v>952332</v>
      </c>
      <c r="AJ97" s="180">
        <v>0</v>
      </c>
      <c r="AK97" s="180">
        <v>0</v>
      </c>
      <c r="AL97" s="180">
        <v>0</v>
      </c>
      <c r="AM97" s="180"/>
      <c r="AN97" s="180">
        <v>0</v>
      </c>
      <c r="AO97" s="180"/>
      <c r="AP97" s="180">
        <v>0</v>
      </c>
      <c r="AQ97" s="180">
        <v>0</v>
      </c>
      <c r="AR97" s="180">
        <v>0</v>
      </c>
      <c r="AS97" s="180">
        <v>0</v>
      </c>
      <c r="AT97" s="180">
        <v>0</v>
      </c>
      <c r="AU97" s="180">
        <v>0</v>
      </c>
      <c r="AV97" s="180">
        <v>0</v>
      </c>
      <c r="AW97" s="180">
        <v>0</v>
      </c>
      <c r="AX97" s="180">
        <v>0</v>
      </c>
      <c r="AY97" s="180">
        <v>0</v>
      </c>
      <c r="AZ97" s="180">
        <v>0</v>
      </c>
      <c r="BA97" s="180">
        <v>0</v>
      </c>
      <c r="BB97" s="180">
        <v>19067</v>
      </c>
      <c r="BC97" s="180">
        <v>0</v>
      </c>
      <c r="BD97" s="180">
        <v>0</v>
      </c>
      <c r="BE97" s="180">
        <v>116170</v>
      </c>
      <c r="BF97" s="180">
        <v>0</v>
      </c>
      <c r="BG97" s="180">
        <v>0</v>
      </c>
      <c r="BH97" s="180">
        <v>0</v>
      </c>
      <c r="BI97" s="180">
        <v>0</v>
      </c>
      <c r="BJ97" s="180">
        <v>0</v>
      </c>
      <c r="BK97" s="180">
        <v>0</v>
      </c>
      <c r="BL97" s="180">
        <v>0</v>
      </c>
      <c r="BM97" s="180">
        <v>0</v>
      </c>
      <c r="BN97" s="180">
        <v>0</v>
      </c>
      <c r="BO97" s="180">
        <v>0</v>
      </c>
      <c r="BP97" s="180">
        <v>13281314</v>
      </c>
      <c r="BQ97" s="180">
        <v>0</v>
      </c>
      <c r="BR97" s="180"/>
      <c r="BS97" s="180">
        <v>0</v>
      </c>
      <c r="BT97" s="180"/>
      <c r="BU97" s="180">
        <v>0</v>
      </c>
      <c r="BV97" s="180">
        <v>0</v>
      </c>
      <c r="BW97" s="180">
        <v>134371</v>
      </c>
      <c r="BX97" s="180">
        <v>0</v>
      </c>
      <c r="BY97" s="180"/>
      <c r="BZ97" s="180">
        <v>0</v>
      </c>
      <c r="CA97" s="180">
        <v>35375</v>
      </c>
      <c r="CB97" s="180">
        <v>0</v>
      </c>
      <c r="CC97" s="180">
        <v>0</v>
      </c>
      <c r="CD97" s="180">
        <v>0</v>
      </c>
      <c r="CE97" s="180"/>
      <c r="CF97" s="180">
        <v>0</v>
      </c>
      <c r="CG97" s="180">
        <v>0</v>
      </c>
      <c r="CH97" s="180">
        <v>0</v>
      </c>
      <c r="CI97" s="180">
        <v>0</v>
      </c>
      <c r="CJ97" s="180"/>
      <c r="CK97" s="180">
        <v>0</v>
      </c>
      <c r="CL97" s="180"/>
      <c r="CM97" s="180"/>
      <c r="CN97" s="180"/>
      <c r="CO97" s="180"/>
      <c r="CP97" s="180"/>
      <c r="CQ97" s="180"/>
      <c r="CR97" s="180"/>
      <c r="CS97" s="180"/>
      <c r="CT97" s="180"/>
      <c r="CU97" s="180"/>
    </row>
    <row r="98" spans="1:99" x14ac:dyDescent="0.3">
      <c r="A98" s="155">
        <v>388</v>
      </c>
      <c r="B98" s="180" t="s">
        <v>180</v>
      </c>
      <c r="C98" s="180"/>
      <c r="D98" s="180">
        <v>578664</v>
      </c>
      <c r="E98" s="180">
        <v>1568812</v>
      </c>
      <c r="F98" s="180">
        <v>464454</v>
      </c>
      <c r="G98" s="180">
        <v>201171</v>
      </c>
      <c r="H98" s="180"/>
      <c r="I98" s="180">
        <v>7050495</v>
      </c>
      <c r="J98" s="180">
        <v>1929329</v>
      </c>
      <c r="K98" s="180">
        <v>16650682</v>
      </c>
      <c r="L98" s="180">
        <v>3684001</v>
      </c>
      <c r="M98" s="180">
        <v>24783525</v>
      </c>
      <c r="N98" s="180"/>
      <c r="O98" s="180">
        <v>246832246</v>
      </c>
      <c r="P98" s="180">
        <v>43205</v>
      </c>
      <c r="Q98" s="180">
        <v>182586</v>
      </c>
      <c r="R98" s="180">
        <v>1271047</v>
      </c>
      <c r="S98" s="180">
        <v>781406</v>
      </c>
      <c r="T98" s="180">
        <v>915736</v>
      </c>
      <c r="U98" s="180">
        <v>167833</v>
      </c>
      <c r="V98" s="180">
        <v>160074</v>
      </c>
      <c r="W98" s="180">
        <v>1717941</v>
      </c>
      <c r="X98" s="180">
        <v>80628330</v>
      </c>
      <c r="Y98" s="180">
        <v>1019221000</v>
      </c>
      <c r="Z98" s="180">
        <v>5529283</v>
      </c>
      <c r="AA98" s="180">
        <v>221863</v>
      </c>
      <c r="AB98" s="180">
        <v>4061849</v>
      </c>
      <c r="AC98" s="180"/>
      <c r="AD98" s="180">
        <v>3834383</v>
      </c>
      <c r="AE98" s="180">
        <v>706271</v>
      </c>
      <c r="AF98" s="180">
        <v>26752704</v>
      </c>
      <c r="AG98" s="180">
        <v>7408830</v>
      </c>
      <c r="AH98" s="180">
        <v>1246267</v>
      </c>
      <c r="AI98" s="180">
        <v>10719797</v>
      </c>
      <c r="AJ98" s="180">
        <v>1088381</v>
      </c>
      <c r="AK98" s="180">
        <v>1566835</v>
      </c>
      <c r="AL98" s="180">
        <v>452150</v>
      </c>
      <c r="AM98" s="180"/>
      <c r="AN98" s="180">
        <v>704830</v>
      </c>
      <c r="AO98" s="180"/>
      <c r="AP98" s="180">
        <v>26595</v>
      </c>
      <c r="AQ98" s="180">
        <v>123426865</v>
      </c>
      <c r="AR98" s="180">
        <v>137198</v>
      </c>
      <c r="AS98" s="180">
        <v>535010</v>
      </c>
      <c r="AT98" s="180">
        <v>12362708</v>
      </c>
      <c r="AU98" s="180">
        <v>757595</v>
      </c>
      <c r="AV98" s="180">
        <v>430142</v>
      </c>
      <c r="AW98" s="180">
        <v>24612613</v>
      </c>
      <c r="AX98" s="180">
        <v>405667</v>
      </c>
      <c r="AY98" s="180">
        <v>5928842</v>
      </c>
      <c r="AZ98" s="180">
        <v>5122644</v>
      </c>
      <c r="BA98" s="180">
        <v>151975</v>
      </c>
      <c r="BB98" s="180">
        <v>125910</v>
      </c>
      <c r="BC98" s="180">
        <v>4446758</v>
      </c>
      <c r="BD98" s="180">
        <v>60820</v>
      </c>
      <c r="BE98" s="180">
        <v>13805341</v>
      </c>
      <c r="BF98" s="180">
        <v>1567269</v>
      </c>
      <c r="BG98" s="180">
        <v>284519</v>
      </c>
      <c r="BH98" s="180">
        <v>374171</v>
      </c>
      <c r="BI98" s="180">
        <v>1965849</v>
      </c>
      <c r="BJ98" s="180">
        <v>249121</v>
      </c>
      <c r="BK98" s="180">
        <v>407819</v>
      </c>
      <c r="BL98" s="180">
        <v>1143262</v>
      </c>
      <c r="BM98" s="180">
        <v>415725</v>
      </c>
      <c r="BN98" s="180">
        <v>9421609</v>
      </c>
      <c r="BO98" s="180">
        <v>12570229</v>
      </c>
      <c r="BP98" s="180">
        <v>308986539</v>
      </c>
      <c r="BQ98" s="180">
        <v>58969</v>
      </c>
      <c r="BR98" s="180"/>
      <c r="BS98" s="180">
        <v>390722</v>
      </c>
      <c r="BT98" s="180"/>
      <c r="BU98" s="180">
        <v>2087448</v>
      </c>
      <c r="BV98" s="180">
        <v>1143227</v>
      </c>
      <c r="BW98" s="180">
        <v>17290386</v>
      </c>
      <c r="BX98" s="180">
        <v>6465375</v>
      </c>
      <c r="BY98" s="180"/>
      <c r="BZ98" s="180">
        <v>6598866</v>
      </c>
      <c r="CA98" s="180">
        <v>273098</v>
      </c>
      <c r="CB98" s="180">
        <v>5936679</v>
      </c>
      <c r="CC98" s="180">
        <v>190454</v>
      </c>
      <c r="CD98" s="180">
        <v>845447</v>
      </c>
      <c r="CE98" s="180"/>
      <c r="CF98" s="180">
        <v>7508509</v>
      </c>
      <c r="CG98" s="180">
        <v>12502073</v>
      </c>
      <c r="CH98" s="180">
        <v>2153838</v>
      </c>
      <c r="CI98" s="180">
        <v>3217044</v>
      </c>
      <c r="CJ98" s="180"/>
      <c r="CK98" s="180">
        <v>65937</v>
      </c>
      <c r="CL98" s="180"/>
      <c r="CM98" s="180"/>
      <c r="CN98" s="180"/>
      <c r="CO98" s="180"/>
      <c r="CP98" s="180"/>
      <c r="CQ98" s="180"/>
      <c r="CR98" s="180"/>
      <c r="CS98" s="180"/>
      <c r="CT98" s="180"/>
      <c r="CU98" s="180"/>
    </row>
    <row r="99" spans="1:99" x14ac:dyDescent="0.3">
      <c r="A99" s="155">
        <v>389</v>
      </c>
      <c r="B99" s="180" t="s">
        <v>187</v>
      </c>
      <c r="C99" s="180"/>
      <c r="D99" s="180">
        <v>0</v>
      </c>
      <c r="E99" s="180">
        <v>0</v>
      </c>
      <c r="F99" s="180">
        <v>0</v>
      </c>
      <c r="G99" s="180">
        <v>0</v>
      </c>
      <c r="H99" s="180"/>
      <c r="I99" s="180">
        <v>-1945991</v>
      </c>
      <c r="J99" s="180">
        <v>0</v>
      </c>
      <c r="K99" s="180">
        <v>0</v>
      </c>
      <c r="L99" s="180">
        <v>0</v>
      </c>
      <c r="M99" s="180">
        <v>0</v>
      </c>
      <c r="N99" s="180"/>
      <c r="O99" s="180">
        <v>0</v>
      </c>
      <c r="P99" s="180">
        <v>0</v>
      </c>
      <c r="Q99" s="180">
        <v>0</v>
      </c>
      <c r="R99" s="180">
        <v>0</v>
      </c>
      <c r="S99" s="180">
        <v>0</v>
      </c>
      <c r="T99" s="180">
        <v>0</v>
      </c>
      <c r="U99" s="180">
        <v>0</v>
      </c>
      <c r="V99" s="180">
        <v>0</v>
      </c>
      <c r="W99" s="180">
        <v>0</v>
      </c>
      <c r="X99" s="180">
        <v>0</v>
      </c>
      <c r="Y99" s="180">
        <v>0</v>
      </c>
      <c r="Z99" s="180">
        <v>0</v>
      </c>
      <c r="AA99" s="180">
        <v>0</v>
      </c>
      <c r="AB99" s="180">
        <v>0</v>
      </c>
      <c r="AC99" s="180"/>
      <c r="AD99" s="180">
        <v>0</v>
      </c>
      <c r="AE99" s="180">
        <v>0</v>
      </c>
      <c r="AF99" s="180">
        <v>0</v>
      </c>
      <c r="AG99" s="180">
        <v>0</v>
      </c>
      <c r="AH99" s="180">
        <v>0</v>
      </c>
      <c r="AI99" s="180">
        <v>0</v>
      </c>
      <c r="AJ99" s="180">
        <v>-117866</v>
      </c>
      <c r="AK99" s="180">
        <v>0</v>
      </c>
      <c r="AL99" s="180">
        <v>0</v>
      </c>
      <c r="AM99" s="180"/>
      <c r="AN99" s="180">
        <v>0</v>
      </c>
      <c r="AO99" s="180"/>
      <c r="AP99" s="180">
        <v>0</v>
      </c>
      <c r="AQ99" s="180">
        <v>0</v>
      </c>
      <c r="AR99" s="180">
        <v>0</v>
      </c>
      <c r="AS99" s="180">
        <v>0</v>
      </c>
      <c r="AT99" s="180">
        <v>0</v>
      </c>
      <c r="AU99" s="180">
        <v>0</v>
      </c>
      <c r="AV99" s="180">
        <v>0</v>
      </c>
      <c r="AW99" s="180">
        <v>0</v>
      </c>
      <c r="AX99" s="180">
        <v>0</v>
      </c>
      <c r="AY99" s="180">
        <v>0</v>
      </c>
      <c r="AZ99" s="180">
        <v>0</v>
      </c>
      <c r="BA99" s="180">
        <v>0</v>
      </c>
      <c r="BB99" s="180">
        <v>0</v>
      </c>
      <c r="BC99" s="180">
        <v>0</v>
      </c>
      <c r="BD99" s="180">
        <v>0</v>
      </c>
      <c r="BE99" s="180">
        <v>0</v>
      </c>
      <c r="BF99" s="180">
        <v>0</v>
      </c>
      <c r="BG99" s="180">
        <v>0</v>
      </c>
      <c r="BH99" s="180">
        <v>0</v>
      </c>
      <c r="BI99" s="180">
        <v>0</v>
      </c>
      <c r="BJ99" s="180">
        <v>0</v>
      </c>
      <c r="BK99" s="180">
        <v>0</v>
      </c>
      <c r="BL99" s="180">
        <v>0</v>
      </c>
      <c r="BM99" s="180">
        <v>0</v>
      </c>
      <c r="BN99" s="180">
        <v>0</v>
      </c>
      <c r="BO99" s="180">
        <v>0</v>
      </c>
      <c r="BP99" s="180">
        <v>0</v>
      </c>
      <c r="BQ99" s="180">
        <v>0</v>
      </c>
      <c r="BR99" s="180"/>
      <c r="BS99" s="180">
        <v>0</v>
      </c>
      <c r="BT99" s="180"/>
      <c r="BU99" s="180">
        <v>0</v>
      </c>
      <c r="BV99" s="180">
        <v>0</v>
      </c>
      <c r="BW99" s="180">
        <v>0</v>
      </c>
      <c r="BX99" s="180">
        <v>0</v>
      </c>
      <c r="BY99" s="180"/>
      <c r="BZ99" s="180">
        <v>0</v>
      </c>
      <c r="CA99" s="180">
        <v>0</v>
      </c>
      <c r="CB99" s="180">
        <v>0</v>
      </c>
      <c r="CC99" s="180">
        <v>0</v>
      </c>
      <c r="CD99" s="180">
        <v>0</v>
      </c>
      <c r="CE99" s="180"/>
      <c r="CF99" s="180">
        <v>0</v>
      </c>
      <c r="CG99" s="180">
        <v>0</v>
      </c>
      <c r="CH99" s="180">
        <v>0</v>
      </c>
      <c r="CI99" s="180">
        <v>0</v>
      </c>
      <c r="CJ99" s="180"/>
      <c r="CK99" s="180">
        <v>0</v>
      </c>
      <c r="CL99" s="180"/>
      <c r="CM99" s="180"/>
      <c r="CN99" s="180"/>
      <c r="CO99" s="180"/>
      <c r="CP99" s="180"/>
      <c r="CQ99" s="180"/>
      <c r="CR99" s="180"/>
      <c r="CS99" s="180"/>
      <c r="CT99" s="180"/>
      <c r="CU99" s="180"/>
    </row>
    <row r="100" spans="1:99" x14ac:dyDescent="0.3">
      <c r="A100" s="155">
        <v>391</v>
      </c>
      <c r="B100" s="180" t="s">
        <v>192</v>
      </c>
      <c r="C100" s="180"/>
      <c r="D100" s="180">
        <v>148484</v>
      </c>
      <c r="E100" s="180">
        <v>239683</v>
      </c>
      <c r="F100" s="180">
        <v>31769</v>
      </c>
      <c r="G100" s="180">
        <v>21904</v>
      </c>
      <c r="H100" s="180"/>
      <c r="I100" s="180">
        <v>1400848</v>
      </c>
      <c r="J100" s="180">
        <v>171735</v>
      </c>
      <c r="K100" s="180">
        <v>2078740</v>
      </c>
      <c r="L100" s="180">
        <v>329701</v>
      </c>
      <c r="M100" s="180">
        <v>3334758</v>
      </c>
      <c r="N100" s="180"/>
      <c r="O100" s="180">
        <v>33139193</v>
      </c>
      <c r="P100" s="180">
        <v>4570</v>
      </c>
      <c r="Q100" s="180">
        <v>24392</v>
      </c>
      <c r="R100" s="180">
        <v>50181</v>
      </c>
      <c r="S100" s="180">
        <v>133813</v>
      </c>
      <c r="T100" s="180">
        <v>51770</v>
      </c>
      <c r="U100" s="180">
        <v>25651</v>
      </c>
      <c r="V100" s="180">
        <v>18178</v>
      </c>
      <c r="W100" s="180">
        <v>193007</v>
      </c>
      <c r="X100" s="180">
        <v>10293382</v>
      </c>
      <c r="Y100" s="180">
        <v>73364000</v>
      </c>
      <c r="Z100" s="180">
        <v>922501</v>
      </c>
      <c r="AA100" s="180">
        <v>21719</v>
      </c>
      <c r="AB100" s="180">
        <v>628076</v>
      </c>
      <c r="AC100" s="180"/>
      <c r="AD100" s="180">
        <v>365983</v>
      </c>
      <c r="AE100" s="180">
        <v>105563</v>
      </c>
      <c r="AF100" s="180">
        <v>2006511</v>
      </c>
      <c r="AG100" s="180">
        <v>1447223</v>
      </c>
      <c r="AH100" s="180">
        <v>112341</v>
      </c>
      <c r="AI100" s="180">
        <v>3204295</v>
      </c>
      <c r="AJ100" s="180">
        <v>199069</v>
      </c>
      <c r="AK100" s="180">
        <v>95741</v>
      </c>
      <c r="AL100" s="180">
        <v>76464</v>
      </c>
      <c r="AM100" s="180"/>
      <c r="AN100" s="180">
        <v>54842</v>
      </c>
      <c r="AO100" s="180"/>
      <c r="AP100" s="180">
        <v>2065</v>
      </c>
      <c r="AQ100" s="180">
        <v>24540108</v>
      </c>
      <c r="AR100" s="180">
        <v>10693</v>
      </c>
      <c r="AS100" s="180">
        <v>96048</v>
      </c>
      <c r="AT100" s="180">
        <v>2285428</v>
      </c>
      <c r="AU100" s="180">
        <v>47663</v>
      </c>
      <c r="AV100" s="180">
        <v>38268</v>
      </c>
      <c r="AW100" s="180">
        <v>7267031</v>
      </c>
      <c r="AX100" s="180">
        <v>67035</v>
      </c>
      <c r="AY100" s="180">
        <v>594730</v>
      </c>
      <c r="AZ100" s="180">
        <v>436786</v>
      </c>
      <c r="BA100" s="180">
        <v>25110</v>
      </c>
      <c r="BB100" s="180">
        <v>23838</v>
      </c>
      <c r="BC100" s="180">
        <v>370674</v>
      </c>
      <c r="BD100" s="180">
        <v>4150</v>
      </c>
      <c r="BE100" s="180">
        <v>1357144</v>
      </c>
      <c r="BF100" s="180">
        <v>172479</v>
      </c>
      <c r="BG100" s="180">
        <v>14442</v>
      </c>
      <c r="BH100" s="180">
        <v>23049</v>
      </c>
      <c r="BI100" s="180">
        <v>216145</v>
      </c>
      <c r="BJ100" s="180">
        <v>67142</v>
      </c>
      <c r="BK100" s="180">
        <v>304396</v>
      </c>
      <c r="BL100" s="180">
        <v>133298</v>
      </c>
      <c r="BM100" s="180">
        <v>91492</v>
      </c>
      <c r="BN100" s="180">
        <v>1354316</v>
      </c>
      <c r="BO100" s="180">
        <v>1564109</v>
      </c>
      <c r="BP100" s="180">
        <v>47170686</v>
      </c>
      <c r="BQ100" s="180">
        <v>2285</v>
      </c>
      <c r="BR100" s="180"/>
      <c r="BS100" s="180">
        <v>53970</v>
      </c>
      <c r="BT100" s="180"/>
      <c r="BU100" s="180">
        <v>967875</v>
      </c>
      <c r="BV100" s="180">
        <v>196272</v>
      </c>
      <c r="BW100" s="180">
        <v>2076888</v>
      </c>
      <c r="BX100" s="180">
        <v>727209</v>
      </c>
      <c r="BY100" s="180"/>
      <c r="BZ100" s="180">
        <v>648699</v>
      </c>
      <c r="CA100" s="180">
        <v>76899</v>
      </c>
      <c r="CB100" s="180">
        <v>865708</v>
      </c>
      <c r="CC100" s="180">
        <v>17676</v>
      </c>
      <c r="CD100" s="180">
        <v>80418</v>
      </c>
      <c r="CE100" s="180"/>
      <c r="CF100" s="180">
        <v>865517</v>
      </c>
      <c r="CG100" s="180">
        <v>1376271</v>
      </c>
      <c r="CH100" s="180">
        <v>320350</v>
      </c>
      <c r="CI100" s="180">
        <v>410786</v>
      </c>
      <c r="CJ100" s="180"/>
      <c r="CK100" s="180">
        <v>4082</v>
      </c>
      <c r="CL100" s="180"/>
      <c r="CM100" s="180"/>
      <c r="CN100" s="180"/>
      <c r="CO100" s="180"/>
      <c r="CP100" s="180"/>
      <c r="CQ100" s="180"/>
      <c r="CR100" s="180"/>
      <c r="CS100" s="180"/>
      <c r="CT100" s="180"/>
      <c r="CU100" s="180"/>
    </row>
    <row r="101" spans="1:99" x14ac:dyDescent="0.3">
      <c r="A101" s="155">
        <v>500</v>
      </c>
      <c r="B101" s="180" t="s">
        <v>175</v>
      </c>
      <c r="C101" s="180"/>
      <c r="D101" s="180">
        <v>73084</v>
      </c>
      <c r="E101" s="180">
        <v>375340</v>
      </c>
      <c r="F101" s="180">
        <v>68605</v>
      </c>
      <c r="G101" s="180">
        <v>42965</v>
      </c>
      <c r="H101" s="180"/>
      <c r="I101" s="180">
        <v>134001</v>
      </c>
      <c r="J101" s="180">
        <v>855969</v>
      </c>
      <c r="K101" s="180">
        <v>3946076</v>
      </c>
      <c r="L101" s="180">
        <v>124607</v>
      </c>
      <c r="M101" s="180">
        <v>12885045</v>
      </c>
      <c r="N101" s="180"/>
      <c r="O101" s="180">
        <v>114715821</v>
      </c>
      <c r="P101" s="180">
        <v>14583</v>
      </c>
      <c r="Q101" s="180">
        <v>22764</v>
      </c>
      <c r="R101" s="180">
        <v>657</v>
      </c>
      <c r="S101" s="180">
        <v>310262</v>
      </c>
      <c r="T101" s="180">
        <v>293947</v>
      </c>
      <c r="U101" s="180">
        <v>152503</v>
      </c>
      <c r="V101" s="180">
        <v>147027</v>
      </c>
      <c r="W101" s="180">
        <v>476390</v>
      </c>
      <c r="X101" s="180">
        <v>53019519</v>
      </c>
      <c r="Y101" s="180">
        <v>107759000</v>
      </c>
      <c r="Z101" s="180">
        <v>3349128</v>
      </c>
      <c r="AA101" s="180">
        <v>0</v>
      </c>
      <c r="AB101" s="180">
        <v>1190665</v>
      </c>
      <c r="AC101" s="180"/>
      <c r="AD101" s="180">
        <v>520261</v>
      </c>
      <c r="AE101" s="180">
        <v>176435</v>
      </c>
      <c r="AF101" s="180">
        <v>18741527</v>
      </c>
      <c r="AG101" s="180">
        <v>2556079</v>
      </c>
      <c r="AH101" s="180">
        <v>181221</v>
      </c>
      <c r="AI101" s="180">
        <v>133634</v>
      </c>
      <c r="AJ101" s="180">
        <v>42921</v>
      </c>
      <c r="AK101" s="180">
        <v>547562</v>
      </c>
      <c r="AL101" s="180">
        <v>251094</v>
      </c>
      <c r="AM101" s="180"/>
      <c r="AN101" s="180">
        <v>0</v>
      </c>
      <c r="AO101" s="180"/>
      <c r="AP101" s="180">
        <v>0</v>
      </c>
      <c r="AQ101" s="180">
        <v>42369538</v>
      </c>
      <c r="AR101" s="180">
        <v>82005</v>
      </c>
      <c r="AS101" s="180">
        <v>293329</v>
      </c>
      <c r="AT101" s="180">
        <v>2531809</v>
      </c>
      <c r="AU101" s="180">
        <v>98686</v>
      </c>
      <c r="AV101" s="180">
        <v>221227</v>
      </c>
      <c r="AW101" s="180">
        <v>22823019</v>
      </c>
      <c r="AX101" s="180">
        <v>67032</v>
      </c>
      <c r="AY101" s="180">
        <v>339133</v>
      </c>
      <c r="AZ101" s="180">
        <v>813384</v>
      </c>
      <c r="BA101" s="180">
        <v>84084</v>
      </c>
      <c r="BB101" s="180">
        <v>23776</v>
      </c>
      <c r="BC101" s="180">
        <v>996880</v>
      </c>
      <c r="BD101" s="180">
        <v>44701</v>
      </c>
      <c r="BE101" s="180">
        <v>12712645</v>
      </c>
      <c r="BF101" s="180">
        <v>156188</v>
      </c>
      <c r="BG101" s="180">
        <v>50523</v>
      </c>
      <c r="BH101" s="180">
        <v>119503</v>
      </c>
      <c r="BI101" s="180">
        <v>328972</v>
      </c>
      <c r="BJ101" s="180">
        <v>51972</v>
      </c>
      <c r="BK101" s="180">
        <v>356025</v>
      </c>
      <c r="BL101" s="180">
        <v>75428</v>
      </c>
      <c r="BM101" s="180">
        <v>144530</v>
      </c>
      <c r="BN101" s="180">
        <v>7963526</v>
      </c>
      <c r="BO101" s="180">
        <v>1180041</v>
      </c>
      <c r="BP101" s="180">
        <v>34281684</v>
      </c>
      <c r="BQ101" s="180">
        <v>85148</v>
      </c>
      <c r="BR101" s="180"/>
      <c r="BS101" s="180">
        <v>154043</v>
      </c>
      <c r="BT101" s="180"/>
      <c r="BU101" s="180">
        <v>174611</v>
      </c>
      <c r="BV101" s="180">
        <v>1748776</v>
      </c>
      <c r="BW101" s="180">
        <v>1866398</v>
      </c>
      <c r="BX101" s="180">
        <v>802315</v>
      </c>
      <c r="BY101" s="180"/>
      <c r="BZ101" s="180">
        <v>915643</v>
      </c>
      <c r="CA101" s="180">
        <v>12150</v>
      </c>
      <c r="CB101" s="180">
        <v>177342</v>
      </c>
      <c r="CC101" s="180">
        <v>229903</v>
      </c>
      <c r="CD101" s="180">
        <v>709224</v>
      </c>
      <c r="CE101" s="180"/>
      <c r="CF101" s="180">
        <v>2543150</v>
      </c>
      <c r="CG101" s="180">
        <v>11617</v>
      </c>
      <c r="CH101" s="180">
        <v>329807</v>
      </c>
      <c r="CI101" s="180">
        <v>897359</v>
      </c>
      <c r="CJ101" s="180"/>
      <c r="CK101" s="180">
        <v>6736</v>
      </c>
      <c r="CL101" s="180"/>
      <c r="CM101" s="180"/>
      <c r="CN101" s="180"/>
      <c r="CO101" s="180"/>
      <c r="CP101" s="180"/>
      <c r="CQ101" s="180"/>
      <c r="CR101" s="180"/>
      <c r="CS101" s="180"/>
      <c r="CT101" s="180"/>
      <c r="CU101" s="180"/>
    </row>
    <row r="102" spans="1:99" x14ac:dyDescent="0.3">
      <c r="A102" s="155">
        <v>502</v>
      </c>
      <c r="B102" s="180" t="s">
        <v>177</v>
      </c>
      <c r="C102" s="180"/>
      <c r="D102" s="180">
        <v>161294</v>
      </c>
      <c r="E102" s="180">
        <v>0</v>
      </c>
      <c r="F102" s="180">
        <v>1157953</v>
      </c>
      <c r="G102" s="180">
        <v>331558</v>
      </c>
      <c r="H102" s="180"/>
      <c r="I102" s="180">
        <v>4981669</v>
      </c>
      <c r="J102" s="180">
        <v>0</v>
      </c>
      <c r="K102" s="180">
        <v>4380702</v>
      </c>
      <c r="L102" s="180">
        <v>0</v>
      </c>
      <c r="M102" s="180">
        <v>1591613</v>
      </c>
      <c r="N102" s="180"/>
      <c r="O102" s="180">
        <v>265035470</v>
      </c>
      <c r="P102" s="180">
        <v>0</v>
      </c>
      <c r="Q102" s="180">
        <v>0</v>
      </c>
      <c r="R102" s="180">
        <v>0</v>
      </c>
      <c r="S102" s="180">
        <v>0</v>
      </c>
      <c r="T102" s="180">
        <v>0</v>
      </c>
      <c r="U102" s="180">
        <v>0</v>
      </c>
      <c r="V102" s="180">
        <v>179341</v>
      </c>
      <c r="W102" s="180">
        <v>2275853</v>
      </c>
      <c r="X102" s="180">
        <v>47517746</v>
      </c>
      <c r="Y102" s="180">
        <v>1168470000</v>
      </c>
      <c r="Z102" s="180">
        <v>4989320</v>
      </c>
      <c r="AA102" s="180">
        <v>258904</v>
      </c>
      <c r="AB102" s="180">
        <v>0</v>
      </c>
      <c r="AC102" s="180"/>
      <c r="AD102" s="180">
        <v>3978237</v>
      </c>
      <c r="AE102" s="180">
        <v>585746</v>
      </c>
      <c r="AF102" s="180">
        <v>15139628</v>
      </c>
      <c r="AG102" s="180">
        <v>1665415</v>
      </c>
      <c r="AH102" s="180">
        <v>2874463</v>
      </c>
      <c r="AI102" s="180">
        <v>6282547</v>
      </c>
      <c r="AJ102" s="180">
        <v>1055729</v>
      </c>
      <c r="AK102" s="180">
        <v>854839</v>
      </c>
      <c r="AL102" s="180">
        <v>505566</v>
      </c>
      <c r="AM102" s="180"/>
      <c r="AN102" s="180">
        <v>2814250</v>
      </c>
      <c r="AO102" s="180"/>
      <c r="AP102" s="180">
        <v>0</v>
      </c>
      <c r="AQ102" s="180">
        <v>213965787</v>
      </c>
      <c r="AR102" s="180">
        <v>0</v>
      </c>
      <c r="AS102" s="180">
        <v>65726</v>
      </c>
      <c r="AT102" s="180">
        <v>8817984</v>
      </c>
      <c r="AU102" s="180">
        <v>1100163</v>
      </c>
      <c r="AV102" s="180">
        <v>0</v>
      </c>
      <c r="AW102" s="180">
        <v>5629038</v>
      </c>
      <c r="AX102" s="180">
        <v>92297</v>
      </c>
      <c r="AY102" s="180">
        <v>0</v>
      </c>
      <c r="AZ102" s="180">
        <v>673596</v>
      </c>
      <c r="BA102" s="180">
        <v>303661</v>
      </c>
      <c r="BB102" s="180">
        <v>43252</v>
      </c>
      <c r="BC102" s="180">
        <v>6676459</v>
      </c>
      <c r="BD102" s="180">
        <v>0</v>
      </c>
      <c r="BE102" s="180">
        <v>0</v>
      </c>
      <c r="BF102" s="180">
        <v>711619</v>
      </c>
      <c r="BG102" s="180">
        <v>0</v>
      </c>
      <c r="BH102" s="180">
        <v>0</v>
      </c>
      <c r="BI102" s="180">
        <v>690279</v>
      </c>
      <c r="BJ102" s="180">
        <v>0</v>
      </c>
      <c r="BK102" s="180">
        <v>74831</v>
      </c>
      <c r="BL102" s="180">
        <v>6717847</v>
      </c>
      <c r="BM102" s="180">
        <v>373151</v>
      </c>
      <c r="BN102" s="180">
        <v>0</v>
      </c>
      <c r="BO102" s="180">
        <v>0</v>
      </c>
      <c r="BP102" s="180">
        <v>179781922</v>
      </c>
      <c r="BQ102" s="180">
        <v>0</v>
      </c>
      <c r="BR102" s="180"/>
      <c r="BS102" s="180">
        <v>464790</v>
      </c>
      <c r="BT102" s="180"/>
      <c r="BU102" s="180">
        <v>-22499</v>
      </c>
      <c r="BV102" s="180">
        <v>0</v>
      </c>
      <c r="BW102" s="180">
        <v>4060901</v>
      </c>
      <c r="BX102" s="180">
        <v>2653709</v>
      </c>
      <c r="BY102" s="180"/>
      <c r="BZ102" s="180">
        <v>3101983</v>
      </c>
      <c r="CA102" s="180">
        <v>167876</v>
      </c>
      <c r="CB102" s="180">
        <v>2558243</v>
      </c>
      <c r="CC102" s="180">
        <v>1110141</v>
      </c>
      <c r="CD102" s="180">
        <v>2755</v>
      </c>
      <c r="CE102" s="180"/>
      <c r="CF102" s="180">
        <v>13733698</v>
      </c>
      <c r="CG102" s="180">
        <v>0</v>
      </c>
      <c r="CH102" s="180">
        <v>7584987</v>
      </c>
      <c r="CI102" s="180">
        <v>0</v>
      </c>
      <c r="CJ102" s="180"/>
      <c r="CK102" s="180">
        <v>5440</v>
      </c>
      <c r="CL102" s="180"/>
      <c r="CM102" s="180"/>
      <c r="CN102" s="180"/>
      <c r="CO102" s="180"/>
      <c r="CP102" s="180"/>
      <c r="CQ102" s="180"/>
      <c r="CR102" s="180"/>
      <c r="CS102" s="180"/>
      <c r="CT102" s="180"/>
      <c r="CU102" s="180"/>
    </row>
    <row r="103" spans="1:99" x14ac:dyDescent="0.3">
      <c r="A103" s="155">
        <v>503</v>
      </c>
      <c r="B103" s="180" t="s">
        <v>178</v>
      </c>
      <c r="C103" s="180"/>
      <c r="D103" s="180">
        <v>0</v>
      </c>
      <c r="E103" s="180">
        <v>0</v>
      </c>
      <c r="F103" s="180">
        <v>28830</v>
      </c>
      <c r="G103" s="180">
        <v>3464</v>
      </c>
      <c r="H103" s="180"/>
      <c r="I103" s="180">
        <v>6335</v>
      </c>
      <c r="J103" s="180">
        <v>0</v>
      </c>
      <c r="K103" s="180">
        <v>3459705</v>
      </c>
      <c r="L103" s="180">
        <v>0</v>
      </c>
      <c r="M103" s="180">
        <v>0</v>
      </c>
      <c r="N103" s="180"/>
      <c r="O103" s="180">
        <v>2079846</v>
      </c>
      <c r="P103" s="180">
        <v>0</v>
      </c>
      <c r="Q103" s="180">
        <v>0</v>
      </c>
      <c r="R103" s="180">
        <v>0</v>
      </c>
      <c r="S103" s="180">
        <v>0</v>
      </c>
      <c r="T103" s="180">
        <v>0</v>
      </c>
      <c r="U103" s="180">
        <v>0</v>
      </c>
      <c r="V103" s="180">
        <v>3480</v>
      </c>
      <c r="W103" s="180">
        <v>85054</v>
      </c>
      <c r="X103" s="180">
        <v>110631</v>
      </c>
      <c r="Y103" s="180">
        <v>734585000</v>
      </c>
      <c r="Z103" s="180">
        <v>2914144</v>
      </c>
      <c r="AA103" s="180">
        <v>0</v>
      </c>
      <c r="AB103" s="180">
        <v>0</v>
      </c>
      <c r="AC103" s="180"/>
      <c r="AD103" s="180">
        <v>298754</v>
      </c>
      <c r="AE103" s="180">
        <v>52806</v>
      </c>
      <c r="AF103" s="180">
        <v>10235468</v>
      </c>
      <c r="AG103" s="180">
        <v>0</v>
      </c>
      <c r="AH103" s="180">
        <v>12550</v>
      </c>
      <c r="AI103" s="180">
        <v>258728</v>
      </c>
      <c r="AJ103" s="180">
        <v>249821</v>
      </c>
      <c r="AK103" s="180">
        <v>62876</v>
      </c>
      <c r="AL103" s="180">
        <v>3350</v>
      </c>
      <c r="AM103" s="180"/>
      <c r="AN103" s="180">
        <v>112881</v>
      </c>
      <c r="AO103" s="180"/>
      <c r="AP103" s="180">
        <v>0</v>
      </c>
      <c r="AQ103" s="180">
        <v>8279724</v>
      </c>
      <c r="AR103" s="180">
        <v>0</v>
      </c>
      <c r="AS103" s="180">
        <v>0</v>
      </c>
      <c r="AT103" s="180">
        <v>140380</v>
      </c>
      <c r="AU103" s="180">
        <v>33432</v>
      </c>
      <c r="AV103" s="180">
        <v>0</v>
      </c>
      <c r="AW103" s="180">
        <v>160454</v>
      </c>
      <c r="AX103" s="180">
        <v>17749</v>
      </c>
      <c r="AY103" s="180">
        <v>0</v>
      </c>
      <c r="AZ103" s="180">
        <v>0</v>
      </c>
      <c r="BA103" s="180">
        <v>44188</v>
      </c>
      <c r="BB103" s="180">
        <v>4750</v>
      </c>
      <c r="BC103" s="180">
        <v>286444</v>
      </c>
      <c r="BD103" s="180">
        <v>0</v>
      </c>
      <c r="BE103" s="180">
        <v>0</v>
      </c>
      <c r="BF103" s="180">
        <v>98930</v>
      </c>
      <c r="BG103" s="180">
        <v>0</v>
      </c>
      <c r="BH103" s="180">
        <v>0</v>
      </c>
      <c r="BI103" s="180">
        <v>41067</v>
      </c>
      <c r="BJ103" s="180">
        <v>0</v>
      </c>
      <c r="BK103" s="180">
        <v>20837</v>
      </c>
      <c r="BL103" s="180">
        <v>0</v>
      </c>
      <c r="BM103" s="180">
        <v>22800</v>
      </c>
      <c r="BN103" s="180">
        <v>0</v>
      </c>
      <c r="BO103" s="180">
        <v>0</v>
      </c>
      <c r="BP103" s="180">
        <v>41480093</v>
      </c>
      <c r="BQ103" s="180">
        <v>0</v>
      </c>
      <c r="BR103" s="180"/>
      <c r="BS103" s="180">
        <v>11640</v>
      </c>
      <c r="BT103" s="180"/>
      <c r="BU103" s="180">
        <v>52500</v>
      </c>
      <c r="BV103" s="180">
        <v>0</v>
      </c>
      <c r="BW103" s="180">
        <v>366045</v>
      </c>
      <c r="BX103" s="180">
        <v>283082</v>
      </c>
      <c r="BY103" s="180"/>
      <c r="BZ103" s="180">
        <v>195290</v>
      </c>
      <c r="CA103" s="180">
        <v>26515</v>
      </c>
      <c r="CB103" s="180">
        <v>41605</v>
      </c>
      <c r="CC103" s="180">
        <v>186057</v>
      </c>
      <c r="CD103" s="180">
        <v>44036</v>
      </c>
      <c r="CE103" s="180"/>
      <c r="CF103" s="180">
        <v>2835958</v>
      </c>
      <c r="CG103" s="180">
        <v>0</v>
      </c>
      <c r="CH103" s="180">
        <v>145790</v>
      </c>
      <c r="CI103" s="180">
        <v>0</v>
      </c>
      <c r="CJ103" s="180"/>
      <c r="CK103" s="180">
        <v>8186</v>
      </c>
      <c r="CL103" s="180"/>
      <c r="CM103" s="180"/>
      <c r="CN103" s="180"/>
      <c r="CO103" s="180"/>
      <c r="CP103" s="180"/>
      <c r="CQ103" s="180"/>
      <c r="CR103" s="180"/>
      <c r="CS103" s="180"/>
      <c r="CT103" s="180"/>
      <c r="CU103" s="180"/>
    </row>
    <row r="104" spans="1:99" x14ac:dyDescent="0.3">
      <c r="A104" s="155">
        <v>504</v>
      </c>
      <c r="B104" s="180" t="s">
        <v>182</v>
      </c>
      <c r="C104" s="180"/>
      <c r="D104" s="180">
        <v>0</v>
      </c>
      <c r="E104" s="180">
        <v>85641</v>
      </c>
      <c r="F104" s="180">
        <v>96711</v>
      </c>
      <c r="G104" s="180">
        <v>9371</v>
      </c>
      <c r="H104" s="180"/>
      <c r="I104" s="180">
        <v>2406439</v>
      </c>
      <c r="J104" s="180">
        <v>342803</v>
      </c>
      <c r="K104" s="180">
        <v>213420</v>
      </c>
      <c r="L104" s="180">
        <v>1514091</v>
      </c>
      <c r="M104" s="180">
        <v>1489331</v>
      </c>
      <c r="N104" s="180"/>
      <c r="O104" s="180">
        <v>14777725</v>
      </c>
      <c r="P104" s="180">
        <v>15412</v>
      </c>
      <c r="Q104" s="180">
        <v>52181</v>
      </c>
      <c r="R104" s="180">
        <v>9487</v>
      </c>
      <c r="S104" s="180">
        <v>183206</v>
      </c>
      <c r="T104" s="180">
        <v>45566</v>
      </c>
      <c r="U104" s="180">
        <v>45748</v>
      </c>
      <c r="V104" s="180">
        <v>6229</v>
      </c>
      <c r="W104" s="180">
        <v>159860</v>
      </c>
      <c r="X104" s="180">
        <v>5079061</v>
      </c>
      <c r="Y104" s="180">
        <v>99943000</v>
      </c>
      <c r="Z104" s="180">
        <v>1621116</v>
      </c>
      <c r="AA104" s="180">
        <v>0</v>
      </c>
      <c r="AB104" s="180">
        <v>417888</v>
      </c>
      <c r="AC104" s="180"/>
      <c r="AD104" s="180">
        <v>602368</v>
      </c>
      <c r="AE104" s="180">
        <v>31275</v>
      </c>
      <c r="AF104" s="180">
        <v>3923294</v>
      </c>
      <c r="AG104" s="180">
        <v>1181516</v>
      </c>
      <c r="AH104" s="180">
        <v>169919</v>
      </c>
      <c r="AI104" s="180">
        <v>3222215</v>
      </c>
      <c r="AJ104" s="180">
        <v>168747</v>
      </c>
      <c r="AK104" s="180">
        <v>72464</v>
      </c>
      <c r="AL104" s="180">
        <v>11949</v>
      </c>
      <c r="AM104" s="180"/>
      <c r="AN104" s="180">
        <v>89054</v>
      </c>
      <c r="AO104" s="180"/>
      <c r="AP104" s="180">
        <v>0</v>
      </c>
      <c r="AQ104" s="180">
        <v>12327509</v>
      </c>
      <c r="AR104" s="180">
        <v>8394</v>
      </c>
      <c r="AS104" s="180">
        <v>36911</v>
      </c>
      <c r="AT104" s="180">
        <v>1900300</v>
      </c>
      <c r="AU104" s="180">
        <v>67776</v>
      </c>
      <c r="AV104" s="180">
        <v>30455</v>
      </c>
      <c r="AW104" s="180">
        <v>2829059</v>
      </c>
      <c r="AX104" s="180">
        <v>160123</v>
      </c>
      <c r="AY104" s="180">
        <v>297010</v>
      </c>
      <c r="AZ104" s="180">
        <v>889772</v>
      </c>
      <c r="BA104" s="180">
        <v>8237</v>
      </c>
      <c r="BB104" s="180">
        <v>38084</v>
      </c>
      <c r="BC104" s="180">
        <v>169778</v>
      </c>
      <c r="BD104" s="180">
        <v>7036</v>
      </c>
      <c r="BE104" s="180">
        <v>1088622</v>
      </c>
      <c r="BF104" s="180">
        <v>741914</v>
      </c>
      <c r="BG104" s="180">
        <v>11383</v>
      </c>
      <c r="BH104" s="180">
        <v>160559</v>
      </c>
      <c r="BI104" s="180">
        <v>47765</v>
      </c>
      <c r="BJ104" s="180">
        <v>65537</v>
      </c>
      <c r="BK104" s="180">
        <v>213781</v>
      </c>
      <c r="BL104" s="180">
        <v>67811</v>
      </c>
      <c r="BM104" s="180">
        <v>13568</v>
      </c>
      <c r="BN104" s="180">
        <v>28504</v>
      </c>
      <c r="BO104" s="180">
        <v>1092174</v>
      </c>
      <c r="BP104" s="180">
        <v>27666538</v>
      </c>
      <c r="BQ104" s="180">
        <v>10313</v>
      </c>
      <c r="BR104" s="180"/>
      <c r="BS104" s="180">
        <v>25063</v>
      </c>
      <c r="BT104" s="180"/>
      <c r="BU104" s="180">
        <v>381174</v>
      </c>
      <c r="BV104" s="180">
        <v>83633</v>
      </c>
      <c r="BW104" s="180">
        <v>974493</v>
      </c>
      <c r="BX104" s="180">
        <v>1016977</v>
      </c>
      <c r="BY104" s="180"/>
      <c r="BZ104" s="180">
        <v>952036</v>
      </c>
      <c r="CA104" s="180">
        <v>87032</v>
      </c>
      <c r="CB104" s="180">
        <v>1021613</v>
      </c>
      <c r="CC104" s="180">
        <v>25219</v>
      </c>
      <c r="CD104" s="180">
        <v>143182</v>
      </c>
      <c r="CE104" s="180"/>
      <c r="CF104" s="180">
        <v>440388</v>
      </c>
      <c r="CG104" s="180">
        <v>889778</v>
      </c>
      <c r="CH104" s="180">
        <v>272262</v>
      </c>
      <c r="CI104" s="180">
        <v>437124</v>
      </c>
      <c r="CJ104" s="180"/>
      <c r="CK104" s="180">
        <v>5720</v>
      </c>
      <c r="CL104" s="180"/>
      <c r="CM104" s="180"/>
      <c r="CN104" s="180"/>
      <c r="CO104" s="180"/>
      <c r="CP104" s="180"/>
      <c r="CQ104" s="180"/>
      <c r="CR104" s="180"/>
      <c r="CS104" s="180"/>
      <c r="CT104" s="180"/>
      <c r="CU104" s="180"/>
    </row>
    <row r="105" spans="1:99" x14ac:dyDescent="0.3">
      <c r="A105" s="155">
        <v>505</v>
      </c>
      <c r="B105" s="180" t="s">
        <v>183</v>
      </c>
      <c r="C105" s="180"/>
      <c r="D105" s="180">
        <v>0</v>
      </c>
      <c r="E105" s="180">
        <v>204041</v>
      </c>
      <c r="F105" s="180">
        <v>162741</v>
      </c>
      <c r="G105" s="180">
        <v>0</v>
      </c>
      <c r="H105" s="180"/>
      <c r="I105" s="180">
        <v>100000</v>
      </c>
      <c r="J105" s="180">
        <v>79828</v>
      </c>
      <c r="K105" s="180">
        <v>37627</v>
      </c>
      <c r="L105" s="180">
        <v>0</v>
      </c>
      <c r="M105" s="180">
        <v>100689</v>
      </c>
      <c r="N105" s="180"/>
      <c r="O105" s="180">
        <v>41963970</v>
      </c>
      <c r="P105" s="180">
        <v>0</v>
      </c>
      <c r="Q105" s="180">
        <v>0</v>
      </c>
      <c r="R105" s="180">
        <v>47168</v>
      </c>
      <c r="S105" s="180">
        <v>0</v>
      </c>
      <c r="T105" s="180">
        <v>1011756</v>
      </c>
      <c r="U105" s="180">
        <v>0</v>
      </c>
      <c r="V105" s="180">
        <v>46153</v>
      </c>
      <c r="W105" s="180">
        <v>0</v>
      </c>
      <c r="X105" s="180">
        <v>3339114</v>
      </c>
      <c r="Y105" s="180">
        <v>37969000</v>
      </c>
      <c r="Z105" s="180">
        <v>0</v>
      </c>
      <c r="AA105" s="180">
        <v>26590</v>
      </c>
      <c r="AB105" s="180">
        <v>0</v>
      </c>
      <c r="AC105" s="180"/>
      <c r="AD105" s="180">
        <v>34057</v>
      </c>
      <c r="AE105" s="180">
        <v>0</v>
      </c>
      <c r="AF105" s="180">
        <v>1054584</v>
      </c>
      <c r="AG105" s="180">
        <v>751663</v>
      </c>
      <c r="AH105" s="180">
        <v>0</v>
      </c>
      <c r="AI105" s="180">
        <v>0</v>
      </c>
      <c r="AJ105" s="180">
        <v>15000</v>
      </c>
      <c r="AK105" s="180">
        <v>0</v>
      </c>
      <c r="AL105" s="180">
        <v>0</v>
      </c>
      <c r="AM105" s="180"/>
      <c r="AN105" s="180">
        <v>0</v>
      </c>
      <c r="AO105" s="180"/>
      <c r="AP105" s="180">
        <v>0</v>
      </c>
      <c r="AQ105" s="180">
        <v>46271355</v>
      </c>
      <c r="AR105" s="180">
        <v>0</v>
      </c>
      <c r="AS105" s="180">
        <v>0</v>
      </c>
      <c r="AT105" s="180">
        <v>9505708</v>
      </c>
      <c r="AU105" s="180">
        <v>0</v>
      </c>
      <c r="AV105" s="180">
        <v>20783</v>
      </c>
      <c r="AW105" s="180">
        <v>2548530</v>
      </c>
      <c r="AX105" s="180">
        <v>94374</v>
      </c>
      <c r="AY105" s="180">
        <v>711632</v>
      </c>
      <c r="AZ105" s="180">
        <v>210860</v>
      </c>
      <c r="BA105" s="180">
        <v>0</v>
      </c>
      <c r="BB105" s="180">
        <v>13559</v>
      </c>
      <c r="BC105" s="180">
        <v>91140</v>
      </c>
      <c r="BD105" s="180">
        <v>0</v>
      </c>
      <c r="BE105" s="180">
        <v>0</v>
      </c>
      <c r="BF105" s="180">
        <v>0</v>
      </c>
      <c r="BG105" s="180">
        <v>0</v>
      </c>
      <c r="BH105" s="180">
        <v>0</v>
      </c>
      <c r="BI105" s="180">
        <v>5559</v>
      </c>
      <c r="BJ105" s="180">
        <v>0</v>
      </c>
      <c r="BK105" s="180">
        <v>65257</v>
      </c>
      <c r="BL105" s="180">
        <v>0</v>
      </c>
      <c r="BM105" s="180">
        <v>15792</v>
      </c>
      <c r="BN105" s="180">
        <v>193807</v>
      </c>
      <c r="BO105" s="180">
        <v>312538</v>
      </c>
      <c r="BP105" s="180">
        <v>15238656</v>
      </c>
      <c r="BQ105" s="180">
        <v>0</v>
      </c>
      <c r="BR105" s="180"/>
      <c r="BS105" s="180">
        <v>0</v>
      </c>
      <c r="BT105" s="180"/>
      <c r="BU105" s="180">
        <v>22574</v>
      </c>
      <c r="BV105" s="180">
        <v>0</v>
      </c>
      <c r="BW105" s="180">
        <v>594843</v>
      </c>
      <c r="BX105" s="180">
        <v>224000</v>
      </c>
      <c r="BY105" s="180"/>
      <c r="BZ105" s="180">
        <v>2638884</v>
      </c>
      <c r="CA105" s="180">
        <v>17691</v>
      </c>
      <c r="CB105" s="180">
        <v>375133</v>
      </c>
      <c r="CC105" s="180">
        <v>0</v>
      </c>
      <c r="CD105" s="180">
        <v>646642</v>
      </c>
      <c r="CE105" s="180"/>
      <c r="CF105" s="180">
        <v>106000</v>
      </c>
      <c r="CG105" s="180">
        <v>299322</v>
      </c>
      <c r="CH105" s="180">
        <v>2582696</v>
      </c>
      <c r="CI105" s="180">
        <v>6882</v>
      </c>
      <c r="CJ105" s="180"/>
      <c r="CK105" s="180">
        <v>0</v>
      </c>
      <c r="CL105" s="180"/>
      <c r="CM105" s="180"/>
      <c r="CN105" s="180"/>
      <c r="CO105" s="180"/>
      <c r="CP105" s="180"/>
      <c r="CQ105" s="180"/>
      <c r="CR105" s="180"/>
      <c r="CS105" s="180"/>
      <c r="CT105" s="180"/>
      <c r="CU105" s="180"/>
    </row>
    <row r="106" spans="1:99" x14ac:dyDescent="0.3">
      <c r="A106" s="155">
        <v>506</v>
      </c>
      <c r="B106" s="180" t="s">
        <v>189</v>
      </c>
      <c r="C106" s="180"/>
      <c r="D106" s="180">
        <v>3249834</v>
      </c>
      <c r="E106" s="180">
        <v>2124187</v>
      </c>
      <c r="F106" s="180">
        <v>925174</v>
      </c>
      <c r="G106" s="180">
        <v>640195</v>
      </c>
      <c r="H106" s="180"/>
      <c r="I106" s="180">
        <v>2890110</v>
      </c>
      <c r="J106" s="180">
        <v>2074307</v>
      </c>
      <c r="K106" s="180">
        <v>7920550</v>
      </c>
      <c r="L106" s="180">
        <v>4859966</v>
      </c>
      <c r="M106" s="180">
        <v>13122962</v>
      </c>
      <c r="N106" s="180"/>
      <c r="O106" s="180">
        <v>126662084</v>
      </c>
      <c r="P106" s="180">
        <v>85491</v>
      </c>
      <c r="Q106" s="180">
        <v>284666</v>
      </c>
      <c r="R106" s="180">
        <v>1130102</v>
      </c>
      <c r="S106" s="180">
        <v>1166752</v>
      </c>
      <c r="T106" s="180">
        <v>1253976</v>
      </c>
      <c r="U106" s="180">
        <v>304071</v>
      </c>
      <c r="V106" s="180">
        <v>289159</v>
      </c>
      <c r="W106" s="180">
        <v>2127626</v>
      </c>
      <c r="X106" s="180">
        <v>32017646</v>
      </c>
      <c r="Y106" s="180">
        <v>197323000</v>
      </c>
      <c r="Z106" s="180">
        <v>1686445</v>
      </c>
      <c r="AA106" s="180">
        <v>523431</v>
      </c>
      <c r="AB106" s="180">
        <v>2640661</v>
      </c>
      <c r="AC106" s="180"/>
      <c r="AD106" s="180">
        <v>4338841</v>
      </c>
      <c r="AE106" s="180">
        <v>2575988</v>
      </c>
      <c r="AF106" s="180">
        <v>25088221</v>
      </c>
      <c r="AG106" s="180">
        <v>8719757</v>
      </c>
      <c r="AH106" s="180">
        <v>3220743</v>
      </c>
      <c r="AI106" s="180">
        <v>5650506</v>
      </c>
      <c r="AJ106" s="180">
        <v>1307069</v>
      </c>
      <c r="AK106" s="180">
        <v>1657976</v>
      </c>
      <c r="AL106" s="180">
        <v>740379</v>
      </c>
      <c r="AM106" s="180"/>
      <c r="AN106" s="180">
        <v>995448</v>
      </c>
      <c r="AO106" s="180"/>
      <c r="AP106" s="180">
        <v>82586</v>
      </c>
      <c r="AQ106" s="180">
        <v>81331981</v>
      </c>
      <c r="AR106" s="180">
        <v>311096</v>
      </c>
      <c r="AS106" s="180">
        <v>1713069</v>
      </c>
      <c r="AT106" s="180">
        <v>10822728</v>
      </c>
      <c r="AU106" s="180">
        <v>517362</v>
      </c>
      <c r="AV106" s="180">
        <v>1104389</v>
      </c>
      <c r="AW106" s="180">
        <v>24316756</v>
      </c>
      <c r="AX106" s="180">
        <v>230832</v>
      </c>
      <c r="AY106" s="180">
        <v>3497428</v>
      </c>
      <c r="AZ106" s="180">
        <v>9034899</v>
      </c>
      <c r="BA106" s="180">
        <v>488180</v>
      </c>
      <c r="BB106" s="180">
        <v>284291</v>
      </c>
      <c r="BC106" s="180">
        <v>3456587</v>
      </c>
      <c r="BD106" s="180">
        <v>166638</v>
      </c>
      <c r="BE106" s="180">
        <v>13854604</v>
      </c>
      <c r="BF106" s="180">
        <v>2361018</v>
      </c>
      <c r="BG106" s="180">
        <v>841338</v>
      </c>
      <c r="BH106" s="180">
        <v>535872</v>
      </c>
      <c r="BI106" s="180">
        <v>1620872</v>
      </c>
      <c r="BJ106" s="180">
        <v>3316960</v>
      </c>
      <c r="BK106" s="180">
        <v>96094</v>
      </c>
      <c r="BL106" s="180">
        <v>2008668</v>
      </c>
      <c r="BM106" s="180">
        <v>907817</v>
      </c>
      <c r="BN106" s="180">
        <v>8264375</v>
      </c>
      <c r="BO106" s="180">
        <v>6102138</v>
      </c>
      <c r="BP106" s="180">
        <v>112237272</v>
      </c>
      <c r="BQ106" s="180">
        <v>60484</v>
      </c>
      <c r="BR106" s="180"/>
      <c r="BS106" s="180">
        <v>882570</v>
      </c>
      <c r="BT106" s="180"/>
      <c r="BU106" s="180">
        <v>1218760</v>
      </c>
      <c r="BV106" s="180">
        <v>6441626</v>
      </c>
      <c r="BW106" s="180">
        <v>10661659</v>
      </c>
      <c r="BX106" s="180">
        <v>2753249</v>
      </c>
      <c r="BY106" s="180"/>
      <c r="BZ106" s="180">
        <v>1429064</v>
      </c>
      <c r="CA106" s="180">
        <v>700362</v>
      </c>
      <c r="CB106" s="180">
        <v>5676104</v>
      </c>
      <c r="CC106" s="180">
        <v>829345</v>
      </c>
      <c r="CD106" s="180">
        <v>301453</v>
      </c>
      <c r="CE106" s="180"/>
      <c r="CF106" s="180">
        <v>8350662</v>
      </c>
      <c r="CG106" s="180">
        <v>3167538</v>
      </c>
      <c r="CH106" s="180">
        <v>221684</v>
      </c>
      <c r="CI106" s="180">
        <v>3693809</v>
      </c>
      <c r="CJ106" s="180"/>
      <c r="CK106" s="180">
        <v>61439</v>
      </c>
      <c r="CL106" s="180"/>
      <c r="CM106" s="180"/>
      <c r="CN106" s="180"/>
      <c r="CO106" s="180"/>
      <c r="CP106" s="180"/>
      <c r="CQ106" s="180"/>
      <c r="CR106" s="180"/>
      <c r="CS106" s="180"/>
      <c r="CT106" s="180"/>
      <c r="CU106" s="180"/>
    </row>
    <row r="107" spans="1:99" x14ac:dyDescent="0.3">
      <c r="A107" s="155">
        <v>507</v>
      </c>
      <c r="B107" s="180" t="s">
        <v>925</v>
      </c>
      <c r="C107" s="180"/>
      <c r="D107" s="180">
        <v>0</v>
      </c>
      <c r="E107" s="180">
        <v>0</v>
      </c>
      <c r="F107" s="180">
        <v>0</v>
      </c>
      <c r="G107" s="180">
        <v>5</v>
      </c>
      <c r="H107" s="180"/>
      <c r="I107" s="180">
        <v>0</v>
      </c>
      <c r="J107" s="180">
        <v>0</v>
      </c>
      <c r="K107" s="180">
        <v>0</v>
      </c>
      <c r="L107" s="180">
        <v>0</v>
      </c>
      <c r="M107" s="180">
        <v>0</v>
      </c>
      <c r="N107" s="180"/>
      <c r="O107" s="180">
        <v>1</v>
      </c>
      <c r="P107" s="180">
        <v>0</v>
      </c>
      <c r="Q107" s="180">
        <v>20256</v>
      </c>
      <c r="R107" s="180">
        <v>0</v>
      </c>
      <c r="S107" s="180">
        <v>0</v>
      </c>
      <c r="T107" s="180">
        <v>0</v>
      </c>
      <c r="U107" s="180">
        <v>0</v>
      </c>
      <c r="V107" s="180">
        <v>0</v>
      </c>
      <c r="W107" s="180">
        <v>0</v>
      </c>
      <c r="X107" s="180">
        <v>0</v>
      </c>
      <c r="Y107" s="180">
        <v>0</v>
      </c>
      <c r="Z107" s="180">
        <v>0</v>
      </c>
      <c r="AA107" s="180">
        <v>0</v>
      </c>
      <c r="AB107" s="180">
        <v>0</v>
      </c>
      <c r="AC107" s="180"/>
      <c r="AD107" s="180">
        <v>0</v>
      </c>
      <c r="AE107" s="180">
        <v>0</v>
      </c>
      <c r="AF107" s="180">
        <v>0</v>
      </c>
      <c r="AG107" s="180">
        <v>886</v>
      </c>
      <c r="AH107" s="180">
        <v>138953</v>
      </c>
      <c r="AI107" s="180">
        <v>0</v>
      </c>
      <c r="AJ107" s="180">
        <v>0</v>
      </c>
      <c r="AK107" s="180">
        <v>0</v>
      </c>
      <c r="AL107" s="180">
        <v>0</v>
      </c>
      <c r="AM107" s="180"/>
      <c r="AN107" s="180">
        <v>0</v>
      </c>
      <c r="AO107" s="180"/>
      <c r="AP107" s="180">
        <v>0</v>
      </c>
      <c r="AQ107" s="180">
        <v>0</v>
      </c>
      <c r="AR107" s="180">
        <v>0</v>
      </c>
      <c r="AS107" s="180">
        <v>0</v>
      </c>
      <c r="AT107" s="180">
        <v>0</v>
      </c>
      <c r="AU107" s="180">
        <v>0</v>
      </c>
      <c r="AV107" s="180">
        <v>0</v>
      </c>
      <c r="AW107" s="180">
        <v>0</v>
      </c>
      <c r="AX107" s="180">
        <v>0</v>
      </c>
      <c r="AY107" s="180">
        <v>0</v>
      </c>
      <c r="AZ107" s="180">
        <v>0</v>
      </c>
      <c r="BA107" s="180">
        <v>0</v>
      </c>
      <c r="BB107" s="180">
        <v>0</v>
      </c>
      <c r="BC107" s="180">
        <v>-1</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c r="BS107" s="180">
        <v>0</v>
      </c>
      <c r="BT107" s="180"/>
      <c r="BU107" s="180">
        <v>1</v>
      </c>
      <c r="BV107" s="180">
        <v>0</v>
      </c>
      <c r="BW107" s="180">
        <v>2</v>
      </c>
      <c r="BX107" s="180">
        <v>0</v>
      </c>
      <c r="BY107" s="180"/>
      <c r="BZ107" s="180">
        <v>0</v>
      </c>
      <c r="CA107" s="180">
        <v>0</v>
      </c>
      <c r="CB107" s="180">
        <v>0</v>
      </c>
      <c r="CC107" s="180">
        <v>0</v>
      </c>
      <c r="CD107" s="180">
        <v>0</v>
      </c>
      <c r="CE107" s="180"/>
      <c r="CF107" s="180">
        <v>0</v>
      </c>
      <c r="CG107" s="180">
        <v>0</v>
      </c>
      <c r="CH107" s="180">
        <v>0</v>
      </c>
      <c r="CI107" s="180">
        <v>0</v>
      </c>
      <c r="CJ107" s="180"/>
      <c r="CK107" s="180">
        <v>0</v>
      </c>
      <c r="CL107" s="180"/>
      <c r="CM107" s="180"/>
      <c r="CN107" s="180"/>
      <c r="CO107" s="180"/>
      <c r="CP107" s="180"/>
      <c r="CQ107" s="180"/>
      <c r="CR107" s="180"/>
      <c r="CS107" s="180"/>
      <c r="CT107" s="180"/>
      <c r="CU107" s="180"/>
    </row>
    <row r="108" spans="1:99" x14ac:dyDescent="0.3">
      <c r="A108" s="155">
        <v>508</v>
      </c>
      <c r="B108" s="180" t="s">
        <v>204</v>
      </c>
      <c r="C108" s="180"/>
      <c r="D108" s="180">
        <v>0</v>
      </c>
      <c r="E108" s="180">
        <v>0</v>
      </c>
      <c r="F108" s="180">
        <v>0</v>
      </c>
      <c r="G108" s="180">
        <v>0</v>
      </c>
      <c r="H108" s="180"/>
      <c r="I108" s="180">
        <v>0</v>
      </c>
      <c r="J108" s="180">
        <v>0</v>
      </c>
      <c r="K108" s="180">
        <v>0</v>
      </c>
      <c r="L108" s="180">
        <v>0</v>
      </c>
      <c r="M108" s="180">
        <v>0</v>
      </c>
      <c r="N108" s="180"/>
      <c r="O108" s="180">
        <v>0</v>
      </c>
      <c r="P108" s="180">
        <v>0</v>
      </c>
      <c r="Q108" s="180">
        <v>0</v>
      </c>
      <c r="R108" s="180">
        <v>0</v>
      </c>
      <c r="S108" s="180">
        <v>0</v>
      </c>
      <c r="T108" s="180">
        <v>0</v>
      </c>
      <c r="U108" s="180">
        <v>0</v>
      </c>
      <c r="V108" s="180">
        <v>0</v>
      </c>
      <c r="W108" s="180">
        <v>0</v>
      </c>
      <c r="X108" s="180">
        <v>0</v>
      </c>
      <c r="Y108" s="180">
        <v>0</v>
      </c>
      <c r="Z108" s="180">
        <v>0</v>
      </c>
      <c r="AA108" s="180">
        <v>0</v>
      </c>
      <c r="AB108" s="180">
        <v>0</v>
      </c>
      <c r="AC108" s="180"/>
      <c r="AD108" s="180">
        <v>0</v>
      </c>
      <c r="AE108" s="180">
        <v>0</v>
      </c>
      <c r="AF108" s="180">
        <v>0</v>
      </c>
      <c r="AG108" s="180">
        <v>0</v>
      </c>
      <c r="AH108" s="180">
        <v>0</v>
      </c>
      <c r="AI108" s="180">
        <v>0</v>
      </c>
      <c r="AJ108" s="180">
        <v>0</v>
      </c>
      <c r="AK108" s="180">
        <v>0</v>
      </c>
      <c r="AL108" s="180">
        <v>0</v>
      </c>
      <c r="AM108" s="180"/>
      <c r="AN108" s="180">
        <v>0</v>
      </c>
      <c r="AO108" s="180"/>
      <c r="AP108" s="180">
        <v>0</v>
      </c>
      <c r="AQ108" s="180">
        <v>0</v>
      </c>
      <c r="AR108" s="180">
        <v>0</v>
      </c>
      <c r="AS108" s="180">
        <v>0</v>
      </c>
      <c r="AT108" s="180">
        <v>0</v>
      </c>
      <c r="AU108" s="180">
        <v>0</v>
      </c>
      <c r="AV108" s="180">
        <v>0</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v>0</v>
      </c>
      <c r="BL108" s="180">
        <v>0</v>
      </c>
      <c r="BM108" s="180">
        <v>0</v>
      </c>
      <c r="BN108" s="180">
        <v>0</v>
      </c>
      <c r="BO108" s="180">
        <v>0</v>
      </c>
      <c r="BP108" s="180">
        <v>0</v>
      </c>
      <c r="BQ108" s="180">
        <v>0</v>
      </c>
      <c r="BR108" s="180"/>
      <c r="BS108" s="180">
        <v>0</v>
      </c>
      <c r="BT108" s="180"/>
      <c r="BU108" s="180">
        <v>0</v>
      </c>
      <c r="BV108" s="180">
        <v>0</v>
      </c>
      <c r="BW108" s="180">
        <v>0</v>
      </c>
      <c r="BX108" s="180">
        <v>0</v>
      </c>
      <c r="BY108" s="180"/>
      <c r="BZ108" s="180">
        <v>0</v>
      </c>
      <c r="CA108" s="180">
        <v>0</v>
      </c>
      <c r="CB108" s="180">
        <v>0</v>
      </c>
      <c r="CC108" s="180">
        <v>0</v>
      </c>
      <c r="CD108" s="180">
        <v>0</v>
      </c>
      <c r="CE108" s="180"/>
      <c r="CF108" s="180">
        <v>0</v>
      </c>
      <c r="CG108" s="180">
        <v>0</v>
      </c>
      <c r="CH108" s="180">
        <v>0</v>
      </c>
      <c r="CI108" s="180">
        <v>0</v>
      </c>
      <c r="CJ108" s="180"/>
      <c r="CK108" s="180">
        <v>0</v>
      </c>
      <c r="CL108" s="180"/>
      <c r="CM108" s="180"/>
      <c r="CN108" s="180"/>
      <c r="CO108" s="180"/>
      <c r="CP108" s="180"/>
      <c r="CQ108" s="180"/>
      <c r="CR108" s="180"/>
      <c r="CS108" s="180"/>
      <c r="CT108" s="180"/>
      <c r="CU108" s="180"/>
    </row>
    <row r="109" spans="1:99" x14ac:dyDescent="0.3">
      <c r="A109" s="155">
        <v>509</v>
      </c>
      <c r="B109" s="180" t="s">
        <v>205</v>
      </c>
      <c r="C109" s="180"/>
      <c r="D109" s="180">
        <v>0</v>
      </c>
      <c r="E109" s="180">
        <v>0</v>
      </c>
      <c r="F109" s="180">
        <v>0</v>
      </c>
      <c r="G109" s="180">
        <v>0</v>
      </c>
      <c r="H109" s="180"/>
      <c r="I109" s="180">
        <v>0</v>
      </c>
      <c r="J109" s="180">
        <v>0</v>
      </c>
      <c r="K109" s="180">
        <v>0</v>
      </c>
      <c r="L109" s="180">
        <v>0</v>
      </c>
      <c r="M109" s="180">
        <v>0</v>
      </c>
      <c r="N109" s="180"/>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c r="AD109" s="180">
        <v>0</v>
      </c>
      <c r="AE109" s="180">
        <v>0</v>
      </c>
      <c r="AF109" s="180">
        <v>0</v>
      </c>
      <c r="AG109" s="180">
        <v>0</v>
      </c>
      <c r="AH109" s="180">
        <v>0</v>
      </c>
      <c r="AI109" s="180">
        <v>0</v>
      </c>
      <c r="AJ109" s="180">
        <v>0</v>
      </c>
      <c r="AK109" s="180">
        <v>0</v>
      </c>
      <c r="AL109" s="180">
        <v>0</v>
      </c>
      <c r="AM109" s="180"/>
      <c r="AN109" s="180">
        <v>0</v>
      </c>
      <c r="AO109" s="180"/>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c r="BS109" s="180">
        <v>0</v>
      </c>
      <c r="BT109" s="180"/>
      <c r="BU109" s="180">
        <v>0</v>
      </c>
      <c r="BV109" s="180">
        <v>0</v>
      </c>
      <c r="BW109" s="180">
        <v>0</v>
      </c>
      <c r="BX109" s="180">
        <v>0</v>
      </c>
      <c r="BY109" s="180"/>
      <c r="BZ109" s="180">
        <v>0</v>
      </c>
      <c r="CA109" s="180">
        <v>0</v>
      </c>
      <c r="CB109" s="180">
        <v>0</v>
      </c>
      <c r="CC109" s="180">
        <v>0</v>
      </c>
      <c r="CD109" s="180">
        <v>0</v>
      </c>
      <c r="CE109" s="180"/>
      <c r="CF109" s="180">
        <v>0</v>
      </c>
      <c r="CG109" s="180">
        <v>0</v>
      </c>
      <c r="CH109" s="180">
        <v>0</v>
      </c>
      <c r="CI109" s="180">
        <v>0</v>
      </c>
      <c r="CJ109" s="180"/>
      <c r="CK109" s="180">
        <v>0</v>
      </c>
      <c r="CL109" s="180"/>
      <c r="CM109" s="180"/>
      <c r="CN109" s="180"/>
      <c r="CO109" s="180"/>
      <c r="CP109" s="180"/>
      <c r="CQ109" s="180"/>
      <c r="CR109" s="180"/>
      <c r="CS109" s="180"/>
      <c r="CT109" s="180"/>
      <c r="CU109" s="180"/>
    </row>
    <row r="110" spans="1:99" x14ac:dyDescent="0.3">
      <c r="A110" s="155">
        <v>510</v>
      </c>
      <c r="B110" s="180" t="s">
        <v>211</v>
      </c>
      <c r="C110" s="180"/>
      <c r="D110" s="180">
        <v>0</v>
      </c>
      <c r="E110" s="180">
        <v>0</v>
      </c>
      <c r="F110" s="180">
        <v>0</v>
      </c>
      <c r="G110" s="180">
        <v>0</v>
      </c>
      <c r="H110" s="180"/>
      <c r="I110" s="180">
        <v>0</v>
      </c>
      <c r="J110" s="180">
        <v>0</v>
      </c>
      <c r="K110" s="180">
        <v>0</v>
      </c>
      <c r="L110" s="180">
        <v>0</v>
      </c>
      <c r="M110" s="180">
        <v>0</v>
      </c>
      <c r="N110" s="180"/>
      <c r="O110" s="180">
        <v>0</v>
      </c>
      <c r="P110" s="180">
        <v>0</v>
      </c>
      <c r="Q110" s="180">
        <v>0</v>
      </c>
      <c r="R110" s="180">
        <v>0</v>
      </c>
      <c r="S110" s="180">
        <v>0</v>
      </c>
      <c r="T110" s="180">
        <v>0</v>
      </c>
      <c r="U110" s="180">
        <v>0</v>
      </c>
      <c r="V110" s="180">
        <v>0</v>
      </c>
      <c r="W110" s="180">
        <v>0</v>
      </c>
      <c r="X110" s="180">
        <v>0</v>
      </c>
      <c r="Y110" s="180">
        <v>2297000</v>
      </c>
      <c r="Z110" s="180">
        <v>63441</v>
      </c>
      <c r="AA110" s="180">
        <v>0</v>
      </c>
      <c r="AB110" s="180">
        <v>0</v>
      </c>
      <c r="AC110" s="180"/>
      <c r="AD110" s="180">
        <v>117796</v>
      </c>
      <c r="AE110" s="180">
        <v>0</v>
      </c>
      <c r="AF110" s="180">
        <v>259614</v>
      </c>
      <c r="AG110" s="180">
        <v>0</v>
      </c>
      <c r="AH110" s="180">
        <v>0</v>
      </c>
      <c r="AI110" s="180">
        <v>46435</v>
      </c>
      <c r="AJ110" s="180">
        <v>0</v>
      </c>
      <c r="AK110" s="180">
        <v>23643</v>
      </c>
      <c r="AL110" s="180">
        <v>0</v>
      </c>
      <c r="AM110" s="180"/>
      <c r="AN110" s="180">
        <v>0</v>
      </c>
      <c r="AO110" s="180"/>
      <c r="AP110" s="180">
        <v>0</v>
      </c>
      <c r="AQ110" s="180">
        <v>964967</v>
      </c>
      <c r="AR110" s="180">
        <v>0</v>
      </c>
      <c r="AS110" s="180">
        <v>0</v>
      </c>
      <c r="AT110" s="180">
        <v>25869</v>
      </c>
      <c r="AU110" s="180">
        <v>0</v>
      </c>
      <c r="AV110" s="180">
        <v>0</v>
      </c>
      <c r="AW110" s="180">
        <v>0</v>
      </c>
      <c r="AX110" s="180">
        <v>332</v>
      </c>
      <c r="AY110" s="180">
        <v>0</v>
      </c>
      <c r="AZ110" s="180">
        <v>0</v>
      </c>
      <c r="BA110" s="180">
        <v>12886</v>
      </c>
      <c r="BB110" s="180">
        <v>2400</v>
      </c>
      <c r="BC110" s="180">
        <v>242775</v>
      </c>
      <c r="BD110" s="180">
        <v>0</v>
      </c>
      <c r="BE110" s="180">
        <v>0</v>
      </c>
      <c r="BF110" s="180">
        <v>86110</v>
      </c>
      <c r="BG110" s="180">
        <v>0</v>
      </c>
      <c r="BH110" s="180">
        <v>0</v>
      </c>
      <c r="BI110" s="180">
        <v>155373</v>
      </c>
      <c r="BJ110" s="180">
        <v>0</v>
      </c>
      <c r="BK110" s="180">
        <v>0</v>
      </c>
      <c r="BL110" s="180">
        <v>80934</v>
      </c>
      <c r="BM110" s="180">
        <v>3382</v>
      </c>
      <c r="BN110" s="180">
        <v>0</v>
      </c>
      <c r="BO110" s="180">
        <v>41471</v>
      </c>
      <c r="BP110" s="180">
        <v>4151675</v>
      </c>
      <c r="BQ110" s="180">
        <v>0</v>
      </c>
      <c r="BR110" s="180"/>
      <c r="BS110" s="180">
        <v>0</v>
      </c>
      <c r="BT110" s="180"/>
      <c r="BU110" s="180">
        <v>0</v>
      </c>
      <c r="BV110" s="180">
        <v>0</v>
      </c>
      <c r="BW110" s="180">
        <v>394230</v>
      </c>
      <c r="BX110" s="180">
        <v>135685</v>
      </c>
      <c r="BY110" s="180"/>
      <c r="BZ110" s="180">
        <v>27735</v>
      </c>
      <c r="CA110" s="180">
        <v>0</v>
      </c>
      <c r="CB110" s="180">
        <v>145323</v>
      </c>
      <c r="CC110" s="180">
        <v>0</v>
      </c>
      <c r="CD110" s="180">
        <v>15250</v>
      </c>
      <c r="CE110" s="180"/>
      <c r="CF110" s="180">
        <v>0</v>
      </c>
      <c r="CG110" s="180">
        <v>0</v>
      </c>
      <c r="CH110" s="180">
        <v>0</v>
      </c>
      <c r="CI110" s="180">
        <v>0</v>
      </c>
      <c r="CJ110" s="180"/>
      <c r="CK110" s="180">
        <v>0</v>
      </c>
      <c r="CL110" s="180"/>
      <c r="CM110" s="180"/>
      <c r="CN110" s="180"/>
      <c r="CO110" s="180"/>
      <c r="CP110" s="180"/>
      <c r="CQ110" s="180"/>
      <c r="CR110" s="180"/>
      <c r="CS110" s="180"/>
      <c r="CT110" s="180"/>
      <c r="CU110" s="180"/>
    </row>
    <row r="111" spans="1:99" x14ac:dyDescent="0.3">
      <c r="A111" s="155">
        <v>511</v>
      </c>
      <c r="B111" s="180" t="s">
        <v>216</v>
      </c>
      <c r="C111" s="180"/>
      <c r="D111" s="180">
        <v>0</v>
      </c>
      <c r="E111" s="180">
        <v>0</v>
      </c>
      <c r="F111" s="180">
        <v>0</v>
      </c>
      <c r="G111" s="180">
        <v>0</v>
      </c>
      <c r="H111" s="180"/>
      <c r="I111" s="180">
        <v>0</v>
      </c>
      <c r="J111" s="180">
        <v>0</v>
      </c>
      <c r="K111" s="180">
        <v>0</v>
      </c>
      <c r="L111" s="180">
        <v>0</v>
      </c>
      <c r="M111" s="180">
        <v>0</v>
      </c>
      <c r="N111" s="180"/>
      <c r="O111" s="180">
        <v>0</v>
      </c>
      <c r="P111" s="180">
        <v>0</v>
      </c>
      <c r="Q111" s="180">
        <v>0</v>
      </c>
      <c r="R111" s="180">
        <v>0</v>
      </c>
      <c r="S111" s="180">
        <v>0</v>
      </c>
      <c r="T111" s="180">
        <v>0</v>
      </c>
      <c r="U111" s="180">
        <v>0</v>
      </c>
      <c r="V111" s="180">
        <v>0</v>
      </c>
      <c r="W111" s="180">
        <v>0</v>
      </c>
      <c r="X111" s="180">
        <v>0</v>
      </c>
      <c r="Y111" s="180">
        <v>0</v>
      </c>
      <c r="Z111" s="180">
        <v>535547</v>
      </c>
      <c r="AA111" s="180">
        <v>0</v>
      </c>
      <c r="AB111" s="180">
        <v>0</v>
      </c>
      <c r="AC111" s="180"/>
      <c r="AD111" s="180">
        <v>0</v>
      </c>
      <c r="AE111" s="180">
        <v>0</v>
      </c>
      <c r="AF111" s="180">
        <v>1660593</v>
      </c>
      <c r="AG111" s="180">
        <v>0</v>
      </c>
      <c r="AH111" s="180">
        <v>0</v>
      </c>
      <c r="AI111" s="180">
        <v>0</v>
      </c>
      <c r="AJ111" s="180">
        <v>0</v>
      </c>
      <c r="AK111" s="180">
        <v>0</v>
      </c>
      <c r="AL111" s="180">
        <v>0</v>
      </c>
      <c r="AM111" s="180"/>
      <c r="AN111" s="180">
        <v>0</v>
      </c>
      <c r="AO111" s="180"/>
      <c r="AP111" s="180">
        <v>0</v>
      </c>
      <c r="AQ111" s="180">
        <v>6122622</v>
      </c>
      <c r="AR111" s="180">
        <v>0</v>
      </c>
      <c r="AS111" s="180">
        <v>0</v>
      </c>
      <c r="AT111" s="180">
        <v>0</v>
      </c>
      <c r="AU111" s="180">
        <v>0</v>
      </c>
      <c r="AV111" s="180">
        <v>0</v>
      </c>
      <c r="AW111" s="180">
        <v>112229</v>
      </c>
      <c r="AX111" s="180">
        <v>0</v>
      </c>
      <c r="AY111" s="180">
        <v>0</v>
      </c>
      <c r="AZ111" s="180">
        <v>0</v>
      </c>
      <c r="BA111" s="180">
        <v>0</v>
      </c>
      <c r="BB111" s="180">
        <v>0</v>
      </c>
      <c r="BC111" s="180">
        <v>470005</v>
      </c>
      <c r="BD111" s="180">
        <v>0</v>
      </c>
      <c r="BE111" s="180">
        <v>0</v>
      </c>
      <c r="BF111" s="180">
        <v>0</v>
      </c>
      <c r="BG111" s="180">
        <v>0</v>
      </c>
      <c r="BH111" s="180">
        <v>0</v>
      </c>
      <c r="BI111" s="180">
        <v>0</v>
      </c>
      <c r="BJ111" s="180">
        <v>0</v>
      </c>
      <c r="BK111" s="180">
        <v>0</v>
      </c>
      <c r="BL111" s="180">
        <v>86432</v>
      </c>
      <c r="BM111" s="180">
        <v>0</v>
      </c>
      <c r="BN111" s="180">
        <v>0</v>
      </c>
      <c r="BO111" s="180">
        <v>0</v>
      </c>
      <c r="BP111" s="180">
        <v>0</v>
      </c>
      <c r="BQ111" s="180">
        <v>0</v>
      </c>
      <c r="BR111" s="180"/>
      <c r="BS111" s="180">
        <v>0</v>
      </c>
      <c r="BT111" s="180"/>
      <c r="BU111" s="180">
        <v>0</v>
      </c>
      <c r="BV111" s="180">
        <v>0</v>
      </c>
      <c r="BW111" s="180">
        <v>0</v>
      </c>
      <c r="BX111" s="180">
        <v>625636</v>
      </c>
      <c r="BY111" s="180"/>
      <c r="BZ111" s="180">
        <v>0</v>
      </c>
      <c r="CA111" s="180">
        <v>0</v>
      </c>
      <c r="CB111" s="180">
        <v>0</v>
      </c>
      <c r="CC111" s="180">
        <v>0</v>
      </c>
      <c r="CD111" s="180">
        <v>0</v>
      </c>
      <c r="CE111" s="180"/>
      <c r="CF111" s="180">
        <v>0</v>
      </c>
      <c r="CG111" s="180">
        <v>0</v>
      </c>
      <c r="CH111" s="180">
        <v>33176</v>
      </c>
      <c r="CI111" s="180">
        <v>0</v>
      </c>
      <c r="CJ111" s="180"/>
      <c r="CK111" s="180">
        <v>0</v>
      </c>
      <c r="CL111" s="180"/>
      <c r="CM111" s="180"/>
      <c r="CN111" s="180"/>
      <c r="CO111" s="180"/>
      <c r="CP111" s="180"/>
      <c r="CQ111" s="180"/>
      <c r="CR111" s="180"/>
      <c r="CS111" s="180"/>
      <c r="CT111" s="180"/>
      <c r="CU111" s="180"/>
    </row>
    <row r="112" spans="1:99" x14ac:dyDescent="0.3">
      <c r="A112" s="155">
        <v>512</v>
      </c>
      <c r="B112" s="180" t="s">
        <v>243</v>
      </c>
      <c r="C112" s="180"/>
      <c r="D112" s="180">
        <v>0</v>
      </c>
      <c r="E112" s="180">
        <v>0</v>
      </c>
      <c r="F112" s="180">
        <v>0</v>
      </c>
      <c r="G112" s="180">
        <v>0</v>
      </c>
      <c r="H112" s="180"/>
      <c r="I112" s="180">
        <v>10827</v>
      </c>
      <c r="J112" s="180">
        <v>0</v>
      </c>
      <c r="K112" s="180">
        <v>0</v>
      </c>
      <c r="L112" s="180">
        <v>0</v>
      </c>
      <c r="M112" s="180">
        <v>0</v>
      </c>
      <c r="N112" s="180"/>
      <c r="O112" s="180">
        <v>0</v>
      </c>
      <c r="P112" s="180">
        <v>0</v>
      </c>
      <c r="Q112" s="180">
        <v>0</v>
      </c>
      <c r="R112" s="180">
        <v>0</v>
      </c>
      <c r="S112" s="180">
        <v>0</v>
      </c>
      <c r="T112" s="180">
        <v>0</v>
      </c>
      <c r="U112" s="180">
        <v>0</v>
      </c>
      <c r="V112" s="180">
        <v>0</v>
      </c>
      <c r="W112" s="180">
        <v>0</v>
      </c>
      <c r="X112" s="180">
        <v>7029969</v>
      </c>
      <c r="Y112" s="180">
        <v>704661000</v>
      </c>
      <c r="Z112" s="180">
        <v>0</v>
      </c>
      <c r="AA112" s="180">
        <v>0</v>
      </c>
      <c r="AB112" s="180">
        <v>0</v>
      </c>
      <c r="AC112" s="180"/>
      <c r="AD112" s="180">
        <v>0</v>
      </c>
      <c r="AE112" s="180">
        <v>0</v>
      </c>
      <c r="AF112" s="180">
        <v>2897</v>
      </c>
      <c r="AG112" s="180">
        <v>0</v>
      </c>
      <c r="AH112" s="180">
        <v>0</v>
      </c>
      <c r="AI112" s="180">
        <v>0</v>
      </c>
      <c r="AJ112" s="180">
        <v>0</v>
      </c>
      <c r="AK112" s="180">
        <v>0</v>
      </c>
      <c r="AL112" s="180">
        <v>0</v>
      </c>
      <c r="AM112" s="180"/>
      <c r="AN112" s="180">
        <v>0</v>
      </c>
      <c r="AO112" s="180"/>
      <c r="AP112" s="180">
        <v>0</v>
      </c>
      <c r="AQ112" s="180">
        <v>15159753</v>
      </c>
      <c r="AR112" s="180">
        <v>0</v>
      </c>
      <c r="AS112" s="180">
        <v>0</v>
      </c>
      <c r="AT112" s="180">
        <v>0</v>
      </c>
      <c r="AU112" s="180">
        <v>0</v>
      </c>
      <c r="AV112" s="180">
        <v>0</v>
      </c>
      <c r="AW112" s="180">
        <v>920827</v>
      </c>
      <c r="AX112" s="180">
        <v>0</v>
      </c>
      <c r="AY112" s="180">
        <v>0</v>
      </c>
      <c r="AZ112" s="180">
        <v>0</v>
      </c>
      <c r="BA112" s="180">
        <v>0</v>
      </c>
      <c r="BB112" s="180">
        <v>0</v>
      </c>
      <c r="BC112" s="180">
        <v>0</v>
      </c>
      <c r="BD112" s="180">
        <v>0</v>
      </c>
      <c r="BE112" s="180">
        <v>0</v>
      </c>
      <c r="BF112" s="180">
        <v>0</v>
      </c>
      <c r="BG112" s="180">
        <v>0</v>
      </c>
      <c r="BH112" s="180">
        <v>0</v>
      </c>
      <c r="BI112" s="180">
        <v>0</v>
      </c>
      <c r="BJ112" s="180">
        <v>0</v>
      </c>
      <c r="BK112" s="180">
        <v>0</v>
      </c>
      <c r="BL112" s="180">
        <v>0</v>
      </c>
      <c r="BM112" s="180">
        <v>0</v>
      </c>
      <c r="BN112" s="180">
        <v>0</v>
      </c>
      <c r="BO112" s="180">
        <v>0</v>
      </c>
      <c r="BP112" s="180">
        <v>0</v>
      </c>
      <c r="BQ112" s="180">
        <v>0</v>
      </c>
      <c r="BR112" s="180"/>
      <c r="BS112" s="180">
        <v>0</v>
      </c>
      <c r="BT112" s="180"/>
      <c r="BU112" s="180">
        <v>0</v>
      </c>
      <c r="BV112" s="180">
        <v>0</v>
      </c>
      <c r="BW112" s="180">
        <v>0</v>
      </c>
      <c r="BX112" s="180">
        <v>0</v>
      </c>
      <c r="BY112" s="180"/>
      <c r="BZ112" s="180">
        <v>0</v>
      </c>
      <c r="CA112" s="180">
        <v>0</v>
      </c>
      <c r="CB112" s="180">
        <v>36388</v>
      </c>
      <c r="CC112" s="180">
        <v>0</v>
      </c>
      <c r="CD112" s="180">
        <v>0</v>
      </c>
      <c r="CE112" s="180"/>
      <c r="CF112" s="180">
        <v>0</v>
      </c>
      <c r="CG112" s="180">
        <v>0</v>
      </c>
      <c r="CH112" s="180">
        <v>0</v>
      </c>
      <c r="CI112" s="180">
        <v>0</v>
      </c>
      <c r="CJ112" s="180"/>
      <c r="CK112" s="180">
        <v>0</v>
      </c>
      <c r="CL112" s="180"/>
      <c r="CM112" s="180"/>
      <c r="CN112" s="180"/>
      <c r="CO112" s="180"/>
      <c r="CP112" s="180"/>
      <c r="CQ112" s="180"/>
      <c r="CR112" s="180"/>
      <c r="CS112" s="180"/>
      <c r="CT112" s="180"/>
      <c r="CU112" s="180"/>
    </row>
    <row r="113" spans="1:99" x14ac:dyDescent="0.3">
      <c r="A113" s="155">
        <v>513</v>
      </c>
      <c r="B113" s="180" t="s">
        <v>249</v>
      </c>
      <c r="C113" s="180"/>
      <c r="D113" s="180">
        <v>0</v>
      </c>
      <c r="E113" s="180">
        <v>0</v>
      </c>
      <c r="F113" s="180">
        <v>0</v>
      </c>
      <c r="G113" s="180">
        <v>0</v>
      </c>
      <c r="H113" s="180"/>
      <c r="I113" s="180">
        <v>0</v>
      </c>
      <c r="J113" s="180">
        <v>0</v>
      </c>
      <c r="K113" s="180">
        <v>0</v>
      </c>
      <c r="L113" s="180">
        <v>0</v>
      </c>
      <c r="M113" s="180">
        <v>0</v>
      </c>
      <c r="N113" s="180"/>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c r="AD113" s="180">
        <v>0</v>
      </c>
      <c r="AE113" s="180">
        <v>0</v>
      </c>
      <c r="AF113" s="180">
        <v>0</v>
      </c>
      <c r="AG113" s="180">
        <v>0</v>
      </c>
      <c r="AH113" s="180">
        <v>0</v>
      </c>
      <c r="AI113" s="180">
        <v>0</v>
      </c>
      <c r="AJ113" s="180">
        <v>0</v>
      </c>
      <c r="AK113" s="180">
        <v>0</v>
      </c>
      <c r="AL113" s="180">
        <v>0</v>
      </c>
      <c r="AM113" s="180"/>
      <c r="AN113" s="180">
        <v>0</v>
      </c>
      <c r="AO113" s="180"/>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c r="BS113" s="180">
        <v>0</v>
      </c>
      <c r="BT113" s="180"/>
      <c r="BU113" s="180">
        <v>0</v>
      </c>
      <c r="BV113" s="180">
        <v>0</v>
      </c>
      <c r="BW113" s="180">
        <v>0</v>
      </c>
      <c r="BX113" s="180">
        <v>0</v>
      </c>
      <c r="BY113" s="180"/>
      <c r="BZ113" s="180">
        <v>0</v>
      </c>
      <c r="CA113" s="180">
        <v>0</v>
      </c>
      <c r="CB113" s="180">
        <v>0</v>
      </c>
      <c r="CC113" s="180">
        <v>0</v>
      </c>
      <c r="CD113" s="180">
        <v>0</v>
      </c>
      <c r="CE113" s="180"/>
      <c r="CF113" s="180">
        <v>0</v>
      </c>
      <c r="CG113" s="180">
        <v>0</v>
      </c>
      <c r="CH113" s="180">
        <v>0</v>
      </c>
      <c r="CI113" s="180">
        <v>0</v>
      </c>
      <c r="CJ113" s="180"/>
      <c r="CK113" s="180">
        <v>0</v>
      </c>
      <c r="CL113" s="180"/>
      <c r="CM113" s="180"/>
      <c r="CN113" s="180"/>
      <c r="CO113" s="180"/>
      <c r="CP113" s="180"/>
      <c r="CQ113" s="180"/>
      <c r="CR113" s="180"/>
      <c r="CS113" s="180"/>
      <c r="CT113" s="180"/>
      <c r="CU113" s="180"/>
    </row>
    <row r="114" spans="1:99" x14ac:dyDescent="0.3">
      <c r="A114" s="155">
        <v>514</v>
      </c>
      <c r="B114" s="180" t="s">
        <v>250</v>
      </c>
      <c r="C114" s="180"/>
      <c r="D114" s="180">
        <v>0</v>
      </c>
      <c r="E114" s="180">
        <v>0</v>
      </c>
      <c r="F114" s="180">
        <v>0</v>
      </c>
      <c r="G114" s="180">
        <v>0</v>
      </c>
      <c r="H114" s="180"/>
      <c r="I114" s="180">
        <v>0</v>
      </c>
      <c r="J114" s="180">
        <v>0</v>
      </c>
      <c r="K114" s="180">
        <v>0</v>
      </c>
      <c r="L114" s="180">
        <v>0</v>
      </c>
      <c r="M114" s="180">
        <v>0</v>
      </c>
      <c r="N114" s="180"/>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c r="AD114" s="180">
        <v>0</v>
      </c>
      <c r="AE114" s="180">
        <v>0</v>
      </c>
      <c r="AF114" s="180">
        <v>0</v>
      </c>
      <c r="AG114" s="180">
        <v>0</v>
      </c>
      <c r="AH114" s="180">
        <v>0</v>
      </c>
      <c r="AI114" s="180">
        <v>0</v>
      </c>
      <c r="AJ114" s="180">
        <v>0</v>
      </c>
      <c r="AK114" s="180">
        <v>0</v>
      </c>
      <c r="AL114" s="180">
        <v>0</v>
      </c>
      <c r="AM114" s="180"/>
      <c r="AN114" s="180">
        <v>0</v>
      </c>
      <c r="AO114" s="180"/>
      <c r="AP114" s="180">
        <v>0</v>
      </c>
      <c r="AQ114" s="180">
        <v>627765</v>
      </c>
      <c r="AR114" s="180">
        <v>0</v>
      </c>
      <c r="AS114" s="180">
        <v>0</v>
      </c>
      <c r="AT114" s="180">
        <v>0</v>
      </c>
      <c r="AU114" s="180">
        <v>0</v>
      </c>
      <c r="AV114" s="180">
        <v>0</v>
      </c>
      <c r="AW114" s="180">
        <v>0</v>
      </c>
      <c r="AX114" s="180">
        <v>0</v>
      </c>
      <c r="AY114" s="180">
        <v>0</v>
      </c>
      <c r="AZ114" s="180">
        <v>0</v>
      </c>
      <c r="BA114" s="180">
        <v>0</v>
      </c>
      <c r="BB114" s="180">
        <v>0</v>
      </c>
      <c r="BC114" s="180">
        <v>895733</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c r="BS114" s="180">
        <v>0</v>
      </c>
      <c r="BT114" s="180"/>
      <c r="BU114" s="180">
        <v>0</v>
      </c>
      <c r="BV114" s="180">
        <v>0</v>
      </c>
      <c r="BW114" s="180">
        <v>0</v>
      </c>
      <c r="BX114" s="180">
        <v>332293</v>
      </c>
      <c r="BY114" s="180"/>
      <c r="BZ114" s="180">
        <v>0</v>
      </c>
      <c r="CA114" s="180">
        <v>0</v>
      </c>
      <c r="CB114" s="180">
        <v>0</v>
      </c>
      <c r="CC114" s="180">
        <v>0</v>
      </c>
      <c r="CD114" s="180">
        <v>0</v>
      </c>
      <c r="CE114" s="180"/>
      <c r="CF114" s="180">
        <v>0</v>
      </c>
      <c r="CG114" s="180">
        <v>0</v>
      </c>
      <c r="CH114" s="180">
        <v>0</v>
      </c>
      <c r="CI114" s="180">
        <v>0</v>
      </c>
      <c r="CJ114" s="180"/>
      <c r="CK114" s="180">
        <v>0</v>
      </c>
      <c r="CL114" s="180"/>
      <c r="CM114" s="180"/>
      <c r="CN114" s="180"/>
      <c r="CO114" s="180"/>
      <c r="CP114" s="180"/>
      <c r="CQ114" s="180"/>
      <c r="CR114" s="180"/>
      <c r="CS114" s="180"/>
      <c r="CT114" s="180"/>
      <c r="CU114" s="180"/>
    </row>
    <row r="115" spans="1:99" x14ac:dyDescent="0.3">
      <c r="A115" s="155">
        <v>515</v>
      </c>
      <c r="B115" s="180" t="s">
        <v>262</v>
      </c>
      <c r="C115" s="180"/>
      <c r="D115" s="180">
        <v>0</v>
      </c>
      <c r="E115" s="180">
        <v>0</v>
      </c>
      <c r="F115" s="180">
        <v>0</v>
      </c>
      <c r="G115" s="180">
        <v>0</v>
      </c>
      <c r="H115" s="180"/>
      <c r="I115" s="180">
        <v>0</v>
      </c>
      <c r="J115" s="180">
        <v>0</v>
      </c>
      <c r="K115" s="180">
        <v>0</v>
      </c>
      <c r="L115" s="180">
        <v>0</v>
      </c>
      <c r="M115" s="180">
        <v>0</v>
      </c>
      <c r="N115" s="180"/>
      <c r="O115" s="180">
        <v>173147129</v>
      </c>
      <c r="P115" s="180">
        <v>0</v>
      </c>
      <c r="Q115" s="180">
        <v>0</v>
      </c>
      <c r="R115" s="180">
        <v>0</v>
      </c>
      <c r="S115" s="180">
        <v>0</v>
      </c>
      <c r="T115" s="180">
        <v>0</v>
      </c>
      <c r="U115" s="180">
        <v>0</v>
      </c>
      <c r="V115" s="180">
        <v>0</v>
      </c>
      <c r="W115" s="180">
        <v>0</v>
      </c>
      <c r="X115" s="180">
        <v>0</v>
      </c>
      <c r="Y115" s="180">
        <v>51938000</v>
      </c>
      <c r="Z115" s="180">
        <v>0</v>
      </c>
      <c r="AA115" s="180">
        <v>0</v>
      </c>
      <c r="AB115" s="180">
        <v>0</v>
      </c>
      <c r="AC115" s="180"/>
      <c r="AD115" s="180">
        <v>0</v>
      </c>
      <c r="AE115" s="180">
        <v>726257</v>
      </c>
      <c r="AF115" s="180">
        <v>2478745</v>
      </c>
      <c r="AG115" s="180">
        <v>0</v>
      </c>
      <c r="AH115" s="180">
        <v>0</v>
      </c>
      <c r="AI115" s="180">
        <v>7428395</v>
      </c>
      <c r="AJ115" s="180">
        <v>0</v>
      </c>
      <c r="AK115" s="180">
        <v>0</v>
      </c>
      <c r="AL115" s="180">
        <v>0</v>
      </c>
      <c r="AM115" s="180"/>
      <c r="AN115" s="180">
        <v>0</v>
      </c>
      <c r="AO115" s="180"/>
      <c r="AP115" s="180">
        <v>0</v>
      </c>
      <c r="AQ115" s="180">
        <v>17169373</v>
      </c>
      <c r="AR115" s="180">
        <v>0</v>
      </c>
      <c r="AS115" s="180">
        <v>0</v>
      </c>
      <c r="AT115" s="180">
        <v>8403984</v>
      </c>
      <c r="AU115" s="180">
        <v>0</v>
      </c>
      <c r="AV115" s="180">
        <v>0</v>
      </c>
      <c r="AW115" s="180">
        <v>0</v>
      </c>
      <c r="AX115" s="180">
        <v>0</v>
      </c>
      <c r="AY115" s="180">
        <v>0</v>
      </c>
      <c r="AZ115" s="180">
        <v>0</v>
      </c>
      <c r="BA115" s="180">
        <v>70354</v>
      </c>
      <c r="BB115" s="180">
        <v>0</v>
      </c>
      <c r="BC115" s="180">
        <v>300869</v>
      </c>
      <c r="BD115" s="180">
        <v>0</v>
      </c>
      <c r="BE115" s="180">
        <v>0</v>
      </c>
      <c r="BF115" s="180">
        <v>0</v>
      </c>
      <c r="BG115" s="180">
        <v>0</v>
      </c>
      <c r="BH115" s="180">
        <v>0</v>
      </c>
      <c r="BI115" s="180">
        <v>0</v>
      </c>
      <c r="BJ115" s="180">
        <v>0</v>
      </c>
      <c r="BK115" s="180">
        <v>0</v>
      </c>
      <c r="BL115" s="180">
        <v>0</v>
      </c>
      <c r="BM115" s="180">
        <v>77024</v>
      </c>
      <c r="BN115" s="180">
        <v>0</v>
      </c>
      <c r="BO115" s="180">
        <v>876488</v>
      </c>
      <c r="BP115" s="180">
        <v>219480526</v>
      </c>
      <c r="BQ115" s="180">
        <v>0</v>
      </c>
      <c r="BR115" s="180"/>
      <c r="BS115" s="180">
        <v>109282</v>
      </c>
      <c r="BT115" s="180"/>
      <c r="BU115" s="180">
        <v>0</v>
      </c>
      <c r="BV115" s="180">
        <v>0</v>
      </c>
      <c r="BW115" s="180">
        <v>0</v>
      </c>
      <c r="BX115" s="180">
        <v>0</v>
      </c>
      <c r="BY115" s="180"/>
      <c r="BZ115" s="180">
        <v>197832</v>
      </c>
      <c r="CA115" s="180">
        <v>75439</v>
      </c>
      <c r="CB115" s="180">
        <v>9532811</v>
      </c>
      <c r="CC115" s="180">
        <v>0</v>
      </c>
      <c r="CD115" s="180">
        <v>455326</v>
      </c>
      <c r="CE115" s="180"/>
      <c r="CF115" s="180">
        <v>0</v>
      </c>
      <c r="CG115" s="180">
        <v>0</v>
      </c>
      <c r="CH115" s="180">
        <v>8560</v>
      </c>
      <c r="CI115" s="180">
        <v>0</v>
      </c>
      <c r="CJ115" s="180"/>
      <c r="CK115" s="180">
        <v>0</v>
      </c>
      <c r="CL115" s="180"/>
      <c r="CM115" s="180"/>
      <c r="CN115" s="180"/>
      <c r="CO115" s="180"/>
      <c r="CP115" s="180"/>
      <c r="CQ115" s="180"/>
      <c r="CR115" s="180"/>
      <c r="CS115" s="180"/>
      <c r="CT115" s="180"/>
      <c r="CU115" s="180"/>
    </row>
    <row r="116" spans="1:99" x14ac:dyDescent="0.3">
      <c r="A116" s="155">
        <v>516</v>
      </c>
      <c r="B116" s="180" t="s">
        <v>263</v>
      </c>
      <c r="C116" s="180"/>
      <c r="D116" s="180">
        <v>4493376</v>
      </c>
      <c r="E116" s="180">
        <v>0</v>
      </c>
      <c r="F116" s="180">
        <v>4715492</v>
      </c>
      <c r="G116" s="180">
        <v>1258700</v>
      </c>
      <c r="H116" s="180"/>
      <c r="I116" s="180">
        <v>16539352</v>
      </c>
      <c r="J116" s="180">
        <v>0</v>
      </c>
      <c r="K116" s="180">
        <v>59212619</v>
      </c>
      <c r="L116" s="180">
        <v>0</v>
      </c>
      <c r="M116" s="180">
        <v>0</v>
      </c>
      <c r="N116" s="180"/>
      <c r="O116" s="180">
        <v>750140159</v>
      </c>
      <c r="P116" s="180">
        <v>0</v>
      </c>
      <c r="Q116" s="180">
        <v>0</v>
      </c>
      <c r="R116" s="180">
        <v>0</v>
      </c>
      <c r="S116" s="180">
        <v>0</v>
      </c>
      <c r="T116" s="180">
        <v>0</v>
      </c>
      <c r="U116" s="180">
        <v>0</v>
      </c>
      <c r="V116" s="180">
        <v>3251691</v>
      </c>
      <c r="W116" s="180">
        <v>0</v>
      </c>
      <c r="X116" s="180">
        <v>0</v>
      </c>
      <c r="Y116" s="180">
        <v>6442203000</v>
      </c>
      <c r="Z116" s="180">
        <v>21502127</v>
      </c>
      <c r="AA116" s="180">
        <v>4768578</v>
      </c>
      <c r="AB116" s="180">
        <v>0</v>
      </c>
      <c r="AC116" s="180"/>
      <c r="AD116" s="180">
        <v>9163874</v>
      </c>
      <c r="AE116" s="180">
        <v>6060758</v>
      </c>
      <c r="AF116" s="180">
        <v>88674114</v>
      </c>
      <c r="AG116" s="180">
        <v>0</v>
      </c>
      <c r="AH116" s="180">
        <v>7312592</v>
      </c>
      <c r="AI116" s="180">
        <v>14478227</v>
      </c>
      <c r="AJ116" s="180">
        <v>4390266</v>
      </c>
      <c r="AK116" s="180">
        <v>867037</v>
      </c>
      <c r="AL116" s="180">
        <v>3530524</v>
      </c>
      <c r="AM116" s="180"/>
      <c r="AN116" s="180">
        <v>15958615</v>
      </c>
      <c r="AO116" s="180"/>
      <c r="AP116" s="180">
        <v>0</v>
      </c>
      <c r="AQ116" s="180">
        <v>309804753</v>
      </c>
      <c r="AR116" s="180">
        <v>0</v>
      </c>
      <c r="AS116" s="180">
        <v>4050098</v>
      </c>
      <c r="AT116" s="180">
        <v>0</v>
      </c>
      <c r="AU116" s="180">
        <v>5658504</v>
      </c>
      <c r="AV116" s="180">
        <v>0</v>
      </c>
      <c r="AW116" s="180">
        <v>0</v>
      </c>
      <c r="AX116" s="180">
        <v>7100841</v>
      </c>
      <c r="AY116" s="180">
        <v>0</v>
      </c>
      <c r="AZ116" s="180">
        <v>0</v>
      </c>
      <c r="BA116" s="180">
        <v>8027131</v>
      </c>
      <c r="BB116" s="180">
        <v>1585335</v>
      </c>
      <c r="BC116" s="180">
        <v>15150178</v>
      </c>
      <c r="BD116" s="180">
        <v>0</v>
      </c>
      <c r="BE116" s="180">
        <v>0</v>
      </c>
      <c r="BF116" s="180">
        <v>17630111</v>
      </c>
      <c r="BG116" s="180">
        <v>0</v>
      </c>
      <c r="BH116" s="180">
        <v>0</v>
      </c>
      <c r="BI116" s="180">
        <v>16879614</v>
      </c>
      <c r="BJ116" s="180">
        <v>0</v>
      </c>
      <c r="BK116" s="180">
        <v>10487851</v>
      </c>
      <c r="BL116" s="180">
        <v>4737731</v>
      </c>
      <c r="BM116" s="180">
        <v>2999055</v>
      </c>
      <c r="BN116" s="180">
        <v>0</v>
      </c>
      <c r="BO116" s="180">
        <v>49915084</v>
      </c>
      <c r="BP116" s="180">
        <v>31801720</v>
      </c>
      <c r="BQ116" s="180">
        <v>0</v>
      </c>
      <c r="BR116" s="180"/>
      <c r="BS116" s="180">
        <v>1453231</v>
      </c>
      <c r="BT116" s="180"/>
      <c r="BU116" s="180">
        <v>5760501</v>
      </c>
      <c r="BV116" s="180">
        <v>0</v>
      </c>
      <c r="BW116" s="180">
        <v>91422743</v>
      </c>
      <c r="BX116" s="180">
        <v>14944366</v>
      </c>
      <c r="BY116" s="180"/>
      <c r="BZ116" s="180">
        <v>23831460</v>
      </c>
      <c r="CA116" s="180">
        <v>4183045</v>
      </c>
      <c r="CB116" s="180">
        <v>0</v>
      </c>
      <c r="CC116" s="180">
        <v>5259921</v>
      </c>
      <c r="CD116" s="180">
        <v>5636934</v>
      </c>
      <c r="CE116" s="180"/>
      <c r="CF116" s="180">
        <v>11450615</v>
      </c>
      <c r="CG116" s="180">
        <v>0</v>
      </c>
      <c r="CH116" s="180">
        <v>13021392</v>
      </c>
      <c r="CI116" s="180">
        <v>0</v>
      </c>
      <c r="CJ116" s="180"/>
      <c r="CK116" s="180">
        <v>2913202</v>
      </c>
      <c r="CL116" s="180"/>
      <c r="CM116" s="180"/>
      <c r="CN116" s="180"/>
      <c r="CO116" s="180"/>
      <c r="CP116" s="180"/>
      <c r="CQ116" s="180"/>
      <c r="CR116" s="180"/>
      <c r="CS116" s="180"/>
      <c r="CT116" s="180"/>
      <c r="CU116" s="180"/>
    </row>
    <row r="117" spans="1:99" x14ac:dyDescent="0.3">
      <c r="A117" s="155">
        <v>517</v>
      </c>
      <c r="B117" s="180" t="s">
        <v>264</v>
      </c>
      <c r="C117" s="180"/>
      <c r="D117" s="180">
        <v>0</v>
      </c>
      <c r="E117" s="180">
        <v>0</v>
      </c>
      <c r="F117" s="180">
        <v>0</v>
      </c>
      <c r="G117" s="180">
        <v>0</v>
      </c>
      <c r="H117" s="180"/>
      <c r="I117" s="180">
        <v>0</v>
      </c>
      <c r="J117" s="180">
        <v>0</v>
      </c>
      <c r="K117" s="180">
        <v>0</v>
      </c>
      <c r="L117" s="180">
        <v>0</v>
      </c>
      <c r="M117" s="180">
        <v>0</v>
      </c>
      <c r="N117" s="180"/>
      <c r="O117" s="180">
        <v>0</v>
      </c>
      <c r="P117" s="180">
        <v>0</v>
      </c>
      <c r="Q117" s="180">
        <v>0</v>
      </c>
      <c r="R117" s="180">
        <v>0</v>
      </c>
      <c r="S117" s="180">
        <v>0</v>
      </c>
      <c r="T117" s="180">
        <v>0</v>
      </c>
      <c r="U117" s="180">
        <v>0</v>
      </c>
      <c r="V117" s="180">
        <v>0</v>
      </c>
      <c r="W117" s="180">
        <v>16016753</v>
      </c>
      <c r="X117" s="180">
        <v>0</v>
      </c>
      <c r="Y117" s="180">
        <v>0</v>
      </c>
      <c r="Z117" s="180">
        <v>0</v>
      </c>
      <c r="AA117" s="180">
        <v>0</v>
      </c>
      <c r="AB117" s="180">
        <v>0</v>
      </c>
      <c r="AC117" s="180"/>
      <c r="AD117" s="180">
        <v>0</v>
      </c>
      <c r="AE117" s="180">
        <v>0</v>
      </c>
      <c r="AF117" s="180">
        <v>0</v>
      </c>
      <c r="AG117" s="180">
        <v>0</v>
      </c>
      <c r="AH117" s="180">
        <v>0</v>
      </c>
      <c r="AI117" s="180">
        <v>26606332</v>
      </c>
      <c r="AJ117" s="180">
        <v>0</v>
      </c>
      <c r="AK117" s="180">
        <v>0</v>
      </c>
      <c r="AL117" s="180">
        <v>0</v>
      </c>
      <c r="AM117" s="180"/>
      <c r="AN117" s="180">
        <v>0</v>
      </c>
      <c r="AO117" s="180"/>
      <c r="AP117" s="180">
        <v>0</v>
      </c>
      <c r="AQ117" s="180">
        <v>0</v>
      </c>
      <c r="AR117" s="180">
        <v>0</v>
      </c>
      <c r="AS117" s="180">
        <v>0</v>
      </c>
      <c r="AT117" s="180">
        <v>38383376</v>
      </c>
      <c r="AU117" s="180">
        <v>0</v>
      </c>
      <c r="AV117" s="180">
        <v>0</v>
      </c>
      <c r="AW117" s="180">
        <v>0</v>
      </c>
      <c r="AX117" s="180">
        <v>0</v>
      </c>
      <c r="AY117" s="180">
        <v>0</v>
      </c>
      <c r="AZ117" s="180">
        <v>0</v>
      </c>
      <c r="BA117" s="180">
        <v>0</v>
      </c>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975847002</v>
      </c>
      <c r="BQ117" s="180">
        <v>0</v>
      </c>
      <c r="BR117" s="180"/>
      <c r="BS117" s="180">
        <v>0</v>
      </c>
      <c r="BT117" s="180"/>
      <c r="BU117" s="180">
        <v>0</v>
      </c>
      <c r="BV117" s="180">
        <v>0</v>
      </c>
      <c r="BW117" s="180">
        <v>0</v>
      </c>
      <c r="BX117" s="180">
        <v>0</v>
      </c>
      <c r="BY117" s="180"/>
      <c r="BZ117" s="180">
        <v>0</v>
      </c>
      <c r="CA117" s="180">
        <v>0</v>
      </c>
      <c r="CB117" s="180">
        <v>0</v>
      </c>
      <c r="CC117" s="180">
        <v>0</v>
      </c>
      <c r="CD117" s="180">
        <v>0</v>
      </c>
      <c r="CE117" s="180"/>
      <c r="CF117" s="180">
        <v>0</v>
      </c>
      <c r="CG117" s="180">
        <v>0</v>
      </c>
      <c r="CH117" s="180">
        <v>0</v>
      </c>
      <c r="CI117" s="180">
        <v>0</v>
      </c>
      <c r="CJ117" s="180"/>
      <c r="CK117" s="180">
        <v>0</v>
      </c>
      <c r="CL117" s="180"/>
      <c r="CM117" s="180"/>
      <c r="CN117" s="180"/>
      <c r="CO117" s="180"/>
      <c r="CP117" s="180"/>
      <c r="CQ117" s="180"/>
      <c r="CR117" s="180"/>
      <c r="CS117" s="180"/>
      <c r="CT117" s="180"/>
      <c r="CU117" s="180"/>
    </row>
    <row r="118" spans="1:99" s="180" customFormat="1" x14ac:dyDescent="0.3">
      <c r="A118" s="155">
        <v>518</v>
      </c>
      <c r="B118" s="180" t="s">
        <v>265</v>
      </c>
      <c r="D118" s="180">
        <v>354000</v>
      </c>
      <c r="E118" s="180">
        <v>0</v>
      </c>
      <c r="F118" s="180">
        <v>58451</v>
      </c>
      <c r="G118" s="180">
        <v>21172</v>
      </c>
      <c r="I118" s="180">
        <v>286477</v>
      </c>
      <c r="J118" s="180">
        <v>0</v>
      </c>
      <c r="K118" s="180">
        <v>5600716</v>
      </c>
      <c r="L118" s="180">
        <v>0</v>
      </c>
      <c r="M118" s="180">
        <v>0</v>
      </c>
      <c r="O118" s="180">
        <v>23655392</v>
      </c>
      <c r="P118" s="180">
        <v>0</v>
      </c>
      <c r="Q118" s="180">
        <v>0</v>
      </c>
      <c r="R118" s="180">
        <v>0</v>
      </c>
      <c r="S118" s="180">
        <v>0</v>
      </c>
      <c r="T118" s="180">
        <v>0</v>
      </c>
      <c r="U118" s="180">
        <v>0</v>
      </c>
      <c r="V118" s="180">
        <v>14473</v>
      </c>
      <c r="W118" s="180">
        <v>576623</v>
      </c>
      <c r="X118" s="180">
        <v>0</v>
      </c>
      <c r="Y118" s="180">
        <v>109583000</v>
      </c>
      <c r="Z118" s="180">
        <v>1016853</v>
      </c>
      <c r="AA118" s="180">
        <v>0</v>
      </c>
      <c r="AB118" s="180">
        <v>0</v>
      </c>
      <c r="AD118" s="180">
        <v>726591</v>
      </c>
      <c r="AE118" s="180">
        <v>415142</v>
      </c>
      <c r="AF118" s="180">
        <v>12105899</v>
      </c>
      <c r="AG118" s="180">
        <v>0</v>
      </c>
      <c r="AH118" s="180">
        <v>84141</v>
      </c>
      <c r="AI118" s="180">
        <v>4163037</v>
      </c>
      <c r="AJ118" s="180">
        <v>373040</v>
      </c>
      <c r="AK118" s="180">
        <v>186902</v>
      </c>
      <c r="AL118" s="180">
        <v>0</v>
      </c>
      <c r="AN118" s="180">
        <v>211920</v>
      </c>
      <c r="AP118" s="180">
        <v>0</v>
      </c>
      <c r="AQ118" s="180">
        <v>9000009</v>
      </c>
      <c r="AR118" s="180">
        <v>0</v>
      </c>
      <c r="AS118" s="180">
        <v>66519</v>
      </c>
      <c r="AT118" s="180">
        <v>4544223</v>
      </c>
      <c r="AU118" s="180">
        <v>376664</v>
      </c>
      <c r="AV118" s="180">
        <v>0</v>
      </c>
      <c r="AW118" s="180">
        <v>0</v>
      </c>
      <c r="AX118" s="180">
        <v>31366</v>
      </c>
      <c r="AY118" s="180">
        <v>0</v>
      </c>
      <c r="AZ118" s="180">
        <v>0</v>
      </c>
      <c r="BA118" s="180">
        <v>163947</v>
      </c>
      <c r="BB118" s="180">
        <v>85035</v>
      </c>
      <c r="BC118" s="180">
        <v>1085574</v>
      </c>
      <c r="BD118" s="180">
        <v>0</v>
      </c>
      <c r="BE118" s="180">
        <v>0</v>
      </c>
      <c r="BF118" s="180">
        <v>1454334</v>
      </c>
      <c r="BG118" s="180">
        <v>0</v>
      </c>
      <c r="BH118" s="180">
        <v>0</v>
      </c>
      <c r="BI118" s="180">
        <v>1407327</v>
      </c>
      <c r="BJ118" s="180">
        <v>0</v>
      </c>
      <c r="BK118" s="180">
        <v>26408</v>
      </c>
      <c r="BL118" s="180">
        <v>240820</v>
      </c>
      <c r="BM118" s="180">
        <v>173006</v>
      </c>
      <c r="BN118" s="180">
        <v>0</v>
      </c>
      <c r="BO118" s="180">
        <v>4329629</v>
      </c>
      <c r="BP118" s="180">
        <v>3255734</v>
      </c>
      <c r="BQ118" s="180">
        <v>0</v>
      </c>
      <c r="BS118" s="180">
        <v>95583</v>
      </c>
      <c r="BU118" s="180">
        <v>46433</v>
      </c>
      <c r="BV118" s="180">
        <v>0</v>
      </c>
      <c r="BW118" s="180">
        <v>17082327</v>
      </c>
      <c r="BX118" s="180">
        <v>1015253</v>
      </c>
      <c r="BZ118" s="180">
        <v>1124487</v>
      </c>
      <c r="CA118" s="180">
        <v>175335</v>
      </c>
      <c r="CB118" s="180">
        <v>0</v>
      </c>
      <c r="CC118" s="180">
        <v>13293</v>
      </c>
      <c r="CD118" s="180">
        <v>201831</v>
      </c>
      <c r="CF118" s="180">
        <v>777567</v>
      </c>
      <c r="CG118" s="180">
        <v>0</v>
      </c>
      <c r="CH118" s="180">
        <v>441593</v>
      </c>
      <c r="CI118" s="180">
        <v>0</v>
      </c>
      <c r="CK118" s="180">
        <v>0</v>
      </c>
    </row>
    <row r="119" spans="1:99" x14ac:dyDescent="0.3">
      <c r="A119" s="155">
        <v>519</v>
      </c>
      <c r="B119" s="180" t="s">
        <v>266</v>
      </c>
      <c r="C119" s="180"/>
      <c r="D119" s="180">
        <v>0</v>
      </c>
      <c r="E119" s="180">
        <v>0</v>
      </c>
      <c r="F119" s="180">
        <v>0</v>
      </c>
      <c r="G119" s="180">
        <v>0</v>
      </c>
      <c r="H119" s="180"/>
      <c r="I119" s="180">
        <v>0</v>
      </c>
      <c r="J119" s="180">
        <v>0</v>
      </c>
      <c r="K119" s="180">
        <v>0</v>
      </c>
      <c r="L119" s="180">
        <v>0</v>
      </c>
      <c r="M119" s="180">
        <v>0</v>
      </c>
      <c r="N119" s="180"/>
      <c r="O119" s="180">
        <v>3463376</v>
      </c>
      <c r="P119" s="180">
        <v>0</v>
      </c>
      <c r="Q119" s="180">
        <v>0</v>
      </c>
      <c r="R119" s="180">
        <v>0</v>
      </c>
      <c r="S119" s="180">
        <v>0</v>
      </c>
      <c r="T119" s="180">
        <v>0</v>
      </c>
      <c r="U119" s="180">
        <v>0</v>
      </c>
      <c r="V119" s="180">
        <v>0</v>
      </c>
      <c r="W119" s="180">
        <v>0</v>
      </c>
      <c r="X119" s="180">
        <v>0</v>
      </c>
      <c r="Y119" s="180">
        <v>1236000</v>
      </c>
      <c r="Z119" s="180">
        <v>0</v>
      </c>
      <c r="AA119" s="180">
        <v>0</v>
      </c>
      <c r="AB119" s="180">
        <v>0</v>
      </c>
      <c r="AC119" s="180"/>
      <c r="AD119" s="180">
        <v>0</v>
      </c>
      <c r="AE119" s="180">
        <v>17488</v>
      </c>
      <c r="AF119" s="180">
        <v>53782</v>
      </c>
      <c r="AG119" s="180">
        <v>0</v>
      </c>
      <c r="AH119" s="180">
        <v>0</v>
      </c>
      <c r="AI119" s="180">
        <v>12442</v>
      </c>
      <c r="AJ119" s="180">
        <v>0</v>
      </c>
      <c r="AK119" s="180">
        <v>0</v>
      </c>
      <c r="AL119" s="180">
        <v>0</v>
      </c>
      <c r="AM119" s="180"/>
      <c r="AN119" s="180">
        <v>0</v>
      </c>
      <c r="AO119" s="180"/>
      <c r="AP119" s="180">
        <v>0</v>
      </c>
      <c r="AQ119" s="180">
        <v>546839</v>
      </c>
      <c r="AR119" s="180">
        <v>0</v>
      </c>
      <c r="AS119" s="180">
        <v>0</v>
      </c>
      <c r="AT119" s="180">
        <v>171196</v>
      </c>
      <c r="AU119" s="180">
        <v>0</v>
      </c>
      <c r="AV119" s="180">
        <v>0</v>
      </c>
      <c r="AW119" s="180">
        <v>0</v>
      </c>
      <c r="AX119" s="180">
        <v>0</v>
      </c>
      <c r="AY119" s="180">
        <v>0</v>
      </c>
      <c r="AZ119" s="180">
        <v>0</v>
      </c>
      <c r="BA119" s="180">
        <v>7113</v>
      </c>
      <c r="BB119" s="180">
        <v>0</v>
      </c>
      <c r="BC119" s="180">
        <v>8427</v>
      </c>
      <c r="BD119" s="180">
        <v>0</v>
      </c>
      <c r="BE119" s="180">
        <v>0</v>
      </c>
      <c r="BF119" s="180">
        <v>0</v>
      </c>
      <c r="BG119" s="180">
        <v>0</v>
      </c>
      <c r="BH119" s="180">
        <v>0</v>
      </c>
      <c r="BI119" s="180">
        <v>0</v>
      </c>
      <c r="BJ119" s="180">
        <v>0</v>
      </c>
      <c r="BK119" s="180">
        <v>0</v>
      </c>
      <c r="BL119" s="180">
        <v>0</v>
      </c>
      <c r="BM119" s="180">
        <v>1525</v>
      </c>
      <c r="BN119" s="180">
        <v>0</v>
      </c>
      <c r="BO119" s="180">
        <v>7026</v>
      </c>
      <c r="BP119" s="180">
        <v>4758333</v>
      </c>
      <c r="BQ119" s="180">
        <v>0</v>
      </c>
      <c r="BR119" s="180"/>
      <c r="BS119" s="180">
        <v>1347</v>
      </c>
      <c r="BT119" s="180"/>
      <c r="BU119" s="180">
        <v>0</v>
      </c>
      <c r="BV119" s="180">
        <v>0</v>
      </c>
      <c r="BW119" s="180">
        <v>0</v>
      </c>
      <c r="BX119" s="180">
        <v>0</v>
      </c>
      <c r="BY119" s="180"/>
      <c r="BZ119" s="180">
        <v>0</v>
      </c>
      <c r="CA119" s="180">
        <v>1966</v>
      </c>
      <c r="CB119" s="180">
        <v>208233</v>
      </c>
      <c r="CC119" s="180">
        <v>0</v>
      </c>
      <c r="CD119" s="180">
        <v>0</v>
      </c>
      <c r="CE119" s="180"/>
      <c r="CF119" s="180">
        <v>0</v>
      </c>
      <c r="CG119" s="180">
        <v>0</v>
      </c>
      <c r="CH119" s="180">
        <v>0</v>
      </c>
      <c r="CI119" s="180">
        <v>0</v>
      </c>
      <c r="CJ119" s="180"/>
      <c r="CK119" s="180">
        <v>0</v>
      </c>
      <c r="CL119" s="180"/>
      <c r="CM119" s="180"/>
      <c r="CN119" s="180"/>
      <c r="CO119" s="180"/>
      <c r="CP119" s="180"/>
      <c r="CQ119" s="180"/>
      <c r="CR119" s="180"/>
      <c r="CS119" s="180"/>
      <c r="CT119" s="180"/>
      <c r="CU119" s="180"/>
    </row>
    <row r="120" spans="1:99" x14ac:dyDescent="0.3">
      <c r="A120" s="155">
        <v>520</v>
      </c>
      <c r="B120" s="180" t="s">
        <v>267</v>
      </c>
      <c r="C120" s="180"/>
      <c r="D120" s="180">
        <v>123118</v>
      </c>
      <c r="E120" s="180">
        <v>0</v>
      </c>
      <c r="F120" s="180">
        <v>94310</v>
      </c>
      <c r="G120" s="180">
        <v>30161</v>
      </c>
      <c r="H120" s="180"/>
      <c r="I120" s="180">
        <v>364897</v>
      </c>
      <c r="J120" s="180">
        <v>0</v>
      </c>
      <c r="K120" s="180">
        <v>1525165</v>
      </c>
      <c r="L120" s="180">
        <v>0</v>
      </c>
      <c r="M120" s="180">
        <v>0</v>
      </c>
      <c r="N120" s="180"/>
      <c r="O120" s="180">
        <v>15271882</v>
      </c>
      <c r="P120" s="180">
        <v>0</v>
      </c>
      <c r="Q120" s="180">
        <v>0</v>
      </c>
      <c r="R120" s="180">
        <v>0</v>
      </c>
      <c r="S120" s="180">
        <v>0</v>
      </c>
      <c r="T120" s="180">
        <v>0</v>
      </c>
      <c r="U120" s="180">
        <v>0</v>
      </c>
      <c r="V120" s="180">
        <v>78473</v>
      </c>
      <c r="W120" s="180">
        <v>0</v>
      </c>
      <c r="X120" s="180">
        <v>0</v>
      </c>
      <c r="Y120" s="180">
        <v>148363000</v>
      </c>
      <c r="Z120" s="180">
        <v>459216</v>
      </c>
      <c r="AA120" s="180">
        <v>93037</v>
      </c>
      <c r="AB120" s="180">
        <v>0</v>
      </c>
      <c r="AC120" s="180"/>
      <c r="AD120" s="180">
        <v>207564</v>
      </c>
      <c r="AE120" s="180">
        <v>125720</v>
      </c>
      <c r="AF120" s="180">
        <v>2720392</v>
      </c>
      <c r="AG120" s="180">
        <v>0</v>
      </c>
      <c r="AH120" s="180">
        <v>187235</v>
      </c>
      <c r="AI120" s="180">
        <v>421431</v>
      </c>
      <c r="AJ120" s="180">
        <v>80086</v>
      </c>
      <c r="AK120" s="180">
        <v>14495</v>
      </c>
      <c r="AL120" s="180">
        <v>99135</v>
      </c>
      <c r="AM120" s="180"/>
      <c r="AN120" s="180">
        <v>378388</v>
      </c>
      <c r="AO120" s="180"/>
      <c r="AP120" s="180">
        <v>0</v>
      </c>
      <c r="AQ120" s="180">
        <v>7159467</v>
      </c>
      <c r="AR120" s="180">
        <v>0</v>
      </c>
      <c r="AS120" s="180">
        <v>101538</v>
      </c>
      <c r="AT120" s="180">
        <v>0</v>
      </c>
      <c r="AU120" s="180">
        <v>121422</v>
      </c>
      <c r="AV120" s="180">
        <v>0</v>
      </c>
      <c r="AW120" s="180">
        <v>0</v>
      </c>
      <c r="AX120" s="180">
        <v>176855</v>
      </c>
      <c r="AY120" s="180">
        <v>0</v>
      </c>
      <c r="AZ120" s="180">
        <v>0</v>
      </c>
      <c r="BA120" s="180">
        <v>180730</v>
      </c>
      <c r="BB120" s="180">
        <v>33117</v>
      </c>
      <c r="BC120" s="180">
        <v>348794</v>
      </c>
      <c r="BD120" s="180">
        <v>0</v>
      </c>
      <c r="BE120" s="180">
        <v>0</v>
      </c>
      <c r="BF120" s="180">
        <v>269220</v>
      </c>
      <c r="BG120" s="180">
        <v>0</v>
      </c>
      <c r="BH120" s="180">
        <v>0</v>
      </c>
      <c r="BI120" s="180">
        <v>381957</v>
      </c>
      <c r="BJ120" s="180">
        <v>0</v>
      </c>
      <c r="BK120" s="180">
        <v>256766</v>
      </c>
      <c r="BL120" s="180">
        <v>34458</v>
      </c>
      <c r="BM120" s="180">
        <v>54761</v>
      </c>
      <c r="BN120" s="180">
        <v>0</v>
      </c>
      <c r="BO120" s="180">
        <v>940205</v>
      </c>
      <c r="BP120" s="180">
        <v>2533713</v>
      </c>
      <c r="BQ120" s="180">
        <v>0</v>
      </c>
      <c r="BR120" s="180"/>
      <c r="BS120" s="180">
        <v>43853</v>
      </c>
      <c r="BT120" s="180"/>
      <c r="BU120" s="180">
        <v>130282</v>
      </c>
      <c r="BV120" s="180">
        <v>0</v>
      </c>
      <c r="BW120" s="180">
        <v>1722013</v>
      </c>
      <c r="BX120" s="180">
        <v>278936</v>
      </c>
      <c r="BY120" s="180"/>
      <c r="BZ120" s="180">
        <v>553075</v>
      </c>
      <c r="CA120" s="180">
        <v>103076</v>
      </c>
      <c r="CB120" s="180">
        <v>0</v>
      </c>
      <c r="CC120" s="180">
        <v>105198</v>
      </c>
      <c r="CD120" s="180">
        <v>138284</v>
      </c>
      <c r="CE120" s="180"/>
      <c r="CF120" s="180">
        <v>208106</v>
      </c>
      <c r="CG120" s="180">
        <v>0</v>
      </c>
      <c r="CH120" s="180">
        <v>261902</v>
      </c>
      <c r="CI120" s="180">
        <v>0</v>
      </c>
      <c r="CJ120" s="180"/>
      <c r="CK120" s="180">
        <v>55289</v>
      </c>
      <c r="CL120" s="180"/>
      <c r="CM120" s="180"/>
      <c r="CN120" s="180"/>
      <c r="CO120" s="180"/>
      <c r="CP120" s="180"/>
      <c r="CQ120" s="180"/>
      <c r="CR120" s="180"/>
      <c r="CS120" s="180"/>
      <c r="CT120" s="180"/>
      <c r="CU120" s="180"/>
    </row>
    <row r="121" spans="1:99" x14ac:dyDescent="0.3">
      <c r="A121" s="155">
        <v>521</v>
      </c>
      <c r="B121" s="180" t="s">
        <v>268</v>
      </c>
      <c r="C121" s="180"/>
      <c r="D121" s="180">
        <v>0</v>
      </c>
      <c r="E121" s="180">
        <v>0</v>
      </c>
      <c r="F121" s="180">
        <v>0</v>
      </c>
      <c r="G121" s="180">
        <v>0</v>
      </c>
      <c r="H121" s="180"/>
      <c r="I121" s="180">
        <v>0</v>
      </c>
      <c r="J121" s="180">
        <v>0</v>
      </c>
      <c r="K121" s="180">
        <v>0</v>
      </c>
      <c r="L121" s="180">
        <v>0</v>
      </c>
      <c r="M121" s="180">
        <v>0</v>
      </c>
      <c r="N121" s="180"/>
      <c r="O121" s="180">
        <v>0</v>
      </c>
      <c r="P121" s="180">
        <v>0</v>
      </c>
      <c r="Q121" s="180">
        <v>0</v>
      </c>
      <c r="R121" s="180">
        <v>0</v>
      </c>
      <c r="S121" s="180">
        <v>0</v>
      </c>
      <c r="T121" s="180">
        <v>0</v>
      </c>
      <c r="U121" s="180">
        <v>0</v>
      </c>
      <c r="V121" s="180">
        <v>0</v>
      </c>
      <c r="W121" s="180">
        <v>320335</v>
      </c>
      <c r="X121" s="180">
        <v>0</v>
      </c>
      <c r="Y121" s="180">
        <v>0</v>
      </c>
      <c r="Z121" s="180">
        <v>0</v>
      </c>
      <c r="AA121" s="180">
        <v>0</v>
      </c>
      <c r="AB121" s="180">
        <v>0</v>
      </c>
      <c r="AC121" s="180"/>
      <c r="AD121" s="180">
        <v>0</v>
      </c>
      <c r="AE121" s="180">
        <v>0</v>
      </c>
      <c r="AF121" s="180">
        <v>0</v>
      </c>
      <c r="AG121" s="180">
        <v>0</v>
      </c>
      <c r="AH121" s="180">
        <v>0</v>
      </c>
      <c r="AI121" s="180">
        <v>697056</v>
      </c>
      <c r="AJ121" s="180">
        <v>0</v>
      </c>
      <c r="AK121" s="180">
        <v>0</v>
      </c>
      <c r="AL121" s="180">
        <v>0</v>
      </c>
      <c r="AM121" s="180"/>
      <c r="AN121" s="180">
        <v>0</v>
      </c>
      <c r="AO121" s="180"/>
      <c r="AP121" s="180">
        <v>0</v>
      </c>
      <c r="AQ121" s="180">
        <v>0</v>
      </c>
      <c r="AR121" s="180">
        <v>0</v>
      </c>
      <c r="AS121" s="180">
        <v>0</v>
      </c>
      <c r="AT121" s="180">
        <v>851510</v>
      </c>
      <c r="AU121" s="180">
        <v>0</v>
      </c>
      <c r="AV121" s="180">
        <v>0</v>
      </c>
      <c r="AW121" s="180">
        <v>0</v>
      </c>
      <c r="AX121" s="180">
        <v>0</v>
      </c>
      <c r="AY121" s="180">
        <v>0</v>
      </c>
      <c r="AZ121" s="180">
        <v>0</v>
      </c>
      <c r="BA121" s="180">
        <v>0</v>
      </c>
      <c r="BB121" s="180">
        <v>0</v>
      </c>
      <c r="BC121" s="180">
        <v>0</v>
      </c>
      <c r="BD121" s="180">
        <v>0</v>
      </c>
      <c r="BE121" s="180">
        <v>0</v>
      </c>
      <c r="BF121" s="180">
        <v>0</v>
      </c>
      <c r="BG121" s="180">
        <v>0</v>
      </c>
      <c r="BH121" s="180">
        <v>0</v>
      </c>
      <c r="BI121" s="180">
        <v>0</v>
      </c>
      <c r="BJ121" s="180">
        <v>0</v>
      </c>
      <c r="BK121" s="180">
        <v>0</v>
      </c>
      <c r="BL121" s="180">
        <v>0</v>
      </c>
      <c r="BM121" s="180">
        <v>0</v>
      </c>
      <c r="BN121" s="180">
        <v>0</v>
      </c>
      <c r="BO121" s="180">
        <v>0</v>
      </c>
      <c r="BP121" s="180">
        <v>18972804</v>
      </c>
      <c r="BQ121" s="180">
        <v>0</v>
      </c>
      <c r="BR121" s="180"/>
      <c r="BS121" s="180">
        <v>0</v>
      </c>
      <c r="BT121" s="180"/>
      <c r="BU121" s="180">
        <v>0</v>
      </c>
      <c r="BV121" s="180">
        <v>0</v>
      </c>
      <c r="BW121" s="180">
        <v>0</v>
      </c>
      <c r="BX121" s="180">
        <v>0</v>
      </c>
      <c r="BY121" s="180"/>
      <c r="BZ121" s="180">
        <v>0</v>
      </c>
      <c r="CA121" s="180">
        <v>0</v>
      </c>
      <c r="CB121" s="180">
        <v>0</v>
      </c>
      <c r="CC121" s="180">
        <v>0</v>
      </c>
      <c r="CD121" s="180">
        <v>0</v>
      </c>
      <c r="CE121" s="180"/>
      <c r="CF121" s="180">
        <v>0</v>
      </c>
      <c r="CG121" s="180">
        <v>0</v>
      </c>
      <c r="CH121" s="180">
        <v>0</v>
      </c>
      <c r="CI121" s="180">
        <v>0</v>
      </c>
      <c r="CJ121" s="180"/>
      <c r="CK121" s="180">
        <v>0</v>
      </c>
      <c r="CL121" s="180"/>
      <c r="CM121" s="180"/>
      <c r="CN121" s="180"/>
      <c r="CO121" s="180"/>
      <c r="CP121" s="180"/>
      <c r="CQ121" s="180"/>
      <c r="CR121" s="180"/>
      <c r="CS121" s="180"/>
      <c r="CT121" s="180"/>
      <c r="CU121" s="180"/>
    </row>
    <row r="122" spans="1:99" x14ac:dyDescent="0.3">
      <c r="A122" s="155">
        <v>522</v>
      </c>
      <c r="B122" s="180" t="s">
        <v>269</v>
      </c>
      <c r="C122" s="180"/>
      <c r="D122" s="180">
        <v>7080</v>
      </c>
      <c r="E122" s="180">
        <v>0</v>
      </c>
      <c r="F122" s="180">
        <v>3740</v>
      </c>
      <c r="G122" s="180">
        <v>1100</v>
      </c>
      <c r="H122" s="180"/>
      <c r="I122" s="180">
        <v>25272</v>
      </c>
      <c r="J122" s="180">
        <v>0</v>
      </c>
      <c r="K122" s="180">
        <v>545530</v>
      </c>
      <c r="L122" s="180">
        <v>0</v>
      </c>
      <c r="M122" s="180">
        <v>0</v>
      </c>
      <c r="N122" s="180"/>
      <c r="O122" s="180">
        <v>1532645</v>
      </c>
      <c r="P122" s="180">
        <v>0</v>
      </c>
      <c r="Q122" s="180">
        <v>0</v>
      </c>
      <c r="R122" s="180">
        <v>0</v>
      </c>
      <c r="S122" s="180">
        <v>0</v>
      </c>
      <c r="T122" s="180">
        <v>0</v>
      </c>
      <c r="U122" s="180">
        <v>0</v>
      </c>
      <c r="V122" s="180">
        <v>756</v>
      </c>
      <c r="W122" s="180">
        <v>57526</v>
      </c>
      <c r="X122" s="180">
        <v>0</v>
      </c>
      <c r="Y122" s="180">
        <v>9113000</v>
      </c>
      <c r="Z122" s="180">
        <v>122923</v>
      </c>
      <c r="AA122" s="180">
        <v>0</v>
      </c>
      <c r="AB122" s="180">
        <v>0</v>
      </c>
      <c r="AC122" s="180"/>
      <c r="AD122" s="180">
        <v>44506</v>
      </c>
      <c r="AE122" s="180">
        <v>25105</v>
      </c>
      <c r="AF122" s="180">
        <v>1170765</v>
      </c>
      <c r="AG122" s="180">
        <v>0</v>
      </c>
      <c r="AH122" s="180">
        <v>0</v>
      </c>
      <c r="AI122" s="180">
        <v>204495</v>
      </c>
      <c r="AJ122" s="180">
        <v>28712</v>
      </c>
      <c r="AK122" s="180">
        <v>6600</v>
      </c>
      <c r="AL122" s="180">
        <v>0</v>
      </c>
      <c r="AM122" s="180"/>
      <c r="AN122" s="180">
        <v>8095</v>
      </c>
      <c r="AO122" s="180"/>
      <c r="AP122" s="180">
        <v>0</v>
      </c>
      <c r="AQ122" s="180">
        <v>782436</v>
      </c>
      <c r="AR122" s="180">
        <v>0</v>
      </c>
      <c r="AS122" s="180">
        <v>0</v>
      </c>
      <c r="AT122" s="180">
        <v>143731</v>
      </c>
      <c r="AU122" s="180">
        <v>11258</v>
      </c>
      <c r="AV122" s="180">
        <v>0</v>
      </c>
      <c r="AW122" s="180">
        <v>0</v>
      </c>
      <c r="AX122" s="180">
        <v>1896</v>
      </c>
      <c r="AY122" s="180">
        <v>0</v>
      </c>
      <c r="AZ122" s="180">
        <v>0</v>
      </c>
      <c r="BA122" s="180">
        <v>3552</v>
      </c>
      <c r="BB122" s="180">
        <v>4688</v>
      </c>
      <c r="BC122" s="180">
        <v>40771</v>
      </c>
      <c r="BD122" s="180">
        <v>0</v>
      </c>
      <c r="BE122" s="180">
        <v>0</v>
      </c>
      <c r="BF122" s="180">
        <v>50516</v>
      </c>
      <c r="BG122" s="180">
        <v>0</v>
      </c>
      <c r="BH122" s="180">
        <v>0</v>
      </c>
      <c r="BI122" s="180">
        <v>66178</v>
      </c>
      <c r="BJ122" s="180">
        <v>0</v>
      </c>
      <c r="BK122" s="180">
        <v>1085</v>
      </c>
      <c r="BL122" s="180">
        <v>10516</v>
      </c>
      <c r="BM122" s="180">
        <v>3952</v>
      </c>
      <c r="BN122" s="180">
        <v>0</v>
      </c>
      <c r="BO122" s="180">
        <v>287690</v>
      </c>
      <c r="BP122" s="180">
        <v>162787</v>
      </c>
      <c r="BQ122" s="180">
        <v>0</v>
      </c>
      <c r="BR122" s="180"/>
      <c r="BS122" s="180">
        <v>2444</v>
      </c>
      <c r="BT122" s="180"/>
      <c r="BU122" s="180">
        <v>0</v>
      </c>
      <c r="BV122" s="180">
        <v>0</v>
      </c>
      <c r="BW122" s="180">
        <v>601312</v>
      </c>
      <c r="BX122" s="180">
        <v>46050</v>
      </c>
      <c r="BY122" s="180"/>
      <c r="BZ122" s="180">
        <v>87875</v>
      </c>
      <c r="CA122" s="180">
        <v>9678</v>
      </c>
      <c r="CB122" s="180">
        <v>0</v>
      </c>
      <c r="CC122" s="180">
        <v>0</v>
      </c>
      <c r="CD122" s="180">
        <v>8608</v>
      </c>
      <c r="CE122" s="180"/>
      <c r="CF122" s="180">
        <v>45723</v>
      </c>
      <c r="CG122" s="180">
        <v>0</v>
      </c>
      <c r="CH122" s="180">
        <v>13064</v>
      </c>
      <c r="CI122" s="180">
        <v>0</v>
      </c>
      <c r="CJ122" s="180"/>
      <c r="CK122" s="180">
        <v>0</v>
      </c>
      <c r="CL122" s="180"/>
      <c r="CM122" s="180"/>
      <c r="CN122" s="180"/>
      <c r="CO122" s="180"/>
      <c r="CP122" s="180"/>
      <c r="CQ122" s="180"/>
      <c r="CR122" s="180"/>
      <c r="CS122" s="180"/>
      <c r="CT122" s="180"/>
      <c r="CU122" s="180"/>
    </row>
    <row r="123" spans="1:99" x14ac:dyDescent="0.3">
      <c r="A123" s="155">
        <v>523</v>
      </c>
      <c r="B123" s="180" t="s">
        <v>270</v>
      </c>
      <c r="C123" s="180"/>
      <c r="D123" s="180">
        <v>0</v>
      </c>
      <c r="E123" s="180">
        <v>0</v>
      </c>
      <c r="F123" s="180">
        <v>0</v>
      </c>
      <c r="G123" s="180">
        <v>0</v>
      </c>
      <c r="H123" s="180"/>
      <c r="I123" s="180">
        <v>0</v>
      </c>
      <c r="J123" s="180">
        <v>0</v>
      </c>
      <c r="K123" s="180">
        <v>0</v>
      </c>
      <c r="L123" s="180">
        <v>0</v>
      </c>
      <c r="M123" s="180">
        <v>0</v>
      </c>
      <c r="N123" s="180"/>
      <c r="O123" s="180">
        <v>51888567</v>
      </c>
      <c r="P123" s="180">
        <v>0</v>
      </c>
      <c r="Q123" s="180">
        <v>0</v>
      </c>
      <c r="R123" s="180">
        <v>0</v>
      </c>
      <c r="S123" s="180">
        <v>0</v>
      </c>
      <c r="T123" s="180">
        <v>0</v>
      </c>
      <c r="U123" s="180">
        <v>0</v>
      </c>
      <c r="V123" s="180">
        <v>0</v>
      </c>
      <c r="W123" s="180">
        <v>0</v>
      </c>
      <c r="X123" s="180">
        <v>0</v>
      </c>
      <c r="Y123" s="180">
        <v>15310000</v>
      </c>
      <c r="Z123" s="180">
        <v>0</v>
      </c>
      <c r="AA123" s="180">
        <v>0</v>
      </c>
      <c r="AB123" s="180">
        <v>0</v>
      </c>
      <c r="AC123" s="180"/>
      <c r="AD123" s="180">
        <v>0</v>
      </c>
      <c r="AE123" s="180">
        <v>118248</v>
      </c>
      <c r="AF123" s="180">
        <v>789328</v>
      </c>
      <c r="AG123" s="180">
        <v>0</v>
      </c>
      <c r="AH123" s="180">
        <v>0</v>
      </c>
      <c r="AI123" s="180">
        <v>7384980</v>
      </c>
      <c r="AJ123" s="180">
        <v>0</v>
      </c>
      <c r="AK123" s="180">
        <v>0</v>
      </c>
      <c r="AL123" s="180">
        <v>0</v>
      </c>
      <c r="AM123" s="180"/>
      <c r="AN123" s="180">
        <v>0</v>
      </c>
      <c r="AO123" s="180"/>
      <c r="AP123" s="180">
        <v>0</v>
      </c>
      <c r="AQ123" s="180">
        <v>8815520</v>
      </c>
      <c r="AR123" s="180">
        <v>0</v>
      </c>
      <c r="AS123" s="180">
        <v>0</v>
      </c>
      <c r="AT123" s="180">
        <v>3647820</v>
      </c>
      <c r="AU123" s="180">
        <v>0</v>
      </c>
      <c r="AV123" s="180">
        <v>0</v>
      </c>
      <c r="AW123" s="180">
        <v>0</v>
      </c>
      <c r="AX123" s="180">
        <v>0</v>
      </c>
      <c r="AY123" s="180">
        <v>0</v>
      </c>
      <c r="AZ123" s="180">
        <v>0</v>
      </c>
      <c r="BA123" s="180">
        <v>56472</v>
      </c>
      <c r="BB123" s="180">
        <v>0</v>
      </c>
      <c r="BC123" s="180">
        <v>147249</v>
      </c>
      <c r="BD123" s="180">
        <v>0</v>
      </c>
      <c r="BE123" s="180">
        <v>0</v>
      </c>
      <c r="BF123" s="180">
        <v>0</v>
      </c>
      <c r="BG123" s="180">
        <v>0</v>
      </c>
      <c r="BH123" s="180">
        <v>0</v>
      </c>
      <c r="BI123" s="180">
        <v>0</v>
      </c>
      <c r="BJ123" s="180">
        <v>0</v>
      </c>
      <c r="BK123" s="180">
        <v>0</v>
      </c>
      <c r="BL123" s="180">
        <v>0</v>
      </c>
      <c r="BM123" s="180">
        <v>55578</v>
      </c>
      <c r="BN123" s="180">
        <v>0</v>
      </c>
      <c r="BO123" s="180">
        <v>758160</v>
      </c>
      <c r="BP123" s="180">
        <v>150686911</v>
      </c>
      <c r="BQ123" s="180">
        <v>0</v>
      </c>
      <c r="BR123" s="180"/>
      <c r="BS123" s="180">
        <v>92850</v>
      </c>
      <c r="BT123" s="180"/>
      <c r="BU123" s="180">
        <v>0</v>
      </c>
      <c r="BV123" s="180">
        <v>0</v>
      </c>
      <c r="BW123" s="180">
        <v>0</v>
      </c>
      <c r="BX123" s="180">
        <v>0</v>
      </c>
      <c r="BY123" s="180"/>
      <c r="BZ123" s="180">
        <v>197832</v>
      </c>
      <c r="CA123" s="180">
        <v>26689</v>
      </c>
      <c r="CB123" s="180">
        <v>4445997</v>
      </c>
      <c r="CC123" s="180">
        <v>0</v>
      </c>
      <c r="CD123" s="180">
        <v>455326</v>
      </c>
      <c r="CE123" s="180"/>
      <c r="CF123" s="180">
        <v>0</v>
      </c>
      <c r="CG123" s="180">
        <v>0</v>
      </c>
      <c r="CH123" s="180">
        <v>5980</v>
      </c>
      <c r="CI123" s="180">
        <v>0</v>
      </c>
      <c r="CJ123" s="180"/>
      <c r="CK123" s="180">
        <v>0</v>
      </c>
      <c r="CL123" s="180"/>
      <c r="CM123" s="180"/>
      <c r="CN123" s="180"/>
      <c r="CO123" s="180"/>
      <c r="CP123" s="180"/>
      <c r="CQ123" s="180"/>
      <c r="CR123" s="180"/>
      <c r="CS123" s="180"/>
      <c r="CT123" s="180"/>
      <c r="CU123" s="180"/>
    </row>
    <row r="124" spans="1:99" x14ac:dyDescent="0.3">
      <c r="A124" s="155">
        <v>524</v>
      </c>
      <c r="B124" s="180" t="s">
        <v>271</v>
      </c>
      <c r="C124" s="180"/>
      <c r="D124" s="180">
        <v>1755338</v>
      </c>
      <c r="E124" s="180">
        <v>0</v>
      </c>
      <c r="F124" s="180">
        <v>1592437</v>
      </c>
      <c r="G124" s="180">
        <v>918316</v>
      </c>
      <c r="H124" s="180"/>
      <c r="I124" s="180">
        <v>5637785</v>
      </c>
      <c r="J124" s="180">
        <v>0</v>
      </c>
      <c r="K124" s="180">
        <v>19745373</v>
      </c>
      <c r="L124" s="180">
        <v>0</v>
      </c>
      <c r="M124" s="180">
        <v>0</v>
      </c>
      <c r="N124" s="180"/>
      <c r="O124" s="180">
        <v>236869616</v>
      </c>
      <c r="P124" s="180">
        <v>0</v>
      </c>
      <c r="Q124" s="180">
        <v>0</v>
      </c>
      <c r="R124" s="180">
        <v>0</v>
      </c>
      <c r="S124" s="180">
        <v>0</v>
      </c>
      <c r="T124" s="180">
        <v>0</v>
      </c>
      <c r="U124" s="180">
        <v>0</v>
      </c>
      <c r="V124" s="180">
        <v>1170127</v>
      </c>
      <c r="W124" s="180">
        <v>0</v>
      </c>
      <c r="X124" s="180">
        <v>0</v>
      </c>
      <c r="Y124" s="180">
        <v>2200292000</v>
      </c>
      <c r="Z124" s="180">
        <v>11591163</v>
      </c>
      <c r="AA124" s="180">
        <v>1326496</v>
      </c>
      <c r="AB124" s="180">
        <v>0</v>
      </c>
      <c r="AC124" s="180"/>
      <c r="AD124" s="180">
        <v>5631095</v>
      </c>
      <c r="AE124" s="180">
        <v>2538904</v>
      </c>
      <c r="AF124" s="180">
        <v>19232312</v>
      </c>
      <c r="AG124" s="180">
        <v>0</v>
      </c>
      <c r="AH124" s="180">
        <v>3919801</v>
      </c>
      <c r="AI124" s="180">
        <v>9611767</v>
      </c>
      <c r="AJ124" s="180">
        <v>1548211</v>
      </c>
      <c r="AK124" s="180">
        <v>706618</v>
      </c>
      <c r="AL124" s="180">
        <v>1705519</v>
      </c>
      <c r="AM124" s="180"/>
      <c r="AN124" s="180">
        <v>5447987</v>
      </c>
      <c r="AO124" s="180"/>
      <c r="AP124" s="180">
        <v>0</v>
      </c>
      <c r="AQ124" s="180">
        <v>139116326</v>
      </c>
      <c r="AR124" s="180">
        <v>0</v>
      </c>
      <c r="AS124" s="180">
        <v>2084101</v>
      </c>
      <c r="AT124" s="180">
        <v>0</v>
      </c>
      <c r="AU124" s="180">
        <v>2547140</v>
      </c>
      <c r="AV124" s="180">
        <v>0</v>
      </c>
      <c r="AW124" s="180">
        <v>0</v>
      </c>
      <c r="AX124" s="180">
        <v>2145758</v>
      </c>
      <c r="AY124" s="180">
        <v>0</v>
      </c>
      <c r="AZ124" s="180">
        <v>0</v>
      </c>
      <c r="BA124" s="180">
        <v>3037134</v>
      </c>
      <c r="BB124" s="180">
        <v>658696</v>
      </c>
      <c r="BC124" s="180">
        <v>7679213</v>
      </c>
      <c r="BD124" s="180">
        <v>0</v>
      </c>
      <c r="BE124" s="180">
        <v>0</v>
      </c>
      <c r="BF124" s="180">
        <v>7826211</v>
      </c>
      <c r="BG124" s="180">
        <v>0</v>
      </c>
      <c r="BH124" s="180">
        <v>0</v>
      </c>
      <c r="BI124" s="180">
        <v>5420273</v>
      </c>
      <c r="BJ124" s="180">
        <v>0</v>
      </c>
      <c r="BK124" s="180">
        <v>2699670</v>
      </c>
      <c r="BL124" s="180">
        <v>4253886</v>
      </c>
      <c r="BM124" s="180">
        <v>1172115</v>
      </c>
      <c r="BN124" s="180">
        <v>0</v>
      </c>
      <c r="BO124" s="180">
        <v>23377189</v>
      </c>
      <c r="BP124" s="180">
        <v>15194173</v>
      </c>
      <c r="BQ124" s="180">
        <v>0</v>
      </c>
      <c r="BR124" s="180"/>
      <c r="BS124" s="180">
        <v>914941</v>
      </c>
      <c r="BT124" s="180"/>
      <c r="BU124" s="180">
        <v>2232302</v>
      </c>
      <c r="BV124" s="180">
        <v>0</v>
      </c>
      <c r="BW124" s="180">
        <v>42573854</v>
      </c>
      <c r="BX124" s="180">
        <v>10402229</v>
      </c>
      <c r="BY124" s="180"/>
      <c r="BZ124" s="180">
        <v>12300024</v>
      </c>
      <c r="CA124" s="180">
        <v>2365456</v>
      </c>
      <c r="CB124" s="180">
        <v>0</v>
      </c>
      <c r="CC124" s="180">
        <v>2163651</v>
      </c>
      <c r="CD124" s="180">
        <v>1161971</v>
      </c>
      <c r="CE124" s="180"/>
      <c r="CF124" s="180">
        <v>5549754</v>
      </c>
      <c r="CG124" s="180">
        <v>0</v>
      </c>
      <c r="CH124" s="180">
        <v>7188593</v>
      </c>
      <c r="CI124" s="180">
        <v>0</v>
      </c>
      <c r="CJ124" s="180"/>
      <c r="CK124" s="180">
        <v>1261341</v>
      </c>
      <c r="CL124" s="180"/>
      <c r="CM124" s="180"/>
      <c r="CN124" s="180"/>
      <c r="CO124" s="180"/>
      <c r="CP124" s="180"/>
      <c r="CQ124" s="180"/>
      <c r="CR124" s="180"/>
      <c r="CS124" s="180"/>
      <c r="CT124" s="180"/>
      <c r="CU124" s="180"/>
    </row>
    <row r="125" spans="1:99" x14ac:dyDescent="0.3">
      <c r="A125" s="155">
        <v>525</v>
      </c>
      <c r="B125" s="180" t="s">
        <v>272</v>
      </c>
      <c r="C125" s="180"/>
      <c r="D125" s="180">
        <v>0</v>
      </c>
      <c r="E125" s="180">
        <v>0</v>
      </c>
      <c r="F125" s="180">
        <v>0</v>
      </c>
      <c r="G125" s="180">
        <v>0</v>
      </c>
      <c r="H125" s="180"/>
      <c r="I125" s="180">
        <v>0</v>
      </c>
      <c r="J125" s="180">
        <v>0</v>
      </c>
      <c r="K125" s="180">
        <v>0</v>
      </c>
      <c r="L125" s="180">
        <v>0</v>
      </c>
      <c r="M125" s="180">
        <v>0</v>
      </c>
      <c r="N125" s="180"/>
      <c r="O125" s="180">
        <v>0</v>
      </c>
      <c r="P125" s="180">
        <v>0</v>
      </c>
      <c r="Q125" s="180">
        <v>0</v>
      </c>
      <c r="R125" s="180">
        <v>0</v>
      </c>
      <c r="S125" s="180">
        <v>0</v>
      </c>
      <c r="T125" s="180">
        <v>0</v>
      </c>
      <c r="U125" s="180">
        <v>0</v>
      </c>
      <c r="V125" s="180">
        <v>0</v>
      </c>
      <c r="W125" s="180">
        <v>4869935</v>
      </c>
      <c r="X125" s="180">
        <v>0</v>
      </c>
      <c r="Y125" s="180">
        <v>0</v>
      </c>
      <c r="Z125" s="180">
        <v>0</v>
      </c>
      <c r="AA125" s="180">
        <v>0</v>
      </c>
      <c r="AB125" s="180">
        <v>0</v>
      </c>
      <c r="AC125" s="180"/>
      <c r="AD125" s="180">
        <v>0</v>
      </c>
      <c r="AE125" s="180">
        <v>0</v>
      </c>
      <c r="AF125" s="180">
        <v>6774892</v>
      </c>
      <c r="AG125" s="180">
        <v>0</v>
      </c>
      <c r="AH125" s="180">
        <v>0</v>
      </c>
      <c r="AI125" s="180">
        <v>10970549</v>
      </c>
      <c r="AJ125" s="180">
        <v>0</v>
      </c>
      <c r="AK125" s="180">
        <v>0</v>
      </c>
      <c r="AL125" s="180">
        <v>0</v>
      </c>
      <c r="AM125" s="180"/>
      <c r="AN125" s="180">
        <v>0</v>
      </c>
      <c r="AO125" s="180"/>
      <c r="AP125" s="180">
        <v>0</v>
      </c>
      <c r="AQ125" s="180">
        <v>0</v>
      </c>
      <c r="AR125" s="180">
        <v>0</v>
      </c>
      <c r="AS125" s="180">
        <v>0</v>
      </c>
      <c r="AT125" s="180">
        <v>16291789</v>
      </c>
      <c r="AU125" s="180">
        <v>0</v>
      </c>
      <c r="AV125" s="180">
        <v>0</v>
      </c>
      <c r="AW125" s="180">
        <v>0</v>
      </c>
      <c r="AX125" s="180">
        <v>0</v>
      </c>
      <c r="AY125" s="180">
        <v>0</v>
      </c>
      <c r="AZ125" s="180">
        <v>0</v>
      </c>
      <c r="BA125" s="180">
        <v>0</v>
      </c>
      <c r="BB125" s="180">
        <v>0</v>
      </c>
      <c r="BC125" s="180">
        <v>0</v>
      </c>
      <c r="BD125" s="180">
        <v>0</v>
      </c>
      <c r="BE125" s="180">
        <v>0</v>
      </c>
      <c r="BF125" s="180">
        <v>0</v>
      </c>
      <c r="BG125" s="180">
        <v>0</v>
      </c>
      <c r="BH125" s="180">
        <v>0</v>
      </c>
      <c r="BI125" s="180">
        <v>0</v>
      </c>
      <c r="BJ125" s="180">
        <v>0</v>
      </c>
      <c r="BK125" s="180">
        <v>0</v>
      </c>
      <c r="BL125" s="180">
        <v>0</v>
      </c>
      <c r="BM125" s="180">
        <v>0</v>
      </c>
      <c r="BN125" s="180">
        <v>0</v>
      </c>
      <c r="BO125" s="180">
        <v>0</v>
      </c>
      <c r="BP125" s="180">
        <v>397587743</v>
      </c>
      <c r="BQ125" s="180">
        <v>0</v>
      </c>
      <c r="BR125" s="180"/>
      <c r="BS125" s="180">
        <v>0</v>
      </c>
      <c r="BT125" s="180"/>
      <c r="BU125" s="180">
        <v>0</v>
      </c>
      <c r="BV125" s="180">
        <v>0</v>
      </c>
      <c r="BW125" s="180">
        <v>0</v>
      </c>
      <c r="BX125" s="180">
        <v>0</v>
      </c>
      <c r="BY125" s="180"/>
      <c r="BZ125" s="180">
        <v>0</v>
      </c>
      <c r="CA125" s="180">
        <v>0</v>
      </c>
      <c r="CB125" s="180">
        <v>0</v>
      </c>
      <c r="CC125" s="180">
        <v>0</v>
      </c>
      <c r="CD125" s="180">
        <v>0</v>
      </c>
      <c r="CE125" s="180"/>
      <c r="CF125" s="180">
        <v>0</v>
      </c>
      <c r="CG125" s="180">
        <v>0</v>
      </c>
      <c r="CH125" s="180">
        <v>0</v>
      </c>
      <c r="CI125" s="180">
        <v>0</v>
      </c>
      <c r="CJ125" s="180"/>
      <c r="CK125" s="180">
        <v>0</v>
      </c>
      <c r="CL125" s="180"/>
      <c r="CM125" s="180"/>
      <c r="CN125" s="180"/>
      <c r="CO125" s="180"/>
      <c r="CP125" s="180"/>
      <c r="CQ125" s="180"/>
      <c r="CR125" s="180"/>
      <c r="CS125" s="180"/>
      <c r="CT125" s="180"/>
      <c r="CU125" s="180"/>
    </row>
    <row r="126" spans="1:99" x14ac:dyDescent="0.3">
      <c r="A126" s="155">
        <v>526</v>
      </c>
      <c r="B126" s="180" t="s">
        <v>273</v>
      </c>
      <c r="C126" s="180"/>
      <c r="D126" s="180">
        <v>177000</v>
      </c>
      <c r="E126" s="180">
        <v>0</v>
      </c>
      <c r="F126" s="180">
        <v>43653</v>
      </c>
      <c r="G126" s="180">
        <v>5408</v>
      </c>
      <c r="H126" s="180"/>
      <c r="I126" s="180">
        <v>234863</v>
      </c>
      <c r="J126" s="180">
        <v>0</v>
      </c>
      <c r="K126" s="180">
        <v>3717212</v>
      </c>
      <c r="L126" s="180">
        <v>0</v>
      </c>
      <c r="M126" s="180">
        <v>0</v>
      </c>
      <c r="N126" s="180"/>
      <c r="O126" s="180">
        <v>15936707</v>
      </c>
      <c r="P126" s="180">
        <v>0</v>
      </c>
      <c r="Q126" s="180">
        <v>0</v>
      </c>
      <c r="R126" s="180">
        <v>0</v>
      </c>
      <c r="S126" s="180">
        <v>0</v>
      </c>
      <c r="T126" s="180">
        <v>0</v>
      </c>
      <c r="U126" s="180">
        <v>0</v>
      </c>
      <c r="V126" s="180">
        <v>3175</v>
      </c>
      <c r="W126" s="180">
        <v>390575</v>
      </c>
      <c r="X126" s="180">
        <v>0</v>
      </c>
      <c r="Y126" s="180">
        <v>72809000</v>
      </c>
      <c r="Z126" s="180">
        <v>674789</v>
      </c>
      <c r="AA126" s="180">
        <v>0</v>
      </c>
      <c r="AB126" s="180">
        <v>0</v>
      </c>
      <c r="AC126" s="180"/>
      <c r="AD126" s="180">
        <v>383606</v>
      </c>
      <c r="AE126" s="180">
        <v>342754</v>
      </c>
      <c r="AF126" s="180">
        <v>0</v>
      </c>
      <c r="AG126" s="180">
        <v>0</v>
      </c>
      <c r="AH126" s="180">
        <v>75176</v>
      </c>
      <c r="AI126" s="180">
        <v>2768476</v>
      </c>
      <c r="AJ126" s="180">
        <v>288530</v>
      </c>
      <c r="AK126" s="180">
        <v>178747</v>
      </c>
      <c r="AL126" s="180">
        <v>0</v>
      </c>
      <c r="AM126" s="180"/>
      <c r="AN126" s="180">
        <v>187065</v>
      </c>
      <c r="AO126" s="180"/>
      <c r="AP126" s="180">
        <v>0</v>
      </c>
      <c r="AQ126" s="180">
        <v>6410579</v>
      </c>
      <c r="AR126" s="180">
        <v>0</v>
      </c>
      <c r="AS126" s="180">
        <v>66519</v>
      </c>
      <c r="AT126" s="180">
        <v>3630395</v>
      </c>
      <c r="AU126" s="180">
        <v>283534</v>
      </c>
      <c r="AV126" s="180">
        <v>0</v>
      </c>
      <c r="AW126" s="180">
        <v>0</v>
      </c>
      <c r="AX126" s="180">
        <v>24198</v>
      </c>
      <c r="AY126" s="180">
        <v>0</v>
      </c>
      <c r="AZ126" s="180">
        <v>0</v>
      </c>
      <c r="BA126" s="180">
        <v>111323</v>
      </c>
      <c r="BB126" s="180">
        <v>66315</v>
      </c>
      <c r="BC126" s="180">
        <v>930299</v>
      </c>
      <c r="BD126" s="180">
        <v>0</v>
      </c>
      <c r="BE126" s="180">
        <v>0</v>
      </c>
      <c r="BF126" s="180">
        <v>1215014</v>
      </c>
      <c r="BG126" s="180">
        <v>0</v>
      </c>
      <c r="BH126" s="180">
        <v>0</v>
      </c>
      <c r="BI126" s="180">
        <v>980539</v>
      </c>
      <c r="BJ126" s="180">
        <v>0</v>
      </c>
      <c r="BK126" s="180">
        <v>21072</v>
      </c>
      <c r="BL126" s="180">
        <v>193058</v>
      </c>
      <c r="BM126" s="180">
        <v>173006</v>
      </c>
      <c r="BN126" s="180">
        <v>0</v>
      </c>
      <c r="BO126" s="180">
        <v>1841341</v>
      </c>
      <c r="BP126" s="180">
        <v>966307</v>
      </c>
      <c r="BQ126" s="180">
        <v>0</v>
      </c>
      <c r="BR126" s="180"/>
      <c r="BS126" s="180">
        <v>79044</v>
      </c>
      <c r="BT126" s="180"/>
      <c r="BU126" s="180">
        <v>59978</v>
      </c>
      <c r="BV126" s="180">
        <v>0</v>
      </c>
      <c r="BW126" s="180">
        <v>15124706</v>
      </c>
      <c r="BX126" s="180">
        <v>692818</v>
      </c>
      <c r="BY126" s="180"/>
      <c r="BZ126" s="180">
        <v>932492</v>
      </c>
      <c r="CA126" s="180">
        <v>109911</v>
      </c>
      <c r="CB126" s="180">
        <v>0</v>
      </c>
      <c r="CC126" s="180">
        <v>13293</v>
      </c>
      <c r="CD126" s="180">
        <v>158607</v>
      </c>
      <c r="CE126" s="180"/>
      <c r="CF126" s="180">
        <v>482998</v>
      </c>
      <c r="CG126" s="180">
        <v>0</v>
      </c>
      <c r="CH126" s="180">
        <v>390803</v>
      </c>
      <c r="CI126" s="180">
        <v>0</v>
      </c>
      <c r="CJ126" s="180"/>
      <c r="CK126" s="180">
        <v>0</v>
      </c>
      <c r="CL126" s="180"/>
      <c r="CM126" s="180"/>
      <c r="CN126" s="180"/>
      <c r="CO126" s="180"/>
      <c r="CP126" s="180"/>
      <c r="CQ126" s="180"/>
      <c r="CR126" s="180"/>
      <c r="CS126" s="180"/>
      <c r="CT126" s="180"/>
      <c r="CU126" s="180"/>
    </row>
    <row r="127" spans="1:99" x14ac:dyDescent="0.3">
      <c r="A127" s="155">
        <v>527</v>
      </c>
      <c r="B127" s="180" t="s">
        <v>274</v>
      </c>
      <c r="C127" s="180"/>
      <c r="D127" s="180">
        <v>0</v>
      </c>
      <c r="E127" s="180">
        <v>0</v>
      </c>
      <c r="F127" s="180">
        <v>0</v>
      </c>
      <c r="G127" s="180">
        <v>0</v>
      </c>
      <c r="H127" s="180"/>
      <c r="I127" s="180">
        <v>0</v>
      </c>
      <c r="J127" s="180">
        <v>0</v>
      </c>
      <c r="K127" s="180">
        <v>0</v>
      </c>
      <c r="L127" s="180">
        <v>0</v>
      </c>
      <c r="M127" s="180">
        <v>0</v>
      </c>
      <c r="N127" s="180"/>
      <c r="O127" s="180">
        <v>0</v>
      </c>
      <c r="P127" s="180">
        <v>0</v>
      </c>
      <c r="Q127" s="180">
        <v>0</v>
      </c>
      <c r="R127" s="180">
        <v>0</v>
      </c>
      <c r="S127" s="180">
        <v>0</v>
      </c>
      <c r="T127" s="180">
        <v>0</v>
      </c>
      <c r="U127" s="180">
        <v>0</v>
      </c>
      <c r="V127" s="180">
        <v>0</v>
      </c>
      <c r="W127" s="180">
        <v>0</v>
      </c>
      <c r="X127" s="180">
        <v>0</v>
      </c>
      <c r="Y127" s="180">
        <v>0</v>
      </c>
      <c r="Z127" s="180">
        <v>0</v>
      </c>
      <c r="AA127" s="180">
        <v>0</v>
      </c>
      <c r="AB127" s="180">
        <v>0</v>
      </c>
      <c r="AC127" s="180"/>
      <c r="AD127" s="180">
        <v>0</v>
      </c>
      <c r="AE127" s="180">
        <v>0</v>
      </c>
      <c r="AF127" s="180">
        <v>960596</v>
      </c>
      <c r="AG127" s="180">
        <v>0</v>
      </c>
      <c r="AH127" s="180">
        <v>0</v>
      </c>
      <c r="AI127" s="180">
        <v>0</v>
      </c>
      <c r="AJ127" s="180">
        <v>0</v>
      </c>
      <c r="AK127" s="180">
        <v>0</v>
      </c>
      <c r="AL127" s="180">
        <v>0</v>
      </c>
      <c r="AM127" s="180"/>
      <c r="AN127" s="180">
        <v>0</v>
      </c>
      <c r="AO127" s="180"/>
      <c r="AP127" s="180">
        <v>0</v>
      </c>
      <c r="AQ127" s="180">
        <v>33557275</v>
      </c>
      <c r="AR127" s="180">
        <v>0</v>
      </c>
      <c r="AS127" s="180">
        <v>0</v>
      </c>
      <c r="AT127" s="180">
        <v>0</v>
      </c>
      <c r="AU127" s="180">
        <v>0</v>
      </c>
      <c r="AV127" s="180">
        <v>0</v>
      </c>
      <c r="AW127" s="180">
        <v>0</v>
      </c>
      <c r="AX127" s="180">
        <v>0</v>
      </c>
      <c r="AY127" s="180">
        <v>0</v>
      </c>
      <c r="AZ127" s="180">
        <v>0</v>
      </c>
      <c r="BA127" s="180">
        <v>0</v>
      </c>
      <c r="BB127" s="180">
        <v>0</v>
      </c>
      <c r="BC127" s="180">
        <v>76213</v>
      </c>
      <c r="BD127" s="180">
        <v>0</v>
      </c>
      <c r="BE127" s="180">
        <v>0</v>
      </c>
      <c r="BF127" s="180">
        <v>0</v>
      </c>
      <c r="BG127" s="180">
        <v>0</v>
      </c>
      <c r="BH127" s="180">
        <v>0</v>
      </c>
      <c r="BI127" s="180">
        <v>0</v>
      </c>
      <c r="BJ127" s="180">
        <v>0</v>
      </c>
      <c r="BK127" s="180">
        <v>0</v>
      </c>
      <c r="BL127" s="180">
        <v>0</v>
      </c>
      <c r="BM127" s="180">
        <v>0</v>
      </c>
      <c r="BN127" s="180">
        <v>0</v>
      </c>
      <c r="BO127" s="180">
        <v>0</v>
      </c>
      <c r="BP127" s="180">
        <v>0</v>
      </c>
      <c r="BQ127" s="180">
        <v>0</v>
      </c>
      <c r="BR127" s="180"/>
      <c r="BS127" s="180">
        <v>0</v>
      </c>
      <c r="BT127" s="180"/>
      <c r="BU127" s="180">
        <v>0</v>
      </c>
      <c r="BV127" s="180">
        <v>0</v>
      </c>
      <c r="BW127" s="180">
        <v>0</v>
      </c>
      <c r="BX127" s="180">
        <v>84147</v>
      </c>
      <c r="BY127" s="180"/>
      <c r="BZ127" s="180">
        <v>0</v>
      </c>
      <c r="CA127" s="180">
        <v>0</v>
      </c>
      <c r="CB127" s="180">
        <v>0</v>
      </c>
      <c r="CC127" s="180">
        <v>0</v>
      </c>
      <c r="CD127" s="180">
        <v>0</v>
      </c>
      <c r="CE127" s="180"/>
      <c r="CF127" s="180">
        <v>0</v>
      </c>
      <c r="CG127" s="180">
        <v>0</v>
      </c>
      <c r="CH127" s="180">
        <v>8800</v>
      </c>
      <c r="CI127" s="180">
        <v>0</v>
      </c>
      <c r="CJ127" s="180"/>
      <c r="CK127" s="180">
        <v>0</v>
      </c>
      <c r="CL127" s="180"/>
      <c r="CM127" s="180"/>
      <c r="CN127" s="180"/>
      <c r="CO127" s="180"/>
      <c r="CP127" s="180"/>
      <c r="CQ127" s="180"/>
      <c r="CR127" s="180"/>
      <c r="CS127" s="180"/>
      <c r="CT127" s="180"/>
      <c r="CU127" s="180"/>
    </row>
    <row r="128" spans="1:99" x14ac:dyDescent="0.3">
      <c r="A128" s="155">
        <v>528</v>
      </c>
      <c r="B128" s="180" t="s">
        <v>257</v>
      </c>
      <c r="C128" s="180"/>
      <c r="D128" s="180">
        <v>0</v>
      </c>
      <c r="E128" s="180">
        <v>280539</v>
      </c>
      <c r="F128" s="180">
        <v>81760</v>
      </c>
      <c r="G128" s="180">
        <v>103543</v>
      </c>
      <c r="H128" s="180"/>
      <c r="I128" s="180">
        <v>3356482</v>
      </c>
      <c r="J128" s="180">
        <v>874690</v>
      </c>
      <c r="K128" s="180">
        <v>6204574</v>
      </c>
      <c r="L128" s="180">
        <v>561498</v>
      </c>
      <c r="M128" s="180">
        <v>15912236</v>
      </c>
      <c r="N128" s="180"/>
      <c r="O128" s="180">
        <v>109693709</v>
      </c>
      <c r="P128" s="180">
        <v>7088</v>
      </c>
      <c r="Q128" s="180">
        <v>29406</v>
      </c>
      <c r="R128" s="180">
        <v>854650</v>
      </c>
      <c r="S128" s="180">
        <v>462608</v>
      </c>
      <c r="T128" s="180">
        <v>603240</v>
      </c>
      <c r="U128" s="180">
        <v>100486</v>
      </c>
      <c r="V128" s="180">
        <v>16470</v>
      </c>
      <c r="W128" s="180">
        <v>483182</v>
      </c>
      <c r="X128" s="180">
        <v>45013957</v>
      </c>
      <c r="Y128" s="180">
        <v>478203000</v>
      </c>
      <c r="Z128" s="180">
        <v>21562357</v>
      </c>
      <c r="AA128" s="180">
        <v>79497</v>
      </c>
      <c r="AB128" s="180">
        <v>1724768</v>
      </c>
      <c r="AC128" s="180"/>
      <c r="AD128" s="180">
        <v>2563071</v>
      </c>
      <c r="AE128" s="180">
        <v>372596</v>
      </c>
      <c r="AF128" s="180">
        <v>15697670</v>
      </c>
      <c r="AG128" s="180">
        <v>3611445</v>
      </c>
      <c r="AH128" s="180">
        <v>602908</v>
      </c>
      <c r="AI128" s="180">
        <v>3114657</v>
      </c>
      <c r="AJ128" s="180">
        <v>425906</v>
      </c>
      <c r="AK128" s="180">
        <v>583225</v>
      </c>
      <c r="AL128" s="180">
        <v>133176</v>
      </c>
      <c r="AM128" s="180"/>
      <c r="AN128" s="180">
        <v>309287</v>
      </c>
      <c r="AO128" s="180"/>
      <c r="AP128" s="180">
        <v>14903</v>
      </c>
      <c r="AQ128" s="180">
        <v>65669967</v>
      </c>
      <c r="AR128" s="180">
        <v>19694</v>
      </c>
      <c r="AS128" s="180">
        <v>61183</v>
      </c>
      <c r="AT128" s="180">
        <v>5776994</v>
      </c>
      <c r="AU128" s="180">
        <v>225572</v>
      </c>
      <c r="AV128" s="180">
        <v>154701</v>
      </c>
      <c r="AW128" s="180">
        <v>15818466</v>
      </c>
      <c r="AX128" s="180">
        <v>41600</v>
      </c>
      <c r="AY128" s="180">
        <v>3067176</v>
      </c>
      <c r="AZ128" s="180">
        <v>2068891</v>
      </c>
      <c r="BA128" s="180">
        <v>85533</v>
      </c>
      <c r="BB128" s="180">
        <v>26901</v>
      </c>
      <c r="BC128" s="180">
        <v>1332385</v>
      </c>
      <c r="BD128" s="180">
        <v>31169</v>
      </c>
      <c r="BE128" s="180">
        <v>7884100</v>
      </c>
      <c r="BF128" s="180">
        <v>805917</v>
      </c>
      <c r="BG128" s="180">
        <v>131917</v>
      </c>
      <c r="BH128" s="180">
        <v>105052</v>
      </c>
      <c r="BI128" s="180">
        <v>773406</v>
      </c>
      <c r="BJ128" s="180">
        <v>0</v>
      </c>
      <c r="BK128" s="180">
        <v>45585</v>
      </c>
      <c r="BL128" s="180">
        <v>351239</v>
      </c>
      <c r="BM128" s="180">
        <v>77421</v>
      </c>
      <c r="BN128" s="180">
        <v>4065641</v>
      </c>
      <c r="BO128" s="180">
        <v>4092120</v>
      </c>
      <c r="BP128" s="180">
        <v>200845714</v>
      </c>
      <c r="BQ128" s="180">
        <v>20237</v>
      </c>
      <c r="BR128" s="180"/>
      <c r="BS128" s="180">
        <v>204858</v>
      </c>
      <c r="BT128" s="180"/>
      <c r="BU128" s="180">
        <v>777387</v>
      </c>
      <c r="BV128" s="180">
        <v>617186</v>
      </c>
      <c r="BW128" s="180">
        <v>5695012</v>
      </c>
      <c r="BX128" s="180">
        <v>2022939</v>
      </c>
      <c r="BY128" s="180"/>
      <c r="BZ128" s="180">
        <v>1621824</v>
      </c>
      <c r="CA128" s="180">
        <v>58682</v>
      </c>
      <c r="CB128" s="180">
        <v>2629550</v>
      </c>
      <c r="CC128" s="180">
        <v>58595</v>
      </c>
      <c r="CD128" s="180">
        <v>242202</v>
      </c>
      <c r="CE128" s="180"/>
      <c r="CF128" s="180">
        <v>2637643</v>
      </c>
      <c r="CG128" s="180">
        <v>5022048</v>
      </c>
      <c r="CH128" s="180">
        <v>550683</v>
      </c>
      <c r="CI128" s="180">
        <v>1419606</v>
      </c>
      <c r="CJ128" s="180"/>
      <c r="CK128" s="180">
        <v>40142</v>
      </c>
      <c r="CL128" s="180"/>
      <c r="CM128" s="180"/>
      <c r="CN128" s="180"/>
      <c r="CO128" s="180"/>
      <c r="CP128" s="180"/>
      <c r="CQ128" s="180"/>
      <c r="CR128" s="180"/>
      <c r="CS128" s="180"/>
      <c r="CT128" s="180"/>
      <c r="CU128" s="180"/>
    </row>
    <row r="129" spans="1:99" x14ac:dyDescent="0.3">
      <c r="A129" s="155">
        <v>529</v>
      </c>
      <c r="B129" s="180" t="s">
        <v>258</v>
      </c>
      <c r="C129" s="180"/>
      <c r="D129" s="180">
        <v>0</v>
      </c>
      <c r="E129" s="180">
        <v>21781</v>
      </c>
      <c r="F129" s="180">
        <v>12571</v>
      </c>
      <c r="G129" s="180">
        <v>13031</v>
      </c>
      <c r="H129" s="180"/>
      <c r="I129" s="180">
        <v>186055</v>
      </c>
      <c r="J129" s="180">
        <v>75011</v>
      </c>
      <c r="K129" s="180">
        <v>227033</v>
      </c>
      <c r="L129" s="180">
        <v>69872</v>
      </c>
      <c r="M129" s="180">
        <v>1604961</v>
      </c>
      <c r="N129" s="180"/>
      <c r="O129" s="180">
        <v>7184351</v>
      </c>
      <c r="P129" s="180">
        <v>1000</v>
      </c>
      <c r="Q129" s="180">
        <v>5751</v>
      </c>
      <c r="R129" s="180">
        <v>23237</v>
      </c>
      <c r="S129" s="180">
        <v>51176</v>
      </c>
      <c r="T129" s="180">
        <v>47775</v>
      </c>
      <c r="U129" s="180">
        <v>10030</v>
      </c>
      <c r="V129" s="180">
        <v>2599</v>
      </c>
      <c r="W129" s="180">
        <v>68190</v>
      </c>
      <c r="X129" s="180">
        <v>3618399</v>
      </c>
      <c r="Y129" s="180">
        <v>18311000</v>
      </c>
      <c r="Z129" s="180">
        <v>273531</v>
      </c>
      <c r="AA129" s="180">
        <v>1587</v>
      </c>
      <c r="AB129" s="180">
        <v>194957</v>
      </c>
      <c r="AC129" s="180"/>
      <c r="AD129" s="180">
        <v>100160</v>
      </c>
      <c r="AE129" s="180">
        <v>24811</v>
      </c>
      <c r="AF129" s="180">
        <v>1592791</v>
      </c>
      <c r="AG129" s="180">
        <v>355630</v>
      </c>
      <c r="AH129" s="180">
        <v>21782</v>
      </c>
      <c r="AI129" s="180">
        <v>323796</v>
      </c>
      <c r="AJ129" s="180">
        <v>46737</v>
      </c>
      <c r="AK129" s="180">
        <v>100087</v>
      </c>
      <c r="AL129" s="180">
        <v>8638</v>
      </c>
      <c r="AM129" s="180"/>
      <c r="AN129" s="180">
        <v>24046</v>
      </c>
      <c r="AO129" s="180"/>
      <c r="AP129" s="180">
        <v>2235</v>
      </c>
      <c r="AQ129" s="180">
        <v>5621684</v>
      </c>
      <c r="AR129" s="180">
        <v>4114</v>
      </c>
      <c r="AS129" s="180">
        <v>6181</v>
      </c>
      <c r="AT129" s="180">
        <v>541444</v>
      </c>
      <c r="AU129" s="180">
        <v>26854</v>
      </c>
      <c r="AV129" s="180">
        <v>24557</v>
      </c>
      <c r="AW129" s="180">
        <v>1114307</v>
      </c>
      <c r="AX129" s="180">
        <v>12635</v>
      </c>
      <c r="AY129" s="180">
        <v>358673</v>
      </c>
      <c r="AZ129" s="180">
        <v>296709</v>
      </c>
      <c r="BA129" s="180">
        <v>12077</v>
      </c>
      <c r="BB129" s="180">
        <v>4924</v>
      </c>
      <c r="BC129" s="180">
        <v>174253</v>
      </c>
      <c r="BD129" s="180">
        <v>2620</v>
      </c>
      <c r="BE129" s="180">
        <v>614560</v>
      </c>
      <c r="BF129" s="180">
        <v>80893</v>
      </c>
      <c r="BG129" s="180">
        <v>5607</v>
      </c>
      <c r="BH129" s="180">
        <v>21600</v>
      </c>
      <c r="BI129" s="180">
        <v>62807</v>
      </c>
      <c r="BJ129" s="180">
        <v>0</v>
      </c>
      <c r="BK129" s="180">
        <v>8995</v>
      </c>
      <c r="BL129" s="180">
        <v>53846</v>
      </c>
      <c r="BM129" s="180">
        <v>12699</v>
      </c>
      <c r="BN129" s="180">
        <v>36662</v>
      </c>
      <c r="BO129" s="180">
        <v>371773</v>
      </c>
      <c r="BP129" s="180">
        <v>13362151</v>
      </c>
      <c r="BQ129" s="180">
        <v>2654</v>
      </c>
      <c r="BR129" s="180"/>
      <c r="BS129" s="180">
        <v>28682</v>
      </c>
      <c r="BT129" s="180"/>
      <c r="BU129" s="180">
        <v>45969</v>
      </c>
      <c r="BV129" s="180">
        <v>106624</v>
      </c>
      <c r="BW129" s="180">
        <v>894714</v>
      </c>
      <c r="BX129" s="180">
        <v>304462</v>
      </c>
      <c r="BY129" s="180"/>
      <c r="BZ129" s="180">
        <v>214963</v>
      </c>
      <c r="CA129" s="180">
        <v>13278</v>
      </c>
      <c r="CB129" s="180">
        <v>215918</v>
      </c>
      <c r="CC129" s="180">
        <v>9229</v>
      </c>
      <c r="CD129" s="180">
        <v>37216</v>
      </c>
      <c r="CE129" s="180"/>
      <c r="CF129" s="180">
        <v>323081</v>
      </c>
      <c r="CG129" s="180">
        <v>146807</v>
      </c>
      <c r="CH129" s="180">
        <v>101374</v>
      </c>
      <c r="CI129" s="180">
        <v>231381</v>
      </c>
      <c r="CJ129" s="180"/>
      <c r="CK129" s="180">
        <v>7913</v>
      </c>
      <c r="CL129" s="180"/>
      <c r="CM129" s="180"/>
      <c r="CN129" s="180"/>
      <c r="CO129" s="180"/>
      <c r="CP129" s="180"/>
      <c r="CQ129" s="180"/>
      <c r="CR129" s="180"/>
      <c r="CS129" s="180"/>
      <c r="CT129" s="180"/>
      <c r="CU129" s="180"/>
    </row>
    <row r="130" spans="1:99" x14ac:dyDescent="0.3">
      <c r="A130" s="155">
        <v>530</v>
      </c>
      <c r="B130" s="180" t="s">
        <v>259</v>
      </c>
      <c r="C130" s="180"/>
      <c r="D130" s="180">
        <v>0</v>
      </c>
      <c r="E130" s="180">
        <v>3358</v>
      </c>
      <c r="F130" s="180">
        <v>4286</v>
      </c>
      <c r="G130" s="180">
        <v>1635</v>
      </c>
      <c r="H130" s="180"/>
      <c r="I130" s="180">
        <v>42335</v>
      </c>
      <c r="J130" s="180">
        <v>5190</v>
      </c>
      <c r="K130" s="180">
        <v>39921</v>
      </c>
      <c r="L130" s="180">
        <v>4306</v>
      </c>
      <c r="M130" s="180">
        <v>86008</v>
      </c>
      <c r="N130" s="180"/>
      <c r="O130" s="180">
        <v>129485</v>
      </c>
      <c r="P130" s="180">
        <v>231</v>
      </c>
      <c r="Q130" s="180">
        <v>1233</v>
      </c>
      <c r="R130" s="180">
        <v>1900</v>
      </c>
      <c r="S130" s="180">
        <v>5525</v>
      </c>
      <c r="T130" s="180">
        <v>13290</v>
      </c>
      <c r="U130" s="180">
        <v>32</v>
      </c>
      <c r="V130" s="180">
        <v>128</v>
      </c>
      <c r="W130" s="180">
        <v>14591</v>
      </c>
      <c r="X130" s="180">
        <v>118300</v>
      </c>
      <c r="Y130" s="180">
        <v>2737000</v>
      </c>
      <c r="Z130" s="180">
        <v>26477</v>
      </c>
      <c r="AA130" s="180">
        <v>1104</v>
      </c>
      <c r="AB130" s="180">
        <v>32142</v>
      </c>
      <c r="AC130" s="180"/>
      <c r="AD130" s="180">
        <v>2715</v>
      </c>
      <c r="AE130" s="180">
        <v>33832</v>
      </c>
      <c r="AF130" s="180">
        <v>6634</v>
      </c>
      <c r="AG130" s="180">
        <v>13515</v>
      </c>
      <c r="AH130" s="180">
        <v>6533</v>
      </c>
      <c r="AI130" s="180">
        <v>56814</v>
      </c>
      <c r="AJ130" s="180">
        <v>14285</v>
      </c>
      <c r="AK130" s="180">
        <v>4128</v>
      </c>
      <c r="AL130" s="180">
        <v>5769</v>
      </c>
      <c r="AM130" s="180"/>
      <c r="AN130" s="180">
        <v>17463</v>
      </c>
      <c r="AO130" s="180"/>
      <c r="AP130" s="180">
        <v>265</v>
      </c>
      <c r="AQ130" s="180">
        <v>360304</v>
      </c>
      <c r="AR130" s="180">
        <v>1194</v>
      </c>
      <c r="AS130" s="180">
        <v>2002</v>
      </c>
      <c r="AT130" s="180">
        <v>48040</v>
      </c>
      <c r="AU130" s="180">
        <v>9099</v>
      </c>
      <c r="AV130" s="180">
        <v>3832</v>
      </c>
      <c r="AW130" s="180">
        <v>57929</v>
      </c>
      <c r="AX130" s="180">
        <v>3633</v>
      </c>
      <c r="AY130" s="180">
        <v>9978</v>
      </c>
      <c r="AZ130" s="180">
        <v>7658</v>
      </c>
      <c r="BA130" s="180">
        <v>8128</v>
      </c>
      <c r="BB130" s="180">
        <v>1056</v>
      </c>
      <c r="BC130" s="180">
        <v>13249</v>
      </c>
      <c r="BD130" s="180">
        <v>564</v>
      </c>
      <c r="BE130" s="180">
        <v>16403</v>
      </c>
      <c r="BF130" s="180">
        <v>19424</v>
      </c>
      <c r="BG130" s="180">
        <v>444</v>
      </c>
      <c r="BH130" s="180">
        <v>19684</v>
      </c>
      <c r="BI130" s="180">
        <v>2816</v>
      </c>
      <c r="BJ130" s="180">
        <v>0</v>
      </c>
      <c r="BK130" s="180">
        <v>2674</v>
      </c>
      <c r="BL130" s="180">
        <v>8375</v>
      </c>
      <c r="BM130" s="180">
        <v>1512</v>
      </c>
      <c r="BN130" s="180">
        <v>497</v>
      </c>
      <c r="BO130" s="180">
        <v>28542</v>
      </c>
      <c r="BP130" s="180">
        <v>405213</v>
      </c>
      <c r="BQ130" s="180">
        <v>807</v>
      </c>
      <c r="BR130" s="180"/>
      <c r="BS130" s="180">
        <v>3898</v>
      </c>
      <c r="BT130" s="180"/>
      <c r="BU130" s="180">
        <v>33110</v>
      </c>
      <c r="BV130" s="180">
        <v>5662</v>
      </c>
      <c r="BW130" s="180">
        <v>86832</v>
      </c>
      <c r="BX130" s="180">
        <v>29347</v>
      </c>
      <c r="BY130" s="180"/>
      <c r="BZ130" s="180">
        <v>58174</v>
      </c>
      <c r="CA130" s="180">
        <v>122</v>
      </c>
      <c r="CB130" s="180">
        <v>64675</v>
      </c>
      <c r="CC130" s="180">
        <v>2498</v>
      </c>
      <c r="CD130" s="180">
        <v>13604</v>
      </c>
      <c r="CE130" s="180"/>
      <c r="CF130" s="180">
        <v>5589</v>
      </c>
      <c r="CG130" s="180">
        <v>34541</v>
      </c>
      <c r="CH130" s="180">
        <v>25468</v>
      </c>
      <c r="CI130" s="180">
        <v>16338</v>
      </c>
      <c r="CJ130" s="180"/>
      <c r="CK130" s="180">
        <v>4973</v>
      </c>
      <c r="CL130" s="180"/>
      <c r="CM130" s="180"/>
      <c r="CN130" s="180"/>
      <c r="CO130" s="180"/>
      <c r="CP130" s="180"/>
      <c r="CQ130" s="180"/>
      <c r="CR130" s="180"/>
      <c r="CS130" s="180"/>
      <c r="CT130" s="180"/>
      <c r="CU130" s="180"/>
    </row>
    <row r="131" spans="1:99" x14ac:dyDescent="0.3">
      <c r="A131" s="155">
        <v>531</v>
      </c>
      <c r="B131" s="180" t="s">
        <v>260</v>
      </c>
      <c r="C131" s="180"/>
      <c r="D131" s="180">
        <v>0</v>
      </c>
      <c r="E131" s="180">
        <v>0</v>
      </c>
      <c r="F131" s="180">
        <v>0</v>
      </c>
      <c r="G131" s="180">
        <v>0</v>
      </c>
      <c r="H131" s="180"/>
      <c r="I131" s="180">
        <v>0</v>
      </c>
      <c r="J131" s="180">
        <v>0</v>
      </c>
      <c r="K131" s="180">
        <v>0</v>
      </c>
      <c r="L131" s="180">
        <v>0</v>
      </c>
      <c r="M131" s="180">
        <v>1411</v>
      </c>
      <c r="N131" s="180"/>
      <c r="O131" s="180">
        <v>0</v>
      </c>
      <c r="P131" s="180">
        <v>0</v>
      </c>
      <c r="Q131" s="180">
        <v>0</v>
      </c>
      <c r="R131" s="180">
        <v>0</v>
      </c>
      <c r="S131" s="180">
        <v>0</v>
      </c>
      <c r="T131" s="180">
        <v>0</v>
      </c>
      <c r="U131" s="180">
        <v>0</v>
      </c>
      <c r="V131" s="180">
        <v>0</v>
      </c>
      <c r="W131" s="180">
        <v>0</v>
      </c>
      <c r="X131" s="180">
        <v>21830</v>
      </c>
      <c r="Y131" s="180">
        <v>0</v>
      </c>
      <c r="Z131" s="180">
        <v>0</v>
      </c>
      <c r="AA131" s="180">
        <v>0</v>
      </c>
      <c r="AB131" s="180">
        <v>0</v>
      </c>
      <c r="AC131" s="180"/>
      <c r="AD131" s="180">
        <v>0</v>
      </c>
      <c r="AE131" s="180">
        <v>0</v>
      </c>
      <c r="AF131" s="180">
        <v>0</v>
      </c>
      <c r="AG131" s="180">
        <v>0</v>
      </c>
      <c r="AH131" s="180">
        <v>0</v>
      </c>
      <c r="AI131" s="180">
        <v>1757</v>
      </c>
      <c r="AJ131" s="180">
        <v>0</v>
      </c>
      <c r="AK131" s="180">
        <v>0</v>
      </c>
      <c r="AL131" s="180">
        <v>0</v>
      </c>
      <c r="AM131" s="180"/>
      <c r="AN131" s="180">
        <v>0</v>
      </c>
      <c r="AO131" s="180"/>
      <c r="AP131" s="180">
        <v>0</v>
      </c>
      <c r="AQ131" s="180">
        <v>0</v>
      </c>
      <c r="AR131" s="180">
        <v>0</v>
      </c>
      <c r="AS131" s="180">
        <v>0</v>
      </c>
      <c r="AT131" s="180">
        <v>0</v>
      </c>
      <c r="AU131" s="180">
        <v>0</v>
      </c>
      <c r="AV131" s="180">
        <v>0</v>
      </c>
      <c r="AW131" s="180">
        <v>0</v>
      </c>
      <c r="AX131" s="180">
        <v>0</v>
      </c>
      <c r="AY131" s="180">
        <v>0</v>
      </c>
      <c r="AZ131" s="180">
        <v>1480</v>
      </c>
      <c r="BA131" s="180">
        <v>8</v>
      </c>
      <c r="BB131" s="180">
        <v>0</v>
      </c>
      <c r="BC131" s="180">
        <v>0</v>
      </c>
      <c r="BD131" s="180">
        <v>0</v>
      </c>
      <c r="BE131" s="180">
        <v>0</v>
      </c>
      <c r="BF131" s="180">
        <v>0</v>
      </c>
      <c r="BG131" s="180">
        <v>0</v>
      </c>
      <c r="BH131" s="180">
        <v>0</v>
      </c>
      <c r="BI131" s="180">
        <v>0</v>
      </c>
      <c r="BJ131" s="180">
        <v>0</v>
      </c>
      <c r="BK131" s="180">
        <v>0</v>
      </c>
      <c r="BL131" s="180">
        <v>0</v>
      </c>
      <c r="BM131" s="180">
        <v>0</v>
      </c>
      <c r="BN131" s="180">
        <v>0</v>
      </c>
      <c r="BO131" s="180">
        <v>0</v>
      </c>
      <c r="BP131" s="180">
        <v>0</v>
      </c>
      <c r="BQ131" s="180">
        <v>0</v>
      </c>
      <c r="BR131" s="180"/>
      <c r="BS131" s="180">
        <v>0</v>
      </c>
      <c r="BT131" s="180"/>
      <c r="BU131" s="180">
        <v>0</v>
      </c>
      <c r="BV131" s="180">
        <v>0</v>
      </c>
      <c r="BW131" s="180">
        <v>0</v>
      </c>
      <c r="BX131" s="180">
        <v>0</v>
      </c>
      <c r="BY131" s="180"/>
      <c r="BZ131" s="180">
        <v>0</v>
      </c>
      <c r="CA131" s="180">
        <v>0</v>
      </c>
      <c r="CB131" s="180">
        <v>0</v>
      </c>
      <c r="CC131" s="180">
        <v>0</v>
      </c>
      <c r="CD131" s="180">
        <v>0</v>
      </c>
      <c r="CE131" s="180"/>
      <c r="CF131" s="180">
        <v>1787</v>
      </c>
      <c r="CG131" s="180">
        <v>0</v>
      </c>
      <c r="CH131" s="180">
        <v>327</v>
      </c>
      <c r="CI131" s="180">
        <v>0</v>
      </c>
      <c r="CJ131" s="180"/>
      <c r="CK131" s="180">
        <v>0</v>
      </c>
      <c r="CL131" s="180"/>
      <c r="CM131" s="180"/>
      <c r="CN131" s="180"/>
      <c r="CO131" s="180"/>
      <c r="CP131" s="180"/>
      <c r="CQ131" s="180"/>
      <c r="CR131" s="180"/>
      <c r="CS131" s="180"/>
      <c r="CT131" s="180"/>
      <c r="CU131" s="180"/>
    </row>
    <row r="132" spans="1:99" x14ac:dyDescent="0.3">
      <c r="A132" s="155">
        <v>532</v>
      </c>
      <c r="B132" s="180" t="s">
        <v>926</v>
      </c>
      <c r="C132" s="180"/>
      <c r="D132" s="180">
        <v>624805</v>
      </c>
      <c r="E132" s="180">
        <v>1326263</v>
      </c>
      <c r="F132" s="180">
        <v>373580</v>
      </c>
      <c r="G132" s="180">
        <v>253488</v>
      </c>
      <c r="H132" s="180"/>
      <c r="I132" s="180">
        <v>7181900</v>
      </c>
      <c r="J132" s="180">
        <v>2243370</v>
      </c>
      <c r="K132" s="180">
        <v>22965883</v>
      </c>
      <c r="L132" s="180">
        <v>3282183</v>
      </c>
      <c r="M132" s="180">
        <v>22968420</v>
      </c>
      <c r="N132" s="180"/>
      <c r="O132" s="180">
        <v>212776139</v>
      </c>
      <c r="P132" s="180">
        <v>41731</v>
      </c>
      <c r="Q132" s="180">
        <v>172254</v>
      </c>
      <c r="R132" s="180">
        <v>1129147</v>
      </c>
      <c r="S132" s="180">
        <v>972459</v>
      </c>
      <c r="T132" s="180">
        <v>2193598</v>
      </c>
      <c r="U132" s="180">
        <v>158306</v>
      </c>
      <c r="V132" s="180">
        <v>138342</v>
      </c>
      <c r="W132" s="180">
        <v>1732464</v>
      </c>
      <c r="X132" s="180">
        <v>65589583</v>
      </c>
      <c r="Y132" s="180">
        <v>736376000</v>
      </c>
      <c r="Z132" s="180">
        <v>5923937</v>
      </c>
      <c r="AA132" s="180">
        <v>518005</v>
      </c>
      <c r="AB132" s="180">
        <v>4097217</v>
      </c>
      <c r="AC132" s="180"/>
      <c r="AD132" s="180">
        <v>4464747</v>
      </c>
      <c r="AE132" s="180">
        <v>665670</v>
      </c>
      <c r="AF132" s="180">
        <v>33635551</v>
      </c>
      <c r="AG132" s="180">
        <v>7627136</v>
      </c>
      <c r="AH132" s="180">
        <v>1776888</v>
      </c>
      <c r="AI132" s="180">
        <v>10206104</v>
      </c>
      <c r="AJ132" s="180">
        <v>1109324</v>
      </c>
      <c r="AK132" s="180">
        <v>1593374</v>
      </c>
      <c r="AL132" s="180">
        <v>418494</v>
      </c>
      <c r="AM132" s="180"/>
      <c r="AN132" s="180">
        <v>556546</v>
      </c>
      <c r="AO132" s="180"/>
      <c r="AP132" s="180">
        <v>24796</v>
      </c>
      <c r="AQ132" s="180">
        <v>98998247</v>
      </c>
      <c r="AR132" s="180">
        <v>129773</v>
      </c>
      <c r="AS132" s="180">
        <v>564652</v>
      </c>
      <c r="AT132" s="180">
        <v>10653344</v>
      </c>
      <c r="AU132" s="180">
        <v>741510</v>
      </c>
      <c r="AV132" s="180">
        <v>439675</v>
      </c>
      <c r="AW132" s="180">
        <v>25631146</v>
      </c>
      <c r="AX132" s="180">
        <v>304910</v>
      </c>
      <c r="AY132" s="180">
        <v>6080453</v>
      </c>
      <c r="AZ132" s="180">
        <v>3819939</v>
      </c>
      <c r="BA132" s="180">
        <v>151303</v>
      </c>
      <c r="BB132" s="180">
        <v>111674</v>
      </c>
      <c r="BC132" s="180">
        <v>4089364</v>
      </c>
      <c r="BD132" s="180">
        <v>73772</v>
      </c>
      <c r="BE132" s="180">
        <v>14466277</v>
      </c>
      <c r="BF132" s="180">
        <v>1427184</v>
      </c>
      <c r="BG132" s="180">
        <v>628150</v>
      </c>
      <c r="BH132" s="180">
        <v>356509</v>
      </c>
      <c r="BI132" s="180">
        <v>1948336</v>
      </c>
      <c r="BJ132" s="180">
        <v>479437</v>
      </c>
      <c r="BK132" s="180">
        <v>254949</v>
      </c>
      <c r="BL132" s="180">
        <v>1172481</v>
      </c>
      <c r="BM132" s="180">
        <v>403779</v>
      </c>
      <c r="BN132" s="180">
        <v>10566445</v>
      </c>
      <c r="BO132" s="180">
        <v>13238300</v>
      </c>
      <c r="BP132" s="180">
        <v>219922288</v>
      </c>
      <c r="BQ132" s="180">
        <v>56682</v>
      </c>
      <c r="BR132" s="180"/>
      <c r="BS132" s="180">
        <v>351616</v>
      </c>
      <c r="BT132" s="180"/>
      <c r="BU132" s="180">
        <v>1958035</v>
      </c>
      <c r="BV132" s="180">
        <v>1531699</v>
      </c>
      <c r="BW132" s="180">
        <v>17348367</v>
      </c>
      <c r="BX132" s="180">
        <v>6174813</v>
      </c>
      <c r="BY132" s="180"/>
      <c r="BZ132" s="180">
        <v>5242463</v>
      </c>
      <c r="CA132" s="180">
        <v>293516</v>
      </c>
      <c r="CB132" s="180">
        <v>5478184</v>
      </c>
      <c r="CC132" s="180">
        <v>297903</v>
      </c>
      <c r="CD132" s="180">
        <v>859624</v>
      </c>
      <c r="CE132" s="180"/>
      <c r="CF132" s="180">
        <v>8111787</v>
      </c>
      <c r="CG132" s="180">
        <v>11968025</v>
      </c>
      <c r="CH132" s="180">
        <v>1864046</v>
      </c>
      <c r="CI132" s="180">
        <v>3215958</v>
      </c>
      <c r="CJ132" s="180"/>
      <c r="CK132" s="180">
        <v>62719</v>
      </c>
      <c r="CL132" s="180"/>
      <c r="CM132" s="180"/>
      <c r="CN132" s="180"/>
      <c r="CO132" s="180"/>
      <c r="CP132" s="180"/>
      <c r="CQ132" s="180"/>
      <c r="CR132" s="180"/>
      <c r="CS132" s="180"/>
      <c r="CT132" s="180"/>
      <c r="CU132" s="180"/>
    </row>
    <row r="133" spans="1:99" x14ac:dyDescent="0.3">
      <c r="A133" s="155">
        <v>533</v>
      </c>
      <c r="B133" s="180" t="s">
        <v>927</v>
      </c>
      <c r="C133" s="180"/>
      <c r="D133" s="180">
        <v>0</v>
      </c>
      <c r="E133" s="180">
        <v>3902</v>
      </c>
      <c r="F133" s="180">
        <v>0</v>
      </c>
      <c r="G133" s="180">
        <v>37446</v>
      </c>
      <c r="H133" s="180"/>
      <c r="I133" s="180">
        <v>0</v>
      </c>
      <c r="J133" s="180">
        <v>97475</v>
      </c>
      <c r="K133" s="180">
        <v>3250000</v>
      </c>
      <c r="L133" s="180">
        <v>0</v>
      </c>
      <c r="M133" s="180">
        <v>0</v>
      </c>
      <c r="N133" s="180"/>
      <c r="O133" s="180">
        <v>41628219</v>
      </c>
      <c r="P133" s="180">
        <v>0</v>
      </c>
      <c r="Q133" s="180">
        <v>0</v>
      </c>
      <c r="R133" s="180">
        <v>0</v>
      </c>
      <c r="S133" s="180">
        <v>0</v>
      </c>
      <c r="T133" s="180">
        <v>0</v>
      </c>
      <c r="U133" s="180">
        <v>0</v>
      </c>
      <c r="V133" s="180">
        <v>0</v>
      </c>
      <c r="W133" s="180">
        <v>0</v>
      </c>
      <c r="X133" s="180">
        <v>0</v>
      </c>
      <c r="Y133" s="180">
        <v>0</v>
      </c>
      <c r="Z133" s="180">
        <v>0</v>
      </c>
      <c r="AA133" s="180">
        <v>0</v>
      </c>
      <c r="AB133" s="180">
        <v>21105</v>
      </c>
      <c r="AC133" s="180"/>
      <c r="AD133" s="180">
        <v>0</v>
      </c>
      <c r="AE133" s="180">
        <v>0</v>
      </c>
      <c r="AF133" s="180">
        <v>0</v>
      </c>
      <c r="AG133" s="180">
        <v>0</v>
      </c>
      <c r="AH133" s="180">
        <v>0</v>
      </c>
      <c r="AI133" s="180">
        <v>233000</v>
      </c>
      <c r="AJ133" s="180">
        <v>0</v>
      </c>
      <c r="AK133" s="180">
        <v>0</v>
      </c>
      <c r="AL133" s="180">
        <v>0</v>
      </c>
      <c r="AM133" s="180"/>
      <c r="AN133" s="180">
        <v>0</v>
      </c>
      <c r="AO133" s="180"/>
      <c r="AP133" s="180">
        <v>0</v>
      </c>
      <c r="AQ133" s="180">
        <v>0</v>
      </c>
      <c r="AR133" s="180">
        <v>0</v>
      </c>
      <c r="AS133" s="180">
        <v>0</v>
      </c>
      <c r="AT133" s="180">
        <v>138539</v>
      </c>
      <c r="AU133" s="180">
        <v>0</v>
      </c>
      <c r="AV133" s="180">
        <v>0</v>
      </c>
      <c r="AW133" s="180">
        <v>1143000</v>
      </c>
      <c r="AX133" s="180">
        <v>0</v>
      </c>
      <c r="AY133" s="180">
        <v>1207039</v>
      </c>
      <c r="AZ133" s="180">
        <v>0</v>
      </c>
      <c r="BA133" s="180">
        <v>0</v>
      </c>
      <c r="BB133" s="180">
        <v>0</v>
      </c>
      <c r="BC133" s="180">
        <v>0</v>
      </c>
      <c r="BD133" s="180">
        <v>0</v>
      </c>
      <c r="BE133" s="180">
        <v>0</v>
      </c>
      <c r="BF133" s="180">
        <v>0</v>
      </c>
      <c r="BG133" s="180">
        <v>0</v>
      </c>
      <c r="BH133" s="180">
        <v>0</v>
      </c>
      <c r="BI133" s="180">
        <v>0</v>
      </c>
      <c r="BJ133" s="180">
        <v>0</v>
      </c>
      <c r="BK133" s="180">
        <v>0</v>
      </c>
      <c r="BL133" s="180">
        <v>0</v>
      </c>
      <c r="BM133" s="180">
        <v>0</v>
      </c>
      <c r="BN133" s="180">
        <v>644896</v>
      </c>
      <c r="BO133" s="180">
        <v>475000</v>
      </c>
      <c r="BP133" s="180">
        <v>0</v>
      </c>
      <c r="BQ133" s="180">
        <v>0</v>
      </c>
      <c r="BR133" s="180"/>
      <c r="BS133" s="180">
        <v>0</v>
      </c>
      <c r="BT133" s="180"/>
      <c r="BU133" s="180">
        <v>0</v>
      </c>
      <c r="BV133" s="180">
        <v>0</v>
      </c>
      <c r="BW133" s="180">
        <v>0</v>
      </c>
      <c r="BX133" s="180">
        <v>0</v>
      </c>
      <c r="BY133" s="180"/>
      <c r="BZ133" s="180">
        <v>724872</v>
      </c>
      <c r="CA133" s="180">
        <v>0</v>
      </c>
      <c r="CB133" s="180">
        <v>0</v>
      </c>
      <c r="CC133" s="180">
        <v>0</v>
      </c>
      <c r="CD133" s="180">
        <v>0</v>
      </c>
      <c r="CE133" s="180"/>
      <c r="CF133" s="180">
        <v>0</v>
      </c>
      <c r="CG133" s="180">
        <v>677060</v>
      </c>
      <c r="CH133" s="180">
        <v>0</v>
      </c>
      <c r="CI133" s="180">
        <v>0</v>
      </c>
      <c r="CJ133" s="180"/>
      <c r="CK133" s="180">
        <v>0</v>
      </c>
      <c r="CL133" s="180"/>
      <c r="CM133" s="180"/>
      <c r="CN133" s="180"/>
      <c r="CO133" s="180"/>
      <c r="CP133" s="180"/>
      <c r="CQ133" s="180"/>
      <c r="CR133" s="180"/>
      <c r="CS133" s="180"/>
      <c r="CT133" s="180"/>
      <c r="CU133" s="180"/>
    </row>
    <row r="134" spans="1:99" x14ac:dyDescent="0.3">
      <c r="A134" s="155">
        <v>535</v>
      </c>
      <c r="B134" s="180" t="s">
        <v>244</v>
      </c>
      <c r="C134" s="180"/>
      <c r="D134" s="180">
        <v>0</v>
      </c>
      <c r="E134" s="180">
        <v>0</v>
      </c>
      <c r="F134" s="180">
        <v>0</v>
      </c>
      <c r="G134" s="180">
        <v>0</v>
      </c>
      <c r="H134" s="180"/>
      <c r="I134" s="180">
        <v>0</v>
      </c>
      <c r="J134" s="180">
        <v>0</v>
      </c>
      <c r="K134" s="180">
        <v>2005577</v>
      </c>
      <c r="L134" s="180">
        <v>0</v>
      </c>
      <c r="M134" s="180">
        <v>12530590</v>
      </c>
      <c r="N134" s="180"/>
      <c r="O134" s="180">
        <v>85691201</v>
      </c>
      <c r="P134" s="180">
        <v>0</v>
      </c>
      <c r="Q134" s="180">
        <v>0</v>
      </c>
      <c r="R134" s="180">
        <v>0</v>
      </c>
      <c r="S134" s="180">
        <v>0</v>
      </c>
      <c r="T134" s="180">
        <v>0</v>
      </c>
      <c r="U134" s="180">
        <v>0</v>
      </c>
      <c r="V134" s="180">
        <v>0</v>
      </c>
      <c r="W134" s="180">
        <v>0</v>
      </c>
      <c r="X134" s="180">
        <v>41229108</v>
      </c>
      <c r="Y134" s="180">
        <v>500193000</v>
      </c>
      <c r="Z134" s="180">
        <v>5243471</v>
      </c>
      <c r="AA134" s="180">
        <v>0</v>
      </c>
      <c r="AB134" s="180">
        <v>0</v>
      </c>
      <c r="AC134" s="180"/>
      <c r="AD134" s="180">
        <v>0</v>
      </c>
      <c r="AE134" s="180">
        <v>0</v>
      </c>
      <c r="AF134" s="180">
        <v>0</v>
      </c>
      <c r="AG134" s="180">
        <v>0</v>
      </c>
      <c r="AH134" s="180">
        <v>0</v>
      </c>
      <c r="AI134" s="180">
        <v>0</v>
      </c>
      <c r="AJ134" s="180">
        <v>0</v>
      </c>
      <c r="AK134" s="180">
        <v>0</v>
      </c>
      <c r="AL134" s="180">
        <v>0</v>
      </c>
      <c r="AM134" s="180"/>
      <c r="AN134" s="180">
        <v>0</v>
      </c>
      <c r="AO134" s="180"/>
      <c r="AP134" s="180">
        <v>0</v>
      </c>
      <c r="AQ134" s="180">
        <v>969632</v>
      </c>
      <c r="AR134" s="180">
        <v>0</v>
      </c>
      <c r="AS134" s="180">
        <v>0</v>
      </c>
      <c r="AT134" s="180">
        <v>0</v>
      </c>
      <c r="AU134" s="180">
        <v>0</v>
      </c>
      <c r="AV134" s="180">
        <v>0</v>
      </c>
      <c r="AW134" s="180">
        <v>14665898</v>
      </c>
      <c r="AX134" s="180">
        <v>0</v>
      </c>
      <c r="AY134" s="180">
        <v>160412</v>
      </c>
      <c r="AZ134" s="180">
        <v>0</v>
      </c>
      <c r="BA134" s="180">
        <v>0</v>
      </c>
      <c r="BB134" s="180">
        <v>0</v>
      </c>
      <c r="BC134" s="180">
        <v>0</v>
      </c>
      <c r="BD134" s="180">
        <v>0</v>
      </c>
      <c r="BE134" s="180">
        <v>10471122</v>
      </c>
      <c r="BF134" s="180">
        <v>0</v>
      </c>
      <c r="BG134" s="180">
        <v>0</v>
      </c>
      <c r="BH134" s="180">
        <v>0</v>
      </c>
      <c r="BI134" s="180">
        <v>0</v>
      </c>
      <c r="BJ134" s="180">
        <v>0</v>
      </c>
      <c r="BK134" s="180">
        <v>0</v>
      </c>
      <c r="BL134" s="180">
        <v>0</v>
      </c>
      <c r="BM134" s="180">
        <v>0</v>
      </c>
      <c r="BN134" s="180">
        <v>4274006</v>
      </c>
      <c r="BO134" s="180">
        <v>0</v>
      </c>
      <c r="BP134" s="180">
        <v>46577543</v>
      </c>
      <c r="BQ134" s="180">
        <v>0</v>
      </c>
      <c r="BR134" s="180"/>
      <c r="BS134" s="180">
        <v>0</v>
      </c>
      <c r="BT134" s="180"/>
      <c r="BU134" s="180">
        <v>0</v>
      </c>
      <c r="BV134" s="180">
        <v>0</v>
      </c>
      <c r="BW134" s="180">
        <v>0</v>
      </c>
      <c r="BX134" s="180">
        <v>0</v>
      </c>
      <c r="BY134" s="180"/>
      <c r="BZ134" s="180">
        <v>0</v>
      </c>
      <c r="CA134" s="180">
        <v>0</v>
      </c>
      <c r="CB134" s="180">
        <v>0</v>
      </c>
      <c r="CC134" s="180">
        <v>0</v>
      </c>
      <c r="CD134" s="180">
        <v>0</v>
      </c>
      <c r="CE134" s="180"/>
      <c r="CF134" s="180">
        <v>0</v>
      </c>
      <c r="CG134" s="180">
        <v>0</v>
      </c>
      <c r="CH134" s="180">
        <v>0</v>
      </c>
      <c r="CI134" s="180">
        <v>0</v>
      </c>
      <c r="CJ134" s="180"/>
      <c r="CK134" s="180">
        <v>0</v>
      </c>
      <c r="CL134" s="180"/>
      <c r="CM134" s="180"/>
      <c r="CN134" s="180"/>
      <c r="CO134" s="180"/>
      <c r="CP134" s="180"/>
      <c r="CQ134" s="180"/>
      <c r="CR134" s="180"/>
      <c r="CS134" s="180"/>
      <c r="CT134" s="180"/>
      <c r="CU134" s="180"/>
    </row>
    <row r="135" spans="1:99" x14ac:dyDescent="0.3">
      <c r="A135" s="155">
        <v>536</v>
      </c>
      <c r="B135" s="180" t="s">
        <v>190</v>
      </c>
      <c r="C135" s="180"/>
      <c r="D135" s="180">
        <v>73084</v>
      </c>
      <c r="E135" s="180">
        <v>235659</v>
      </c>
      <c r="F135" s="180">
        <v>39114</v>
      </c>
      <c r="G135" s="180">
        <v>42965</v>
      </c>
      <c r="H135" s="180"/>
      <c r="I135" s="180">
        <v>134001</v>
      </c>
      <c r="J135" s="180">
        <v>796081</v>
      </c>
      <c r="K135" s="180">
        <v>664670</v>
      </c>
      <c r="L135" s="180">
        <v>124607</v>
      </c>
      <c r="M135" s="180">
        <v>354455</v>
      </c>
      <c r="N135" s="180"/>
      <c r="O135" s="180">
        <v>41970122</v>
      </c>
      <c r="P135" s="180">
        <v>0</v>
      </c>
      <c r="Q135" s="180">
        <v>22764</v>
      </c>
      <c r="R135" s="180">
        <v>268679</v>
      </c>
      <c r="S135" s="180">
        <v>10225</v>
      </c>
      <c r="T135" s="180">
        <v>293947</v>
      </c>
      <c r="U135" s="180">
        <v>152503</v>
      </c>
      <c r="V135" s="180">
        <v>140089</v>
      </c>
      <c r="W135" s="180">
        <v>79329</v>
      </c>
      <c r="X135" s="180">
        <v>843032</v>
      </c>
      <c r="Y135" s="180">
        <v>0</v>
      </c>
      <c r="Z135" s="180">
        <v>3349128</v>
      </c>
      <c r="AA135" s="180">
        <v>0</v>
      </c>
      <c r="AB135" s="180">
        <v>576524</v>
      </c>
      <c r="AC135" s="180"/>
      <c r="AD135" s="180">
        <v>32378</v>
      </c>
      <c r="AE135" s="180">
        <v>58836</v>
      </c>
      <c r="AF135" s="180">
        <v>832884</v>
      </c>
      <c r="AG135" s="180">
        <v>275233</v>
      </c>
      <c r="AH135" s="180">
        <v>181221</v>
      </c>
      <c r="AI135" s="180">
        <v>133634</v>
      </c>
      <c r="AJ135" s="180">
        <v>42921</v>
      </c>
      <c r="AK135" s="180">
        <v>149190</v>
      </c>
      <c r="AL135" s="180">
        <v>192298</v>
      </c>
      <c r="AM135" s="180"/>
      <c r="AN135" s="180">
        <v>0</v>
      </c>
      <c r="AO135" s="180"/>
      <c r="AP135" s="180">
        <v>0</v>
      </c>
      <c r="AQ135" s="180">
        <v>5385445</v>
      </c>
      <c r="AR135" s="180">
        <v>82005</v>
      </c>
      <c r="AS135" s="180">
        <v>293329</v>
      </c>
      <c r="AT135" s="180">
        <v>439882</v>
      </c>
      <c r="AU135" s="180">
        <v>98688</v>
      </c>
      <c r="AV135" s="180">
        <v>64587</v>
      </c>
      <c r="AW135" s="180">
        <v>2083919</v>
      </c>
      <c r="AX135" s="180">
        <v>67032</v>
      </c>
      <c r="AY135" s="180">
        <v>178721</v>
      </c>
      <c r="AZ135" s="180">
        <v>477463</v>
      </c>
      <c r="BA135" s="180">
        <v>84084</v>
      </c>
      <c r="BB135" s="180">
        <v>20380</v>
      </c>
      <c r="BC135" s="180">
        <v>132484</v>
      </c>
      <c r="BD135" s="180">
        <v>15540</v>
      </c>
      <c r="BE135" s="180">
        <v>270303</v>
      </c>
      <c r="BF135" s="180">
        <v>156188</v>
      </c>
      <c r="BG135" s="180">
        <v>11005</v>
      </c>
      <c r="BH135" s="180">
        <v>119503</v>
      </c>
      <c r="BI135" s="180">
        <v>83734</v>
      </c>
      <c r="BJ135" s="180">
        <v>0</v>
      </c>
      <c r="BK135" s="180">
        <v>121848</v>
      </c>
      <c r="BL135" s="180">
        <v>75428</v>
      </c>
      <c r="BM135" s="180">
        <v>94335</v>
      </c>
      <c r="BN135" s="180">
        <v>2238599</v>
      </c>
      <c r="BO135" s="180">
        <v>1180041</v>
      </c>
      <c r="BP135" s="180">
        <v>0</v>
      </c>
      <c r="BQ135" s="180">
        <v>48222</v>
      </c>
      <c r="BR135" s="180"/>
      <c r="BS135" s="180">
        <v>2124</v>
      </c>
      <c r="BT135" s="180"/>
      <c r="BU135" s="180">
        <v>174611</v>
      </c>
      <c r="BV135" s="180">
        <v>703161</v>
      </c>
      <c r="BW135" s="180">
        <v>120618</v>
      </c>
      <c r="BX135" s="180">
        <v>76141</v>
      </c>
      <c r="BY135" s="180"/>
      <c r="BZ135" s="180">
        <v>765187</v>
      </c>
      <c r="CA135" s="180">
        <v>12150</v>
      </c>
      <c r="CB135" s="180">
        <v>177342</v>
      </c>
      <c r="CC135" s="180">
        <v>97325</v>
      </c>
      <c r="CD135" s="180">
        <v>709224</v>
      </c>
      <c r="CE135" s="180"/>
      <c r="CF135" s="180">
        <v>593094</v>
      </c>
      <c r="CG135" s="180">
        <v>11617</v>
      </c>
      <c r="CH135" s="180">
        <v>168197</v>
      </c>
      <c r="CI135" s="180">
        <v>210340</v>
      </c>
      <c r="CJ135" s="180"/>
      <c r="CK135" s="180">
        <v>6736</v>
      </c>
      <c r="CL135" s="180"/>
      <c r="CM135" s="180"/>
      <c r="CN135" s="180"/>
      <c r="CO135" s="180"/>
      <c r="CP135" s="180"/>
      <c r="CQ135" s="180"/>
      <c r="CR135" s="180"/>
      <c r="CS135" s="180"/>
      <c r="CT135" s="180"/>
      <c r="CU135" s="180"/>
    </row>
    <row r="136" spans="1:99" x14ac:dyDescent="0.3">
      <c r="A136" s="155">
        <v>537</v>
      </c>
      <c r="B136" s="180" t="s">
        <v>280</v>
      </c>
      <c r="C136" s="180"/>
      <c r="D136" s="180">
        <v>1</v>
      </c>
      <c r="E136" s="180">
        <v>0</v>
      </c>
      <c r="F136" s="180">
        <v>2</v>
      </c>
      <c r="G136" s="180">
        <v>2</v>
      </c>
      <c r="H136" s="180"/>
      <c r="I136" s="180">
        <v>1</v>
      </c>
      <c r="J136" s="180">
        <v>2</v>
      </c>
      <c r="K136" s="180">
        <v>1</v>
      </c>
      <c r="L136" s="180">
        <v>2</v>
      </c>
      <c r="M136" s="180">
        <v>2</v>
      </c>
      <c r="N136" s="180"/>
      <c r="O136" s="180">
        <v>1</v>
      </c>
      <c r="P136" s="180">
        <v>0</v>
      </c>
      <c r="Q136" s="180">
        <v>0</v>
      </c>
      <c r="R136" s="180">
        <v>2</v>
      </c>
      <c r="S136" s="180">
        <v>0</v>
      </c>
      <c r="T136" s="180">
        <v>2</v>
      </c>
      <c r="U136" s="180">
        <v>2</v>
      </c>
      <c r="V136" s="180">
        <v>0</v>
      </c>
      <c r="W136" s="180">
        <v>2</v>
      </c>
      <c r="X136" s="180">
        <v>2</v>
      </c>
      <c r="Y136" s="180">
        <v>1</v>
      </c>
      <c r="Z136" s="180">
        <v>2</v>
      </c>
      <c r="AA136" s="180">
        <v>2</v>
      </c>
      <c r="AB136" s="180">
        <v>0</v>
      </c>
      <c r="AC136" s="180"/>
      <c r="AD136" s="180">
        <v>2</v>
      </c>
      <c r="AE136" s="180">
        <v>2</v>
      </c>
      <c r="AF136" s="180">
        <v>2</v>
      </c>
      <c r="AG136" s="180">
        <v>0</v>
      </c>
      <c r="AH136" s="180">
        <v>2</v>
      </c>
      <c r="AI136" s="180">
        <v>2</v>
      </c>
      <c r="AJ136" s="180">
        <v>1</v>
      </c>
      <c r="AK136" s="180">
        <v>2</v>
      </c>
      <c r="AL136" s="180">
        <v>2</v>
      </c>
      <c r="AM136" s="180"/>
      <c r="AN136" s="180">
        <v>2</v>
      </c>
      <c r="AO136" s="180"/>
      <c r="AP136" s="180">
        <v>0</v>
      </c>
      <c r="AQ136" s="180">
        <v>1</v>
      </c>
      <c r="AR136" s="180">
        <v>0</v>
      </c>
      <c r="AS136" s="180">
        <v>2</v>
      </c>
      <c r="AT136" s="180">
        <v>1</v>
      </c>
      <c r="AU136" s="180">
        <v>0</v>
      </c>
      <c r="AV136" s="180">
        <v>0</v>
      </c>
      <c r="AW136" s="180">
        <v>2</v>
      </c>
      <c r="AX136" s="180">
        <v>2</v>
      </c>
      <c r="AY136" s="180">
        <v>0</v>
      </c>
      <c r="AZ136" s="180">
        <v>0</v>
      </c>
      <c r="BA136" s="180">
        <v>2</v>
      </c>
      <c r="BB136" s="180">
        <v>2</v>
      </c>
      <c r="BC136" s="180">
        <v>2</v>
      </c>
      <c r="BD136" s="180">
        <v>0</v>
      </c>
      <c r="BE136" s="180">
        <v>0</v>
      </c>
      <c r="BF136" s="180">
        <v>1</v>
      </c>
      <c r="BG136" s="180">
        <v>0</v>
      </c>
      <c r="BH136" s="180">
        <v>0</v>
      </c>
      <c r="BI136" s="180">
        <v>2</v>
      </c>
      <c r="BJ136" s="180">
        <v>0</v>
      </c>
      <c r="BK136" s="180">
        <v>2</v>
      </c>
      <c r="BL136" s="180">
        <v>2</v>
      </c>
      <c r="BM136" s="180">
        <v>1</v>
      </c>
      <c r="BN136" s="180">
        <v>0</v>
      </c>
      <c r="BO136" s="180">
        <v>1</v>
      </c>
      <c r="BP136" s="180">
        <v>1</v>
      </c>
      <c r="BQ136" s="180">
        <v>0</v>
      </c>
      <c r="BR136" s="180"/>
      <c r="BS136" s="180">
        <v>2</v>
      </c>
      <c r="BT136" s="180"/>
      <c r="BU136" s="180">
        <v>2</v>
      </c>
      <c r="BV136" s="180">
        <v>2</v>
      </c>
      <c r="BW136" s="180">
        <v>2</v>
      </c>
      <c r="BX136" s="180">
        <v>2</v>
      </c>
      <c r="BY136" s="180"/>
      <c r="BZ136" s="180">
        <v>1</v>
      </c>
      <c r="CA136" s="180">
        <v>1</v>
      </c>
      <c r="CB136" s="180">
        <v>2</v>
      </c>
      <c r="CC136" s="180">
        <v>2</v>
      </c>
      <c r="CD136" s="180">
        <v>2</v>
      </c>
      <c r="CE136" s="180"/>
      <c r="CF136" s="180">
        <v>1</v>
      </c>
      <c r="CG136" s="180">
        <v>0</v>
      </c>
      <c r="CH136" s="180">
        <v>0</v>
      </c>
      <c r="CI136" s="180">
        <v>2</v>
      </c>
      <c r="CJ136" s="180"/>
      <c r="CK136" s="180">
        <v>2</v>
      </c>
      <c r="CL136" s="180"/>
      <c r="CM136" s="180"/>
      <c r="CN136" s="180"/>
      <c r="CO136" s="180"/>
      <c r="CP136" s="180"/>
      <c r="CQ136" s="180"/>
      <c r="CR136" s="180"/>
      <c r="CS136" s="180"/>
      <c r="CT136" s="180"/>
      <c r="CU136" s="180"/>
    </row>
    <row r="137" spans="1:99" x14ac:dyDescent="0.3">
      <c r="A137" s="155">
        <v>538</v>
      </c>
      <c r="B137" s="180" t="s">
        <v>279</v>
      </c>
      <c r="C137" s="180"/>
      <c r="D137" s="180">
        <v>1</v>
      </c>
      <c r="E137" s="180">
        <v>0</v>
      </c>
      <c r="F137" s="180">
        <v>2</v>
      </c>
      <c r="G137" s="180">
        <v>2</v>
      </c>
      <c r="H137" s="180"/>
      <c r="I137" s="180">
        <v>1</v>
      </c>
      <c r="J137" s="180">
        <v>2</v>
      </c>
      <c r="K137" s="180">
        <v>1</v>
      </c>
      <c r="L137" s="180">
        <v>2</v>
      </c>
      <c r="M137" s="180">
        <v>2</v>
      </c>
      <c r="N137" s="180"/>
      <c r="O137" s="180">
        <v>1</v>
      </c>
      <c r="P137" s="180">
        <v>0</v>
      </c>
      <c r="Q137" s="180">
        <v>0</v>
      </c>
      <c r="R137" s="180">
        <v>2</v>
      </c>
      <c r="S137" s="180">
        <v>0</v>
      </c>
      <c r="T137" s="180">
        <v>2</v>
      </c>
      <c r="U137" s="180">
        <v>2</v>
      </c>
      <c r="V137" s="180">
        <v>0</v>
      </c>
      <c r="W137" s="180">
        <v>1</v>
      </c>
      <c r="X137" s="180">
        <v>2</v>
      </c>
      <c r="Y137" s="180">
        <v>1</v>
      </c>
      <c r="Z137" s="180">
        <v>2</v>
      </c>
      <c r="AA137" s="180">
        <v>2</v>
      </c>
      <c r="AB137" s="180">
        <v>0</v>
      </c>
      <c r="AC137" s="180"/>
      <c r="AD137" s="180">
        <v>1</v>
      </c>
      <c r="AE137" s="180">
        <v>2</v>
      </c>
      <c r="AF137" s="180">
        <v>2</v>
      </c>
      <c r="AG137" s="180">
        <v>0</v>
      </c>
      <c r="AH137" s="180">
        <v>2</v>
      </c>
      <c r="AI137" s="180">
        <v>2</v>
      </c>
      <c r="AJ137" s="180">
        <v>1</v>
      </c>
      <c r="AK137" s="180">
        <v>2</v>
      </c>
      <c r="AL137" s="180">
        <v>2</v>
      </c>
      <c r="AM137" s="180"/>
      <c r="AN137" s="180">
        <v>2</v>
      </c>
      <c r="AO137" s="180"/>
      <c r="AP137" s="180">
        <v>0</v>
      </c>
      <c r="AQ137" s="180">
        <v>1</v>
      </c>
      <c r="AR137" s="180">
        <v>0</v>
      </c>
      <c r="AS137" s="180">
        <v>2</v>
      </c>
      <c r="AT137" s="180">
        <v>1</v>
      </c>
      <c r="AU137" s="180">
        <v>0</v>
      </c>
      <c r="AV137" s="180">
        <v>0</v>
      </c>
      <c r="AW137" s="180">
        <v>2</v>
      </c>
      <c r="AX137" s="180">
        <v>1</v>
      </c>
      <c r="AY137" s="180">
        <v>0</v>
      </c>
      <c r="AZ137" s="180">
        <v>0</v>
      </c>
      <c r="BA137" s="180">
        <v>2</v>
      </c>
      <c r="BB137" s="180">
        <v>2</v>
      </c>
      <c r="BC137" s="180">
        <v>2</v>
      </c>
      <c r="BD137" s="180">
        <v>0</v>
      </c>
      <c r="BE137" s="180">
        <v>0</v>
      </c>
      <c r="BF137" s="180">
        <v>2</v>
      </c>
      <c r="BG137" s="180">
        <v>0</v>
      </c>
      <c r="BH137" s="180">
        <v>0</v>
      </c>
      <c r="BI137" s="180">
        <v>2</v>
      </c>
      <c r="BJ137" s="180">
        <v>0</v>
      </c>
      <c r="BK137" s="180">
        <v>2</v>
      </c>
      <c r="BL137" s="180">
        <v>2</v>
      </c>
      <c r="BM137" s="180">
        <v>1</v>
      </c>
      <c r="BN137" s="180">
        <v>0</v>
      </c>
      <c r="BO137" s="180">
        <v>1</v>
      </c>
      <c r="BP137" s="180">
        <v>1</v>
      </c>
      <c r="BQ137" s="180">
        <v>0</v>
      </c>
      <c r="BR137" s="180"/>
      <c r="BS137" s="180">
        <v>2</v>
      </c>
      <c r="BT137" s="180"/>
      <c r="BU137" s="180">
        <v>2</v>
      </c>
      <c r="BV137" s="180">
        <v>2</v>
      </c>
      <c r="BW137" s="180">
        <v>2</v>
      </c>
      <c r="BX137" s="180">
        <v>2</v>
      </c>
      <c r="BY137" s="180"/>
      <c r="BZ137" s="180">
        <v>1</v>
      </c>
      <c r="CA137" s="180">
        <v>2</v>
      </c>
      <c r="CB137" s="180">
        <v>2</v>
      </c>
      <c r="CC137" s="180">
        <v>2</v>
      </c>
      <c r="CD137" s="180">
        <v>2</v>
      </c>
      <c r="CE137" s="180"/>
      <c r="CF137" s="180">
        <v>1</v>
      </c>
      <c r="CG137" s="180">
        <v>0</v>
      </c>
      <c r="CH137" s="180">
        <v>2</v>
      </c>
      <c r="CI137" s="180">
        <v>2</v>
      </c>
      <c r="CJ137" s="180"/>
      <c r="CK137" s="180">
        <v>2</v>
      </c>
      <c r="CL137" s="180"/>
      <c r="CM137" s="180"/>
      <c r="CN137" s="180"/>
      <c r="CO137" s="180"/>
      <c r="CP137" s="180"/>
      <c r="CQ137" s="180"/>
      <c r="CR137" s="180"/>
      <c r="CS137" s="180"/>
      <c r="CT137" s="180"/>
      <c r="CU137" s="180"/>
    </row>
    <row r="138" spans="1:99" x14ac:dyDescent="0.3">
      <c r="A138" s="155">
        <v>540</v>
      </c>
      <c r="B138" s="180" t="s">
        <v>253</v>
      </c>
      <c r="C138" s="180"/>
      <c r="D138" s="180">
        <v>0</v>
      </c>
      <c r="E138" s="180">
        <v>0</v>
      </c>
      <c r="F138" s="180">
        <v>0</v>
      </c>
      <c r="G138" s="180">
        <v>0</v>
      </c>
      <c r="H138" s="180"/>
      <c r="I138" s="180">
        <v>453793</v>
      </c>
      <c r="J138" s="180">
        <v>0</v>
      </c>
      <c r="K138" s="180">
        <v>0</v>
      </c>
      <c r="L138" s="180">
        <v>291400</v>
      </c>
      <c r="M138" s="180">
        <v>1984722</v>
      </c>
      <c r="N138" s="180"/>
      <c r="O138" s="180">
        <v>35918980</v>
      </c>
      <c r="P138" s="180">
        <v>0</v>
      </c>
      <c r="Q138" s="180">
        <v>0</v>
      </c>
      <c r="R138" s="180">
        <v>0</v>
      </c>
      <c r="S138" s="180">
        <v>78837</v>
      </c>
      <c r="T138" s="180">
        <v>0</v>
      </c>
      <c r="U138" s="180">
        <v>29821</v>
      </c>
      <c r="V138" s="180">
        <v>0</v>
      </c>
      <c r="W138" s="180">
        <v>300364</v>
      </c>
      <c r="X138" s="180">
        <v>2663390</v>
      </c>
      <c r="Y138" s="180">
        <v>0</v>
      </c>
      <c r="Z138" s="180">
        <v>0</v>
      </c>
      <c r="AA138" s="180">
        <v>0</v>
      </c>
      <c r="AB138" s="180">
        <v>0</v>
      </c>
      <c r="AC138" s="180"/>
      <c r="AD138" s="180">
        <v>192688</v>
      </c>
      <c r="AE138" s="180">
        <v>21300</v>
      </c>
      <c r="AF138" s="180">
        <v>7962462</v>
      </c>
      <c r="AG138" s="180">
        <v>1220154</v>
      </c>
      <c r="AH138" s="180">
        <v>0</v>
      </c>
      <c r="AI138" s="180">
        <v>275000</v>
      </c>
      <c r="AJ138" s="180">
        <v>211993</v>
      </c>
      <c r="AK138" s="180">
        <v>0</v>
      </c>
      <c r="AL138" s="180">
        <v>415440</v>
      </c>
      <c r="AM138" s="180"/>
      <c r="AN138" s="180">
        <v>0</v>
      </c>
      <c r="AO138" s="180"/>
      <c r="AP138" s="180">
        <v>0</v>
      </c>
      <c r="AQ138" s="180">
        <v>0</v>
      </c>
      <c r="AR138" s="180">
        <v>0</v>
      </c>
      <c r="AS138" s="180">
        <v>0</v>
      </c>
      <c r="AT138" s="180">
        <v>498304</v>
      </c>
      <c r="AU138" s="180">
        <v>126586</v>
      </c>
      <c r="AV138" s="180">
        <v>0</v>
      </c>
      <c r="AW138" s="180">
        <v>786592</v>
      </c>
      <c r="AX138" s="180">
        <v>0</v>
      </c>
      <c r="AY138" s="180">
        <v>143157</v>
      </c>
      <c r="AZ138" s="180">
        <v>0</v>
      </c>
      <c r="BA138" s="180">
        <v>0</v>
      </c>
      <c r="BB138" s="180">
        <v>0</v>
      </c>
      <c r="BC138" s="180">
        <v>690559</v>
      </c>
      <c r="BD138" s="180">
        <v>0</v>
      </c>
      <c r="BE138" s="180">
        <v>200000</v>
      </c>
      <c r="BF138" s="180">
        <v>0</v>
      </c>
      <c r="BG138" s="180">
        <v>0</v>
      </c>
      <c r="BH138" s="180">
        <v>1043</v>
      </c>
      <c r="BI138" s="180">
        <v>0</v>
      </c>
      <c r="BJ138" s="180">
        <v>0</v>
      </c>
      <c r="BK138" s="180">
        <v>0</v>
      </c>
      <c r="BL138" s="180">
        <v>0</v>
      </c>
      <c r="BM138" s="180">
        <v>125552</v>
      </c>
      <c r="BN138" s="180">
        <v>120000</v>
      </c>
      <c r="BO138" s="180">
        <v>0</v>
      </c>
      <c r="BP138" s="180">
        <v>8192841</v>
      </c>
      <c r="BQ138" s="180">
        <v>0</v>
      </c>
      <c r="BR138" s="180"/>
      <c r="BS138" s="180">
        <v>0</v>
      </c>
      <c r="BT138" s="180"/>
      <c r="BU138" s="180">
        <v>0</v>
      </c>
      <c r="BV138" s="180">
        <v>0</v>
      </c>
      <c r="BW138" s="180">
        <v>1000000</v>
      </c>
      <c r="BX138" s="180">
        <v>0</v>
      </c>
      <c r="BY138" s="180"/>
      <c r="BZ138" s="180">
        <v>223471</v>
      </c>
      <c r="CA138" s="180">
        <v>0</v>
      </c>
      <c r="CB138" s="180">
        <v>557254</v>
      </c>
      <c r="CC138" s="180">
        <v>391900</v>
      </c>
      <c r="CD138" s="180">
        <v>0</v>
      </c>
      <c r="CE138" s="180"/>
      <c r="CF138" s="180">
        <v>0</v>
      </c>
      <c r="CG138" s="180">
        <v>0</v>
      </c>
      <c r="CH138" s="180">
        <v>125632</v>
      </c>
      <c r="CI138" s="180">
        <v>0</v>
      </c>
      <c r="CJ138" s="180"/>
      <c r="CK138" s="180">
        <v>0</v>
      </c>
      <c r="CL138" s="180"/>
      <c r="CM138" s="180"/>
      <c r="CN138" s="180"/>
      <c r="CO138" s="180"/>
      <c r="CP138" s="180"/>
      <c r="CQ138" s="180"/>
      <c r="CR138" s="180"/>
      <c r="CS138" s="180"/>
      <c r="CT138" s="180"/>
      <c r="CU138" s="180"/>
    </row>
    <row r="139" spans="1:99" x14ac:dyDescent="0.3">
      <c r="A139" s="155">
        <v>541</v>
      </c>
      <c r="B139" s="180" t="s">
        <v>310</v>
      </c>
      <c r="C139" s="180"/>
      <c r="D139" s="180">
        <v>19393</v>
      </c>
      <c r="E139" s="180">
        <v>0</v>
      </c>
      <c r="F139" s="180">
        <v>147680</v>
      </c>
      <c r="G139" s="180">
        <v>8685</v>
      </c>
      <c r="H139" s="180"/>
      <c r="I139" s="180">
        <v>629175</v>
      </c>
      <c r="J139" s="180">
        <v>0</v>
      </c>
      <c r="K139" s="180">
        <v>1451810</v>
      </c>
      <c r="L139" s="180">
        <v>0</v>
      </c>
      <c r="M139" s="180">
        <v>0</v>
      </c>
      <c r="N139" s="180"/>
      <c r="O139" s="180">
        <v>15733070</v>
      </c>
      <c r="P139" s="180">
        <v>0</v>
      </c>
      <c r="Q139" s="180">
        <v>0</v>
      </c>
      <c r="R139" s="180">
        <v>0</v>
      </c>
      <c r="S139" s="180">
        <v>0</v>
      </c>
      <c r="T139" s="180">
        <v>0</v>
      </c>
      <c r="U139" s="180">
        <v>0</v>
      </c>
      <c r="V139" s="180">
        <v>-10299</v>
      </c>
      <c r="W139" s="180">
        <v>91683</v>
      </c>
      <c r="X139" s="180">
        <v>0</v>
      </c>
      <c r="Y139" s="180">
        <v>185040000</v>
      </c>
      <c r="Z139" s="180">
        <v>539313</v>
      </c>
      <c r="AA139" s="180">
        <v>38005</v>
      </c>
      <c r="AB139" s="180">
        <v>0</v>
      </c>
      <c r="AC139" s="180"/>
      <c r="AD139" s="180">
        <v>439521</v>
      </c>
      <c r="AE139" s="180">
        <v>100714</v>
      </c>
      <c r="AF139" s="180">
        <v>7635222</v>
      </c>
      <c r="AG139" s="180">
        <v>0</v>
      </c>
      <c r="AH139" s="180">
        <v>132578</v>
      </c>
      <c r="AI139" s="180">
        <v>-676286</v>
      </c>
      <c r="AJ139" s="180">
        <v>-20470</v>
      </c>
      <c r="AK139" s="180">
        <v>38767</v>
      </c>
      <c r="AL139" s="180">
        <v>33993</v>
      </c>
      <c r="AM139" s="180"/>
      <c r="AN139" s="180">
        <v>26642</v>
      </c>
      <c r="AO139" s="180"/>
      <c r="AP139" s="180">
        <v>0</v>
      </c>
      <c r="AQ139" s="180">
        <v>8064319</v>
      </c>
      <c r="AR139" s="180">
        <v>0</v>
      </c>
      <c r="AS139" s="180">
        <v>18942</v>
      </c>
      <c r="AT139" s="180">
        <v>2021919</v>
      </c>
      <c r="AU139" s="180">
        <v>0</v>
      </c>
      <c r="AV139" s="180">
        <v>0</v>
      </c>
      <c r="AW139" s="180">
        <v>0</v>
      </c>
      <c r="AX139" s="180">
        <v>-14098</v>
      </c>
      <c r="AY139" s="180">
        <v>0</v>
      </c>
      <c r="AZ139" s="180">
        <v>0</v>
      </c>
      <c r="BA139" s="180">
        <v>54369</v>
      </c>
      <c r="BB139" s="180">
        <v>-33236</v>
      </c>
      <c r="BC139" s="180">
        <v>449919</v>
      </c>
      <c r="BD139" s="180">
        <v>0</v>
      </c>
      <c r="BE139" s="180">
        <v>0</v>
      </c>
      <c r="BF139" s="180">
        <v>207721</v>
      </c>
      <c r="BG139" s="180">
        <v>0</v>
      </c>
      <c r="BH139" s="180">
        <v>0</v>
      </c>
      <c r="BI139" s="180">
        <v>-109582</v>
      </c>
      <c r="BJ139" s="180">
        <v>0</v>
      </c>
      <c r="BK139" s="180">
        <v>48321</v>
      </c>
      <c r="BL139" s="180">
        <v>13876</v>
      </c>
      <c r="BM139" s="180">
        <v>-23067</v>
      </c>
      <c r="BN139" s="180">
        <v>0</v>
      </c>
      <c r="BO139" s="180">
        <v>145507</v>
      </c>
      <c r="BP139" s="180">
        <v>41865263</v>
      </c>
      <c r="BQ139" s="180">
        <v>0</v>
      </c>
      <c r="BR139" s="180"/>
      <c r="BS139" s="180">
        <v>59822</v>
      </c>
      <c r="BT139" s="180"/>
      <c r="BU139" s="180">
        <v>29364</v>
      </c>
      <c r="BV139" s="180">
        <v>0</v>
      </c>
      <c r="BW139" s="180">
        <v>-1194849</v>
      </c>
      <c r="BX139" s="180">
        <v>301399</v>
      </c>
      <c r="BY139" s="180"/>
      <c r="BZ139" s="180">
        <v>209195</v>
      </c>
      <c r="CA139" s="180">
        <v>-2414</v>
      </c>
      <c r="CB139" s="180">
        <v>672695</v>
      </c>
      <c r="CC139" s="180">
        <v>0</v>
      </c>
      <c r="CD139" s="180">
        <v>-86884</v>
      </c>
      <c r="CE139" s="180"/>
      <c r="CF139" s="180">
        <v>1631209</v>
      </c>
      <c r="CG139" s="180">
        <v>0</v>
      </c>
      <c r="CH139" s="180">
        <v>77368</v>
      </c>
      <c r="CI139" s="180">
        <v>0</v>
      </c>
      <c r="CJ139" s="180"/>
      <c r="CK139" s="180">
        <v>18144</v>
      </c>
      <c r="CL139" s="180"/>
      <c r="CM139" s="180"/>
      <c r="CN139" s="180"/>
      <c r="CO139" s="180"/>
      <c r="CP139" s="180"/>
      <c r="CQ139" s="180"/>
      <c r="CR139" s="180"/>
      <c r="CS139" s="180"/>
      <c r="CT139" s="180"/>
      <c r="CU139" s="180"/>
    </row>
    <row r="140" spans="1:99" x14ac:dyDescent="0.3">
      <c r="A140" s="155">
        <v>542</v>
      </c>
      <c r="B140" s="180" t="s">
        <v>929</v>
      </c>
      <c r="C140" s="180"/>
      <c r="D140" s="180">
        <v>0</v>
      </c>
      <c r="E140" s="180">
        <v>0</v>
      </c>
      <c r="F140" s="180">
        <v>0</v>
      </c>
      <c r="G140" s="180">
        <v>1950</v>
      </c>
      <c r="H140" s="180"/>
      <c r="I140" s="180">
        <v>343905</v>
      </c>
      <c r="J140" s="180">
        <v>0</v>
      </c>
      <c r="K140" s="180">
        <v>238506</v>
      </c>
      <c r="L140" s="180">
        <v>0</v>
      </c>
      <c r="M140" s="180">
        <v>0</v>
      </c>
      <c r="N140" s="180"/>
      <c r="O140" s="180">
        <v>13598338</v>
      </c>
      <c r="P140" s="180">
        <v>0</v>
      </c>
      <c r="Q140" s="180">
        <v>0</v>
      </c>
      <c r="R140" s="180">
        <v>0</v>
      </c>
      <c r="S140" s="180">
        <v>0</v>
      </c>
      <c r="T140" s="180">
        <v>0</v>
      </c>
      <c r="U140" s="180">
        <v>0</v>
      </c>
      <c r="V140" s="180">
        <v>0</v>
      </c>
      <c r="W140" s="180">
        <v>170875</v>
      </c>
      <c r="X140" s="180">
        <v>0</v>
      </c>
      <c r="Y140" s="180">
        <v>32131000</v>
      </c>
      <c r="Z140" s="180">
        <v>0</v>
      </c>
      <c r="AA140" s="180">
        <v>0</v>
      </c>
      <c r="AB140" s="180">
        <v>0</v>
      </c>
      <c r="AC140" s="180"/>
      <c r="AD140" s="180">
        <v>0</v>
      </c>
      <c r="AE140" s="180">
        <v>0</v>
      </c>
      <c r="AF140" s="180">
        <v>0</v>
      </c>
      <c r="AG140" s="180">
        <v>0</v>
      </c>
      <c r="AH140" s="180">
        <v>0</v>
      </c>
      <c r="AI140" s="180">
        <v>0</v>
      </c>
      <c r="AJ140" s="180">
        <v>73600</v>
      </c>
      <c r="AK140" s="180">
        <v>0</v>
      </c>
      <c r="AL140" s="180">
        <v>0</v>
      </c>
      <c r="AM140" s="180"/>
      <c r="AN140" s="180">
        <v>0</v>
      </c>
      <c r="AO140" s="180"/>
      <c r="AP140" s="180">
        <v>0</v>
      </c>
      <c r="AQ140" s="180">
        <v>2955923</v>
      </c>
      <c r="AR140" s="180">
        <v>0</v>
      </c>
      <c r="AS140" s="180">
        <v>0</v>
      </c>
      <c r="AT140" s="180">
        <v>782199</v>
      </c>
      <c r="AU140" s="180">
        <v>0</v>
      </c>
      <c r="AV140" s="180">
        <v>0</v>
      </c>
      <c r="AW140" s="180">
        <v>0</v>
      </c>
      <c r="AX140" s="180">
        <v>0</v>
      </c>
      <c r="AY140" s="180">
        <v>0</v>
      </c>
      <c r="AZ140" s="180">
        <v>0</v>
      </c>
      <c r="BA140" s="180">
        <v>0</v>
      </c>
      <c r="BB140" s="180">
        <v>0</v>
      </c>
      <c r="BC140" s="180">
        <v>16300</v>
      </c>
      <c r="BD140" s="180">
        <v>0</v>
      </c>
      <c r="BE140" s="180">
        <v>0</v>
      </c>
      <c r="BF140" s="180">
        <v>0</v>
      </c>
      <c r="BG140" s="180">
        <v>0</v>
      </c>
      <c r="BH140" s="180">
        <v>0</v>
      </c>
      <c r="BI140" s="180">
        <v>0</v>
      </c>
      <c r="BJ140" s="180">
        <v>0</v>
      </c>
      <c r="BK140" s="180">
        <v>0</v>
      </c>
      <c r="BL140" s="180">
        <v>0</v>
      </c>
      <c r="BM140" s="180">
        <v>0</v>
      </c>
      <c r="BN140" s="180">
        <v>0</v>
      </c>
      <c r="BO140" s="180">
        <v>0</v>
      </c>
      <c r="BP140" s="180">
        <v>0</v>
      </c>
      <c r="BQ140" s="180">
        <v>0</v>
      </c>
      <c r="BR140" s="180"/>
      <c r="BS140" s="180">
        <v>0</v>
      </c>
      <c r="BT140" s="180"/>
      <c r="BU140" s="180">
        <v>0</v>
      </c>
      <c r="BV140" s="180">
        <v>0</v>
      </c>
      <c r="BW140" s="180">
        <v>400000</v>
      </c>
      <c r="BX140" s="180">
        <v>0</v>
      </c>
      <c r="BY140" s="180"/>
      <c r="BZ140" s="180">
        <v>0</v>
      </c>
      <c r="CA140" s="180">
        <v>28500</v>
      </c>
      <c r="CB140" s="180">
        <v>0</v>
      </c>
      <c r="CC140" s="180">
        <v>268300</v>
      </c>
      <c r="CD140" s="180">
        <v>0</v>
      </c>
      <c r="CE140" s="180"/>
      <c r="CF140" s="180">
        <v>0</v>
      </c>
      <c r="CG140" s="180">
        <v>0</v>
      </c>
      <c r="CH140" s="180">
        <v>0</v>
      </c>
      <c r="CI140" s="180">
        <v>0</v>
      </c>
      <c r="CJ140" s="180"/>
      <c r="CK140" s="180">
        <v>0</v>
      </c>
      <c r="CL140" s="180"/>
      <c r="CM140" s="180"/>
      <c r="CN140" s="180"/>
      <c r="CO140" s="180"/>
      <c r="CP140" s="180"/>
      <c r="CQ140" s="180"/>
      <c r="CR140" s="180"/>
      <c r="CS140" s="180"/>
      <c r="CT140" s="180"/>
      <c r="CU140" s="180"/>
    </row>
    <row r="141" spans="1:99" x14ac:dyDescent="0.3">
      <c r="A141" s="155">
        <v>544</v>
      </c>
      <c r="B141" s="180" t="s">
        <v>52</v>
      </c>
      <c r="C141" s="180"/>
      <c r="D141" s="180">
        <v>0</v>
      </c>
      <c r="E141" s="180">
        <v>0</v>
      </c>
      <c r="F141" s="180">
        <v>0</v>
      </c>
      <c r="G141" s="180">
        <v>0</v>
      </c>
      <c r="H141" s="180"/>
      <c r="I141" s="180">
        <v>0</v>
      </c>
      <c r="J141" s="180">
        <v>0</v>
      </c>
      <c r="K141" s="180">
        <v>0</v>
      </c>
      <c r="L141" s="180">
        <v>0</v>
      </c>
      <c r="M141" s="180">
        <v>5.0000000000000001E-4</v>
      </c>
      <c r="N141" s="180"/>
      <c r="O141" s="180">
        <v>0</v>
      </c>
      <c r="P141" s="180">
        <v>0</v>
      </c>
      <c r="Q141" s="180">
        <v>0</v>
      </c>
      <c r="R141" s="180">
        <v>0</v>
      </c>
      <c r="S141" s="180">
        <v>0</v>
      </c>
      <c r="T141" s="180">
        <v>0</v>
      </c>
      <c r="U141" s="180">
        <v>0</v>
      </c>
      <c r="V141" s="180">
        <v>0</v>
      </c>
      <c r="W141" s="180">
        <v>0</v>
      </c>
      <c r="X141" s="180">
        <v>0</v>
      </c>
      <c r="Y141" s="180">
        <v>0</v>
      </c>
      <c r="Z141" s="180">
        <v>0</v>
      </c>
      <c r="AA141" s="180">
        <v>0</v>
      </c>
      <c r="AB141" s="180">
        <v>0</v>
      </c>
      <c r="AC141" s="180"/>
      <c r="AD141" s="180">
        <v>0</v>
      </c>
      <c r="AE141" s="180">
        <v>0</v>
      </c>
      <c r="AF141" s="180">
        <v>0</v>
      </c>
      <c r="AG141" s="180">
        <v>3.5000000000000003E-2</v>
      </c>
      <c r="AH141" s="180">
        <v>0</v>
      </c>
      <c r="AI141" s="180">
        <v>0</v>
      </c>
      <c r="AJ141" s="180">
        <v>0</v>
      </c>
      <c r="AK141" s="180">
        <v>0</v>
      </c>
      <c r="AL141" s="180">
        <v>0</v>
      </c>
      <c r="AM141" s="180"/>
      <c r="AN141" s="180">
        <v>0</v>
      </c>
      <c r="AO141" s="180"/>
      <c r="AP141" s="180">
        <v>0</v>
      </c>
      <c r="AQ141" s="180">
        <v>0</v>
      </c>
      <c r="AR141" s="180">
        <v>0</v>
      </c>
      <c r="AS141" s="180">
        <v>0</v>
      </c>
      <c r="AT141" s="180">
        <v>0</v>
      </c>
      <c r="AU141" s="180">
        <v>0</v>
      </c>
      <c r="AV141" s="180">
        <v>0</v>
      </c>
      <c r="AW141" s="180">
        <v>0</v>
      </c>
      <c r="AX141" s="180">
        <v>0</v>
      </c>
      <c r="AY141" s="180">
        <v>0</v>
      </c>
      <c r="AZ141" s="180">
        <v>0</v>
      </c>
      <c r="BA141" s="180">
        <v>0</v>
      </c>
      <c r="BB141" s="180">
        <v>0</v>
      </c>
      <c r="BC141" s="180">
        <v>0</v>
      </c>
      <c r="BD141" s="180">
        <v>0</v>
      </c>
      <c r="BE141" s="180">
        <v>0</v>
      </c>
      <c r="BF141" s="180">
        <v>0</v>
      </c>
      <c r="BG141" s="180">
        <v>0</v>
      </c>
      <c r="BH141" s="180">
        <v>0</v>
      </c>
      <c r="BI141" s="180">
        <v>0</v>
      </c>
      <c r="BJ141" s="180">
        <v>0</v>
      </c>
      <c r="BK141" s="180">
        <v>0</v>
      </c>
      <c r="BL141" s="180">
        <v>0</v>
      </c>
      <c r="BM141" s="180">
        <v>0</v>
      </c>
      <c r="BN141" s="180">
        <v>0</v>
      </c>
      <c r="BO141" s="180">
        <v>0</v>
      </c>
      <c r="BP141" s="180">
        <v>0.02</v>
      </c>
      <c r="BQ141" s="180">
        <v>0</v>
      </c>
      <c r="BR141" s="180"/>
      <c r="BS141" s="180">
        <v>0</v>
      </c>
      <c r="BT141" s="180"/>
      <c r="BU141" s="180">
        <v>0</v>
      </c>
      <c r="BV141" s="180">
        <v>0</v>
      </c>
      <c r="BW141" s="180">
        <v>0</v>
      </c>
      <c r="BX141" s="180">
        <v>0</v>
      </c>
      <c r="BY141" s="180"/>
      <c r="BZ141" s="180">
        <v>0</v>
      </c>
      <c r="CA141" s="180">
        <v>0</v>
      </c>
      <c r="CB141" s="180">
        <v>0</v>
      </c>
      <c r="CC141" s="180">
        <v>0</v>
      </c>
      <c r="CD141" s="180">
        <v>0</v>
      </c>
      <c r="CE141" s="180"/>
      <c r="CF141" s="180">
        <v>0</v>
      </c>
      <c r="CG141" s="180">
        <v>0</v>
      </c>
      <c r="CH141" s="180">
        <v>0</v>
      </c>
      <c r="CI141" s="180">
        <v>0</v>
      </c>
      <c r="CJ141" s="180"/>
      <c r="CK141" s="180">
        <v>0.2</v>
      </c>
      <c r="CL141" s="180"/>
      <c r="CM141" s="180"/>
      <c r="CN141" s="180"/>
      <c r="CO141" s="180"/>
      <c r="CP141" s="180"/>
      <c r="CQ141" s="180"/>
      <c r="CR141" s="180"/>
      <c r="CS141" s="180"/>
      <c r="CT141" s="180"/>
      <c r="CU141" s="180"/>
    </row>
    <row r="142" spans="1:99" s="567" customFormat="1" x14ac:dyDescent="0.3">
      <c r="A142" s="566">
        <v>545</v>
      </c>
      <c r="B142" s="567" t="s">
        <v>53</v>
      </c>
      <c r="D142" s="567">
        <v>0</v>
      </c>
      <c r="E142" s="567">
        <v>0</v>
      </c>
      <c r="F142" s="567">
        <v>0</v>
      </c>
      <c r="G142" s="567">
        <v>0</v>
      </c>
      <c r="I142" s="567">
        <v>0</v>
      </c>
      <c r="J142" s="567">
        <v>0</v>
      </c>
      <c r="K142" s="567">
        <v>0</v>
      </c>
      <c r="L142" s="567">
        <v>0</v>
      </c>
      <c r="M142" s="567">
        <v>0</v>
      </c>
      <c r="O142" s="567">
        <v>0</v>
      </c>
      <c r="P142" s="567">
        <v>0</v>
      </c>
      <c r="Q142" s="567">
        <v>0</v>
      </c>
      <c r="R142" s="567">
        <v>0</v>
      </c>
      <c r="S142" s="567">
        <v>0</v>
      </c>
      <c r="T142" s="567">
        <v>0</v>
      </c>
      <c r="U142" s="567">
        <v>0</v>
      </c>
      <c r="V142" s="567">
        <v>0</v>
      </c>
      <c r="W142" s="567">
        <v>0</v>
      </c>
      <c r="X142" s="567">
        <v>0.8</v>
      </c>
      <c r="Y142" s="567">
        <v>0</v>
      </c>
      <c r="Z142" s="567">
        <v>0</v>
      </c>
      <c r="AA142" s="567">
        <v>0</v>
      </c>
      <c r="AB142" s="567">
        <v>0.02</v>
      </c>
      <c r="AD142" s="567">
        <v>0</v>
      </c>
      <c r="AE142" s="567">
        <v>0</v>
      </c>
      <c r="AF142" s="567">
        <v>0</v>
      </c>
      <c r="AG142" s="567">
        <v>0</v>
      </c>
      <c r="AH142" s="567">
        <v>0</v>
      </c>
      <c r="AI142" s="567">
        <v>0</v>
      </c>
      <c r="AJ142" s="567">
        <v>0</v>
      </c>
      <c r="AK142" s="567">
        <v>0</v>
      </c>
      <c r="AL142" s="567">
        <v>0</v>
      </c>
      <c r="AN142" s="567">
        <v>0</v>
      </c>
      <c r="AP142" s="567">
        <v>0</v>
      </c>
      <c r="AQ142" s="567">
        <v>0</v>
      </c>
      <c r="AR142" s="567">
        <v>0</v>
      </c>
      <c r="AS142" s="567">
        <v>0</v>
      </c>
      <c r="AT142" s="567">
        <v>0</v>
      </c>
      <c r="AU142" s="567">
        <v>0</v>
      </c>
      <c r="AV142" s="567">
        <v>0</v>
      </c>
      <c r="AW142" s="567">
        <v>0</v>
      </c>
      <c r="AX142" s="567">
        <v>0</v>
      </c>
      <c r="AY142" s="567">
        <v>0</v>
      </c>
      <c r="AZ142" s="567">
        <v>0</v>
      </c>
      <c r="BA142" s="567">
        <v>0</v>
      </c>
      <c r="BB142" s="567">
        <v>0</v>
      </c>
      <c r="BC142" s="567">
        <v>0</v>
      </c>
      <c r="BD142" s="567">
        <v>0</v>
      </c>
      <c r="BE142" s="567">
        <v>0.32500000000000001</v>
      </c>
      <c r="BF142" s="567">
        <v>0</v>
      </c>
      <c r="BG142" s="567">
        <v>0</v>
      </c>
      <c r="BH142" s="567">
        <v>0</v>
      </c>
      <c r="BI142" s="567">
        <v>0</v>
      </c>
      <c r="BJ142" s="567">
        <v>0</v>
      </c>
      <c r="BK142" s="567">
        <v>0</v>
      </c>
      <c r="BL142" s="567">
        <v>0</v>
      </c>
      <c r="BM142" s="567">
        <v>0</v>
      </c>
      <c r="BN142" s="567">
        <v>2.36</v>
      </c>
      <c r="BO142" s="567">
        <v>0</v>
      </c>
      <c r="BP142" s="567">
        <v>6.0000000000000001E-3</v>
      </c>
      <c r="BQ142" s="567">
        <v>0</v>
      </c>
      <c r="BS142" s="567">
        <v>0</v>
      </c>
      <c r="BU142" s="567">
        <v>0</v>
      </c>
      <c r="BV142" s="567">
        <v>0</v>
      </c>
      <c r="BW142" s="567">
        <v>0</v>
      </c>
      <c r="BX142" s="567">
        <v>0</v>
      </c>
      <c r="BZ142" s="567">
        <v>0</v>
      </c>
      <c r="CA142" s="567">
        <v>0</v>
      </c>
      <c r="CB142" s="567">
        <v>0</v>
      </c>
      <c r="CC142" s="567">
        <v>0</v>
      </c>
      <c r="CD142" s="567">
        <v>0</v>
      </c>
      <c r="CF142" s="567">
        <v>0</v>
      </c>
      <c r="CG142" s="567">
        <v>0</v>
      </c>
      <c r="CH142" s="567">
        <v>0</v>
      </c>
      <c r="CI142" s="567">
        <v>0</v>
      </c>
      <c r="CK142" s="567">
        <v>0</v>
      </c>
    </row>
    <row r="143" spans="1:99" x14ac:dyDescent="0.3">
      <c r="A143" s="155">
        <v>547</v>
      </c>
      <c r="B143" s="180" t="s">
        <v>931</v>
      </c>
      <c r="C143" s="180"/>
      <c r="D143" s="180">
        <v>2</v>
      </c>
      <c r="E143" s="180">
        <v>2</v>
      </c>
      <c r="F143" s="180">
        <v>2</v>
      </c>
      <c r="G143" s="180">
        <v>2</v>
      </c>
      <c r="H143" s="180"/>
      <c r="I143" s="180">
        <v>3</v>
      </c>
      <c r="J143" s="180">
        <v>2</v>
      </c>
      <c r="K143" s="180">
        <v>3</v>
      </c>
      <c r="L143" s="180">
        <v>3</v>
      </c>
      <c r="M143" s="180">
        <v>3</v>
      </c>
      <c r="N143" s="180"/>
      <c r="O143" s="180">
        <v>3</v>
      </c>
      <c r="P143" s="180">
        <v>2</v>
      </c>
      <c r="Q143" s="180">
        <v>2</v>
      </c>
      <c r="R143" s="180">
        <v>2</v>
      </c>
      <c r="S143" s="180">
        <v>3</v>
      </c>
      <c r="T143" s="180">
        <v>2</v>
      </c>
      <c r="U143" s="180">
        <v>2</v>
      </c>
      <c r="V143" s="180">
        <v>2</v>
      </c>
      <c r="W143" s="180">
        <v>1</v>
      </c>
      <c r="X143" s="180">
        <v>3</v>
      </c>
      <c r="Y143" s="180">
        <v>3</v>
      </c>
      <c r="Z143" s="180">
        <v>3</v>
      </c>
      <c r="AA143" s="180">
        <v>0</v>
      </c>
      <c r="AB143" s="180">
        <v>2</v>
      </c>
      <c r="AC143" s="180"/>
      <c r="AD143" s="180">
        <v>3</v>
      </c>
      <c r="AE143" s="180">
        <v>2</v>
      </c>
      <c r="AF143" s="180">
        <v>3</v>
      </c>
      <c r="AG143" s="180">
        <v>0</v>
      </c>
      <c r="AH143" s="180">
        <v>3</v>
      </c>
      <c r="AI143" s="180">
        <v>3</v>
      </c>
      <c r="AJ143" s="180">
        <v>3</v>
      </c>
      <c r="AK143" s="180">
        <v>2</v>
      </c>
      <c r="AL143" s="180">
        <v>2</v>
      </c>
      <c r="AM143" s="180"/>
      <c r="AN143" s="180">
        <v>3</v>
      </c>
      <c r="AO143" s="180"/>
      <c r="AP143" s="180">
        <v>2</v>
      </c>
      <c r="AQ143" s="180">
        <v>3</v>
      </c>
      <c r="AR143" s="180">
        <v>2</v>
      </c>
      <c r="AS143" s="180">
        <v>2</v>
      </c>
      <c r="AT143" s="180">
        <v>2</v>
      </c>
      <c r="AU143" s="180">
        <v>1</v>
      </c>
      <c r="AV143" s="180">
        <v>2</v>
      </c>
      <c r="AW143" s="180">
        <v>3</v>
      </c>
      <c r="AX143" s="180">
        <v>2</v>
      </c>
      <c r="AY143" s="180">
        <v>3</v>
      </c>
      <c r="AZ143" s="180">
        <v>3</v>
      </c>
      <c r="BA143" s="180">
        <v>2</v>
      </c>
      <c r="BB143" s="180">
        <v>2</v>
      </c>
      <c r="BC143" s="180">
        <v>3</v>
      </c>
      <c r="BD143" s="180">
        <v>2</v>
      </c>
      <c r="BE143" s="180">
        <v>0</v>
      </c>
      <c r="BF143" s="180">
        <v>2</v>
      </c>
      <c r="BG143" s="180">
        <v>2</v>
      </c>
      <c r="BH143" s="180">
        <v>2</v>
      </c>
      <c r="BI143" s="180">
        <v>3</v>
      </c>
      <c r="BJ143" s="180">
        <v>2</v>
      </c>
      <c r="BK143" s="180">
        <v>2</v>
      </c>
      <c r="BL143" s="180">
        <v>2</v>
      </c>
      <c r="BM143" s="180">
        <v>2</v>
      </c>
      <c r="BN143" s="180">
        <v>0</v>
      </c>
      <c r="BO143" s="180">
        <v>3</v>
      </c>
      <c r="BP143" s="180">
        <v>3</v>
      </c>
      <c r="BQ143" s="180">
        <v>2</v>
      </c>
      <c r="BR143" s="180"/>
      <c r="BS143" s="180">
        <v>2</v>
      </c>
      <c r="BT143" s="180"/>
      <c r="BU143" s="180">
        <v>2</v>
      </c>
      <c r="BV143" s="180">
        <v>3</v>
      </c>
      <c r="BW143" s="180">
        <v>3</v>
      </c>
      <c r="BX143" s="180">
        <v>3</v>
      </c>
      <c r="BY143" s="180"/>
      <c r="BZ143" s="180">
        <v>2</v>
      </c>
      <c r="CA143" s="180">
        <v>3</v>
      </c>
      <c r="CB143" s="180">
        <v>3</v>
      </c>
      <c r="CC143" s="180">
        <v>2</v>
      </c>
      <c r="CD143" s="180">
        <v>1</v>
      </c>
      <c r="CE143" s="180"/>
      <c r="CF143" s="180">
        <v>2</v>
      </c>
      <c r="CG143" s="180">
        <v>2</v>
      </c>
      <c r="CH143" s="180">
        <v>2</v>
      </c>
      <c r="CI143" s="180">
        <v>3</v>
      </c>
      <c r="CJ143" s="180"/>
      <c r="CK143" s="180">
        <v>2</v>
      </c>
      <c r="CL143" s="180"/>
      <c r="CM143" s="180"/>
      <c r="CN143" s="180"/>
      <c r="CO143" s="180"/>
      <c r="CP143" s="180"/>
      <c r="CQ143" s="180"/>
      <c r="CR143" s="180"/>
      <c r="CS143" s="180"/>
      <c r="CT143" s="180"/>
      <c r="CU143" s="180"/>
    </row>
    <row r="144" spans="1:99" s="554" customFormat="1" x14ac:dyDescent="0.3">
      <c r="A144" s="557">
        <v>554</v>
      </c>
      <c r="B144" s="554" t="s">
        <v>320</v>
      </c>
      <c r="I144" s="554">
        <v>2252574</v>
      </c>
      <c r="J144" s="554">
        <v>86558</v>
      </c>
      <c r="M144" s="554">
        <v>1073946</v>
      </c>
      <c r="O144" s="554">
        <v>6969731</v>
      </c>
      <c r="T144" s="554">
        <v>25000</v>
      </c>
      <c r="X144" s="554">
        <v>17499741</v>
      </c>
      <c r="Y144" s="554">
        <v>277143681</v>
      </c>
      <c r="Z144" s="554">
        <v>967565</v>
      </c>
      <c r="AG144" s="554">
        <v>1364283</v>
      </c>
      <c r="AQ144" s="554">
        <v>19001486</v>
      </c>
      <c r="AT144" s="554">
        <v>2642156</v>
      </c>
      <c r="AW144" s="554">
        <v>978178</v>
      </c>
      <c r="BO144" s="554">
        <v>492449</v>
      </c>
      <c r="BP144" s="554">
        <v>44984580</v>
      </c>
      <c r="BW144" s="554">
        <v>761731</v>
      </c>
      <c r="BX144" s="554">
        <v>894820</v>
      </c>
      <c r="BZ144" s="554">
        <v>2713896</v>
      </c>
      <c r="CB144" s="554">
        <v>953466</v>
      </c>
      <c r="CG144" s="554">
        <v>816961</v>
      </c>
      <c r="CH144" s="554">
        <v>1265742</v>
      </c>
    </row>
    <row r="145" spans="1:99" s="554" customFormat="1" x14ac:dyDescent="0.3">
      <c r="A145" s="557">
        <v>555</v>
      </c>
      <c r="B145" s="554" t="s">
        <v>321</v>
      </c>
      <c r="I145" s="554">
        <v>1559885</v>
      </c>
      <c r="J145" s="554">
        <v>0</v>
      </c>
      <c r="M145" s="554">
        <v>703066</v>
      </c>
      <c r="O145" s="554">
        <v>3847196</v>
      </c>
      <c r="T145" s="554">
        <v>0</v>
      </c>
      <c r="X145" s="554">
        <v>13829933</v>
      </c>
      <c r="Y145" s="554">
        <v>250035464</v>
      </c>
      <c r="Z145" s="554">
        <v>967565</v>
      </c>
      <c r="AG145" s="554">
        <v>1044283</v>
      </c>
      <c r="AQ145" s="554">
        <v>9482905</v>
      </c>
      <c r="AT145" s="554">
        <v>1360838</v>
      </c>
      <c r="AW145" s="554">
        <v>888704</v>
      </c>
      <c r="BO145" s="554">
        <v>0</v>
      </c>
      <c r="BP145" s="554">
        <v>37526367</v>
      </c>
      <c r="BW145" s="554">
        <v>0</v>
      </c>
      <c r="BX145" s="554">
        <v>378809</v>
      </c>
      <c r="BZ145" s="554">
        <v>1979164</v>
      </c>
      <c r="CB145" s="554">
        <v>639148</v>
      </c>
      <c r="CG145" s="554">
        <v>228167</v>
      </c>
      <c r="CH145" s="554">
        <v>810445</v>
      </c>
    </row>
    <row r="146" spans="1:99" s="554" customFormat="1" x14ac:dyDescent="0.3">
      <c r="A146" s="557">
        <v>556</v>
      </c>
      <c r="B146" s="554" t="s">
        <v>322</v>
      </c>
      <c r="I146" s="554">
        <v>670192</v>
      </c>
      <c r="J146" s="554">
        <v>224271</v>
      </c>
      <c r="M146" s="554">
        <v>591454</v>
      </c>
      <c r="O146" s="554">
        <v>4371686</v>
      </c>
      <c r="T146" s="554">
        <v>1097485</v>
      </c>
      <c r="X146" s="554">
        <v>5376253</v>
      </c>
      <c r="Y146" s="554">
        <v>37023164</v>
      </c>
      <c r="Z146" s="554">
        <v>204283</v>
      </c>
      <c r="AG146" s="554">
        <v>1475509</v>
      </c>
      <c r="AQ146" s="554">
        <v>5639892</v>
      </c>
      <c r="AT146" s="554">
        <v>6901432</v>
      </c>
      <c r="AW146" s="554">
        <v>1537109</v>
      </c>
      <c r="BO146" s="554">
        <v>671459</v>
      </c>
      <c r="BP146" s="554">
        <v>12035130</v>
      </c>
      <c r="BW146" s="554">
        <v>4558010</v>
      </c>
      <c r="BX146" s="554">
        <v>906674</v>
      </c>
      <c r="BZ146" s="554">
        <v>1465738</v>
      </c>
      <c r="CB146" s="554">
        <v>193075</v>
      </c>
      <c r="CG146" s="554">
        <v>341498</v>
      </c>
      <c r="CH146" s="554">
        <v>1186357</v>
      </c>
    </row>
    <row r="147" spans="1:99" s="554" customFormat="1" x14ac:dyDescent="0.3">
      <c r="A147" s="557">
        <v>557</v>
      </c>
      <c r="B147" s="554" t="s">
        <v>323</v>
      </c>
      <c r="I147" s="554">
        <v>542692</v>
      </c>
      <c r="J147" s="554">
        <v>79829</v>
      </c>
      <c r="M147" s="554">
        <v>563454</v>
      </c>
      <c r="O147" s="554">
        <v>4106608</v>
      </c>
      <c r="T147" s="554">
        <v>1011756</v>
      </c>
      <c r="X147" s="554">
        <v>3631704</v>
      </c>
      <c r="Y147" s="554">
        <v>17399558</v>
      </c>
      <c r="Z147" s="554">
        <v>0</v>
      </c>
      <c r="AG147" s="554">
        <v>1475509</v>
      </c>
      <c r="AQ147" s="554">
        <v>5331036</v>
      </c>
      <c r="AT147" s="554">
        <v>6332060</v>
      </c>
      <c r="AW147" s="554">
        <v>1377283</v>
      </c>
      <c r="BO147" s="554">
        <v>335827</v>
      </c>
      <c r="BP147" s="554">
        <v>11878579</v>
      </c>
      <c r="BW147" s="554">
        <v>2167012</v>
      </c>
      <c r="BX147" s="554">
        <v>384623</v>
      </c>
      <c r="BZ147" s="554">
        <v>704282</v>
      </c>
      <c r="CB147" s="554">
        <v>0</v>
      </c>
      <c r="CG147" s="554">
        <v>0</v>
      </c>
      <c r="CH147" s="554">
        <v>919759</v>
      </c>
    </row>
    <row r="148" spans="1:99" x14ac:dyDescent="0.3">
      <c r="A148" s="155">
        <v>575</v>
      </c>
      <c r="B148" s="180" t="s">
        <v>302</v>
      </c>
      <c r="C148" s="180"/>
      <c r="D148" s="180">
        <v>2028</v>
      </c>
      <c r="E148" s="180">
        <v>0</v>
      </c>
      <c r="F148" s="180">
        <v>0</v>
      </c>
      <c r="G148" s="180">
        <v>0</v>
      </c>
      <c r="H148" s="180"/>
      <c r="I148" s="180">
        <v>0</v>
      </c>
      <c r="J148" s="180">
        <v>0</v>
      </c>
      <c r="K148" s="180">
        <v>0</v>
      </c>
      <c r="L148" s="180">
        <v>0</v>
      </c>
      <c r="M148" s="180">
        <v>0</v>
      </c>
      <c r="N148" s="180"/>
      <c r="O148" s="180">
        <v>0</v>
      </c>
      <c r="P148" s="180">
        <v>0</v>
      </c>
      <c r="Q148" s="180">
        <v>0</v>
      </c>
      <c r="R148" s="180">
        <v>0</v>
      </c>
      <c r="S148" s="180">
        <v>0</v>
      </c>
      <c r="T148" s="180">
        <v>0</v>
      </c>
      <c r="U148" s="180">
        <v>0</v>
      </c>
      <c r="V148" s="180">
        <v>2958</v>
      </c>
      <c r="W148" s="180">
        <v>0</v>
      </c>
      <c r="X148" s="180">
        <v>2765085</v>
      </c>
      <c r="Y148" s="180">
        <v>7053000</v>
      </c>
      <c r="Z148" s="180">
        <v>560560</v>
      </c>
      <c r="AA148" s="180">
        <v>0</v>
      </c>
      <c r="AB148" s="180">
        <v>0</v>
      </c>
      <c r="AC148" s="180"/>
      <c r="AD148" s="180">
        <v>0</v>
      </c>
      <c r="AE148" s="180">
        <v>0</v>
      </c>
      <c r="AF148" s="180">
        <v>0</v>
      </c>
      <c r="AG148" s="180">
        <v>0</v>
      </c>
      <c r="AH148" s="180">
        <v>0</v>
      </c>
      <c r="AI148" s="180">
        <v>0</v>
      </c>
      <c r="AJ148" s="180">
        <v>480</v>
      </c>
      <c r="AK148" s="180">
        <v>0</v>
      </c>
      <c r="AL148" s="180">
        <v>54503</v>
      </c>
      <c r="AM148" s="180"/>
      <c r="AN148" s="180">
        <v>0</v>
      </c>
      <c r="AO148" s="180"/>
      <c r="AP148" s="180">
        <v>0</v>
      </c>
      <c r="AQ148" s="180">
        <v>6533667</v>
      </c>
      <c r="AR148" s="180">
        <v>0</v>
      </c>
      <c r="AS148" s="180">
        <v>0</v>
      </c>
      <c r="AT148" s="180">
        <v>0</v>
      </c>
      <c r="AU148" s="180">
        <v>0</v>
      </c>
      <c r="AV148" s="180">
        <v>0</v>
      </c>
      <c r="AW148" s="180">
        <v>260409</v>
      </c>
      <c r="AX148" s="180">
        <v>57986</v>
      </c>
      <c r="AY148" s="180">
        <v>0</v>
      </c>
      <c r="AZ148" s="180">
        <v>0</v>
      </c>
      <c r="BA148" s="180">
        <v>0</v>
      </c>
      <c r="BB148" s="180">
        <v>0</v>
      </c>
      <c r="BC148" s="180">
        <v>0</v>
      </c>
      <c r="BD148" s="180">
        <v>0</v>
      </c>
      <c r="BE148" s="180">
        <v>0</v>
      </c>
      <c r="BF148" s="180">
        <v>0</v>
      </c>
      <c r="BG148" s="180">
        <v>0</v>
      </c>
      <c r="BH148" s="180">
        <v>0</v>
      </c>
      <c r="BI148" s="180">
        <v>0</v>
      </c>
      <c r="BJ148" s="180">
        <v>0</v>
      </c>
      <c r="BK148" s="180">
        <v>133104</v>
      </c>
      <c r="BL148" s="180">
        <v>0</v>
      </c>
      <c r="BM148" s="180">
        <v>51924</v>
      </c>
      <c r="BN148" s="180">
        <v>0</v>
      </c>
      <c r="BO148" s="180">
        <v>0</v>
      </c>
      <c r="BP148" s="180">
        <v>0</v>
      </c>
      <c r="BQ148" s="180">
        <v>0</v>
      </c>
      <c r="BR148" s="180"/>
      <c r="BS148" s="180">
        <v>0</v>
      </c>
      <c r="BT148" s="180"/>
      <c r="BU148" s="180">
        <v>891817</v>
      </c>
      <c r="BV148" s="180">
        <v>0</v>
      </c>
      <c r="BW148" s="180">
        <v>4506</v>
      </c>
      <c r="BX148" s="180">
        <v>416965</v>
      </c>
      <c r="BY148" s="180"/>
      <c r="BZ148" s="180">
        <v>0</v>
      </c>
      <c r="CA148" s="180">
        <v>0</v>
      </c>
      <c r="CB148" s="180">
        <v>0</v>
      </c>
      <c r="CC148" s="180">
        <v>0</v>
      </c>
      <c r="CD148" s="180">
        <v>0</v>
      </c>
      <c r="CE148" s="180"/>
      <c r="CF148" s="180">
        <v>0</v>
      </c>
      <c r="CG148" s="180">
        <v>0</v>
      </c>
      <c r="CH148" s="180">
        <v>53185</v>
      </c>
      <c r="CI148" s="180">
        <v>0</v>
      </c>
      <c r="CJ148" s="180"/>
      <c r="CK148" s="180">
        <v>0</v>
      </c>
      <c r="CL148" s="180"/>
      <c r="CM148" s="180"/>
      <c r="CN148" s="180"/>
      <c r="CO148" s="180"/>
      <c r="CP148" s="180"/>
      <c r="CQ148" s="180"/>
      <c r="CR148" s="180"/>
      <c r="CS148" s="180"/>
      <c r="CT148" s="180"/>
      <c r="CU148" s="180"/>
    </row>
    <row r="149" spans="1:99" x14ac:dyDescent="0.3">
      <c r="A149" s="155">
        <v>576</v>
      </c>
      <c r="B149" s="180" t="s">
        <v>303</v>
      </c>
      <c r="C149" s="180"/>
      <c r="D149" s="180">
        <v>0</v>
      </c>
      <c r="E149" s="180">
        <v>0</v>
      </c>
      <c r="F149" s="180">
        <v>0</v>
      </c>
      <c r="G149" s="180">
        <v>0</v>
      </c>
      <c r="H149" s="180"/>
      <c r="I149" s="180">
        <v>0</v>
      </c>
      <c r="J149" s="180">
        <v>0</v>
      </c>
      <c r="K149" s="180">
        <v>0</v>
      </c>
      <c r="L149" s="180">
        <v>0</v>
      </c>
      <c r="M149" s="180">
        <v>0</v>
      </c>
      <c r="N149" s="180"/>
      <c r="O149" s="180">
        <v>0</v>
      </c>
      <c r="P149" s="180">
        <v>0</v>
      </c>
      <c r="Q149" s="180">
        <v>0</v>
      </c>
      <c r="R149" s="180">
        <v>0</v>
      </c>
      <c r="S149" s="180">
        <v>0</v>
      </c>
      <c r="T149" s="180">
        <v>0</v>
      </c>
      <c r="U149" s="180">
        <v>0</v>
      </c>
      <c r="V149" s="180">
        <v>0</v>
      </c>
      <c r="W149" s="180">
        <v>0</v>
      </c>
      <c r="X149" s="180">
        <v>0</v>
      </c>
      <c r="Y149" s="180">
        <v>0</v>
      </c>
      <c r="Z149" s="180">
        <v>560560</v>
      </c>
      <c r="AA149" s="180">
        <v>0</v>
      </c>
      <c r="AB149" s="180">
        <v>0</v>
      </c>
      <c r="AC149" s="180"/>
      <c r="AD149" s="180">
        <v>0</v>
      </c>
      <c r="AE149" s="180">
        <v>78586</v>
      </c>
      <c r="AF149" s="180">
        <v>0</v>
      </c>
      <c r="AG149" s="180">
        <v>0</v>
      </c>
      <c r="AH149" s="180">
        <v>0</v>
      </c>
      <c r="AI149" s="180">
        <v>0</v>
      </c>
      <c r="AJ149" s="180">
        <v>0</v>
      </c>
      <c r="AK149" s="180">
        <v>0</v>
      </c>
      <c r="AL149" s="180">
        <v>0</v>
      </c>
      <c r="AM149" s="180"/>
      <c r="AN149" s="180">
        <v>0</v>
      </c>
      <c r="AO149" s="180"/>
      <c r="AP149" s="180">
        <v>0</v>
      </c>
      <c r="AQ149" s="180">
        <v>0</v>
      </c>
      <c r="AR149" s="180">
        <v>0</v>
      </c>
      <c r="AS149" s="180">
        <v>0</v>
      </c>
      <c r="AT149" s="180">
        <v>0</v>
      </c>
      <c r="AU149" s="180">
        <v>12837</v>
      </c>
      <c r="AV149" s="180">
        <v>0</v>
      </c>
      <c r="AW149" s="180">
        <v>0</v>
      </c>
      <c r="AX149" s="180">
        <v>0</v>
      </c>
      <c r="AY149" s="180">
        <v>0</v>
      </c>
      <c r="AZ149" s="180">
        <v>0</v>
      </c>
      <c r="BA149" s="180">
        <v>0</v>
      </c>
      <c r="BB149" s="180">
        <v>0</v>
      </c>
      <c r="BC149" s="180">
        <v>0</v>
      </c>
      <c r="BD149" s="180">
        <v>0</v>
      </c>
      <c r="BE149" s="180">
        <v>344465</v>
      </c>
      <c r="BF149" s="180">
        <v>0</v>
      </c>
      <c r="BG149" s="180">
        <v>0</v>
      </c>
      <c r="BH149" s="180">
        <v>0</v>
      </c>
      <c r="BI149" s="180">
        <v>0</v>
      </c>
      <c r="BJ149" s="180">
        <v>0</v>
      </c>
      <c r="BK149" s="180">
        <v>0</v>
      </c>
      <c r="BL149" s="180">
        <v>0</v>
      </c>
      <c r="BM149" s="180">
        <v>0</v>
      </c>
      <c r="BN149" s="180">
        <v>0</v>
      </c>
      <c r="BO149" s="180">
        <v>1024146</v>
      </c>
      <c r="BP149" s="180">
        <v>252893</v>
      </c>
      <c r="BQ149" s="180">
        <v>0</v>
      </c>
      <c r="BR149" s="180"/>
      <c r="BS149" s="180">
        <v>0</v>
      </c>
      <c r="BT149" s="180"/>
      <c r="BU149" s="180">
        <v>0</v>
      </c>
      <c r="BV149" s="180">
        <v>0</v>
      </c>
      <c r="BW149" s="180">
        <v>0</v>
      </c>
      <c r="BX149" s="180">
        <v>0</v>
      </c>
      <c r="BY149" s="180"/>
      <c r="BZ149" s="180">
        <v>250420</v>
      </c>
      <c r="CA149" s="180">
        <v>0</v>
      </c>
      <c r="CB149" s="180">
        <v>0</v>
      </c>
      <c r="CC149" s="180">
        <v>0</v>
      </c>
      <c r="CD149" s="180">
        <v>0</v>
      </c>
      <c r="CE149" s="180"/>
      <c r="CF149" s="180">
        <v>0</v>
      </c>
      <c r="CG149" s="180">
        <v>0</v>
      </c>
      <c r="CH149" s="180">
        <v>0</v>
      </c>
      <c r="CI149" s="180">
        <v>0</v>
      </c>
      <c r="CJ149" s="180"/>
      <c r="CK149" s="180">
        <v>0</v>
      </c>
      <c r="CL149" s="180"/>
      <c r="CM149" s="180"/>
      <c r="CN149" s="180"/>
      <c r="CO149" s="180"/>
      <c r="CP149" s="180"/>
      <c r="CQ149" s="180"/>
      <c r="CR149" s="180"/>
      <c r="CS149" s="180"/>
      <c r="CT149" s="180"/>
      <c r="CU149" s="180"/>
    </row>
    <row r="150" spans="1:99" s="567" customFormat="1" x14ac:dyDescent="0.3">
      <c r="A150" s="566">
        <v>577</v>
      </c>
      <c r="B150" s="567" t="s">
        <v>944</v>
      </c>
      <c r="D150" s="567">
        <v>0</v>
      </c>
      <c r="E150" s="567">
        <v>2</v>
      </c>
      <c r="F150" s="567">
        <v>2</v>
      </c>
      <c r="G150" s="567">
        <v>2</v>
      </c>
      <c r="I150" s="567">
        <v>2</v>
      </c>
      <c r="J150" s="567">
        <v>2</v>
      </c>
      <c r="K150" s="567">
        <v>2</v>
      </c>
      <c r="L150" s="567">
        <v>2</v>
      </c>
      <c r="M150" s="567">
        <v>1</v>
      </c>
      <c r="O150" s="567">
        <v>2</v>
      </c>
      <c r="P150" s="567">
        <v>0</v>
      </c>
      <c r="Q150" s="567">
        <v>2</v>
      </c>
      <c r="R150" s="567">
        <v>0</v>
      </c>
      <c r="S150" s="567">
        <v>2</v>
      </c>
      <c r="T150" s="567">
        <v>2</v>
      </c>
      <c r="U150" s="567">
        <v>2</v>
      </c>
      <c r="V150" s="567">
        <v>2</v>
      </c>
      <c r="W150" s="567">
        <v>2</v>
      </c>
      <c r="X150" s="567">
        <v>2</v>
      </c>
      <c r="Y150" s="567">
        <v>1</v>
      </c>
      <c r="Z150" s="567">
        <v>2</v>
      </c>
      <c r="AA150" s="567">
        <v>0</v>
      </c>
      <c r="AB150" s="567">
        <v>2</v>
      </c>
      <c r="AD150" s="567">
        <v>2</v>
      </c>
      <c r="AE150" s="567">
        <v>2</v>
      </c>
      <c r="AF150" s="567">
        <v>2</v>
      </c>
      <c r="AG150" s="567">
        <v>0</v>
      </c>
      <c r="AH150" s="567">
        <v>2</v>
      </c>
      <c r="AI150" s="567">
        <v>2</v>
      </c>
      <c r="AJ150" s="567">
        <v>2</v>
      </c>
      <c r="AK150" s="567">
        <v>2</v>
      </c>
      <c r="AL150" s="567">
        <v>2</v>
      </c>
      <c r="AN150" s="567">
        <v>2</v>
      </c>
      <c r="AP150" s="567">
        <v>0</v>
      </c>
      <c r="AQ150" s="567">
        <v>2</v>
      </c>
      <c r="AR150" s="567">
        <v>2</v>
      </c>
      <c r="AS150" s="567">
        <v>2</v>
      </c>
      <c r="AT150" s="567">
        <v>2</v>
      </c>
      <c r="AU150" s="567">
        <v>0</v>
      </c>
      <c r="AV150" s="567">
        <v>2</v>
      </c>
      <c r="AW150" s="567">
        <v>2</v>
      </c>
      <c r="AX150" s="567">
        <v>2</v>
      </c>
      <c r="AY150" s="567">
        <v>2</v>
      </c>
      <c r="AZ150" s="567">
        <v>2</v>
      </c>
      <c r="BA150" s="567">
        <v>2</v>
      </c>
      <c r="BB150" s="567">
        <v>2</v>
      </c>
      <c r="BC150" s="567">
        <v>2</v>
      </c>
      <c r="BD150" s="567">
        <v>2</v>
      </c>
      <c r="BE150" s="567">
        <v>2</v>
      </c>
      <c r="BF150" s="567">
        <v>2</v>
      </c>
      <c r="BG150" s="567">
        <v>0</v>
      </c>
      <c r="BH150" s="567">
        <v>2</v>
      </c>
      <c r="BI150" s="567">
        <v>1</v>
      </c>
      <c r="BJ150" s="567">
        <v>2</v>
      </c>
      <c r="BK150" s="567">
        <v>2</v>
      </c>
      <c r="BL150" s="567">
        <v>2</v>
      </c>
      <c r="BM150" s="567">
        <v>0</v>
      </c>
      <c r="BN150" s="567">
        <v>0</v>
      </c>
      <c r="BO150" s="567">
        <v>2</v>
      </c>
      <c r="BP150" s="567">
        <v>2</v>
      </c>
      <c r="BQ150" s="567">
        <v>0</v>
      </c>
      <c r="BS150" s="567">
        <v>2</v>
      </c>
      <c r="BU150" s="567">
        <v>2</v>
      </c>
      <c r="BV150" s="567">
        <v>2</v>
      </c>
      <c r="BW150" s="567">
        <v>2</v>
      </c>
      <c r="BX150" s="567">
        <v>2</v>
      </c>
      <c r="BZ150" s="567">
        <v>2</v>
      </c>
      <c r="CA150" s="567">
        <v>2</v>
      </c>
      <c r="CB150" s="567">
        <v>2</v>
      </c>
      <c r="CC150" s="567">
        <v>2</v>
      </c>
      <c r="CD150" s="567">
        <v>2</v>
      </c>
      <c r="CF150" s="567">
        <v>2</v>
      </c>
      <c r="CG150" s="567">
        <v>2</v>
      </c>
      <c r="CH150" s="567">
        <v>2</v>
      </c>
      <c r="CI150" s="567">
        <v>1</v>
      </c>
      <c r="CK150" s="567">
        <v>2</v>
      </c>
    </row>
    <row r="151" spans="1:99" x14ac:dyDescent="0.3">
      <c r="A151" s="155">
        <v>578</v>
      </c>
      <c r="B151" s="180" t="s">
        <v>945</v>
      </c>
      <c r="C151" s="180"/>
      <c r="D151" s="180">
        <v>0</v>
      </c>
      <c r="E151" s="180">
        <v>0</v>
      </c>
      <c r="F151" s="180">
        <v>0</v>
      </c>
      <c r="G151" s="180">
        <v>0</v>
      </c>
      <c r="H151" s="180"/>
      <c r="I151" s="180">
        <v>0</v>
      </c>
      <c r="J151" s="180">
        <v>0</v>
      </c>
      <c r="K151" s="180">
        <v>0</v>
      </c>
      <c r="L151" s="180">
        <v>0</v>
      </c>
      <c r="M151" s="180">
        <v>0</v>
      </c>
      <c r="N151" s="180"/>
      <c r="O151" s="180">
        <v>0</v>
      </c>
      <c r="P151" s="180">
        <v>0</v>
      </c>
      <c r="Q151" s="180">
        <v>0</v>
      </c>
      <c r="R151" s="180">
        <v>0</v>
      </c>
      <c r="S151" s="180">
        <v>0</v>
      </c>
      <c r="T151" s="180">
        <v>0</v>
      </c>
      <c r="U151" s="180">
        <v>0</v>
      </c>
      <c r="V151" s="180">
        <v>0</v>
      </c>
      <c r="W151" s="180">
        <v>0</v>
      </c>
      <c r="X151" s="180">
        <v>0</v>
      </c>
      <c r="Y151" s="180">
        <v>0</v>
      </c>
      <c r="Z151" s="180">
        <v>0</v>
      </c>
      <c r="AA151" s="180">
        <v>0</v>
      </c>
      <c r="AB151" s="180">
        <v>0</v>
      </c>
      <c r="AC151" s="180"/>
      <c r="AD151" s="180">
        <v>0</v>
      </c>
      <c r="AE151" s="180">
        <v>0</v>
      </c>
      <c r="AF151" s="180">
        <v>0</v>
      </c>
      <c r="AG151" s="180">
        <v>0</v>
      </c>
      <c r="AH151" s="180">
        <v>0</v>
      </c>
      <c r="AI151" s="180">
        <v>0</v>
      </c>
      <c r="AJ151" s="180">
        <v>0</v>
      </c>
      <c r="AK151" s="180">
        <v>0</v>
      </c>
      <c r="AL151" s="180">
        <v>0</v>
      </c>
      <c r="AM151" s="180"/>
      <c r="AN151" s="180">
        <v>0</v>
      </c>
      <c r="AO151" s="180"/>
      <c r="AP151" s="180">
        <v>0</v>
      </c>
      <c r="AQ151" s="180">
        <v>0</v>
      </c>
      <c r="AR151" s="180">
        <v>0</v>
      </c>
      <c r="AS151" s="180">
        <v>0</v>
      </c>
      <c r="AT151" s="180">
        <v>0</v>
      </c>
      <c r="AU151" s="180">
        <v>0</v>
      </c>
      <c r="AV151" s="180">
        <v>0</v>
      </c>
      <c r="AW151" s="180">
        <v>0</v>
      </c>
      <c r="AX151" s="180">
        <v>57986</v>
      </c>
      <c r="AY151" s="180">
        <v>0</v>
      </c>
      <c r="AZ151" s="180">
        <v>0</v>
      </c>
      <c r="BA151" s="180">
        <v>0</v>
      </c>
      <c r="BB151" s="180">
        <v>0</v>
      </c>
      <c r="BC151" s="180">
        <v>0</v>
      </c>
      <c r="BD151" s="180">
        <v>0</v>
      </c>
      <c r="BE151" s="180">
        <v>0</v>
      </c>
      <c r="BF151" s="180">
        <v>0</v>
      </c>
      <c r="BG151" s="180">
        <v>0</v>
      </c>
      <c r="BH151" s="180">
        <v>0</v>
      </c>
      <c r="BI151" s="180">
        <v>0</v>
      </c>
      <c r="BJ151" s="180">
        <v>0</v>
      </c>
      <c r="BK151" s="180">
        <v>143229</v>
      </c>
      <c r="BL151" s="180">
        <v>0</v>
      </c>
      <c r="BM151" s="180">
        <v>0</v>
      </c>
      <c r="BN151" s="180">
        <v>0</v>
      </c>
      <c r="BO151" s="180">
        <v>0</v>
      </c>
      <c r="BP151" s="180">
        <v>0</v>
      </c>
      <c r="BQ151" s="180">
        <v>0</v>
      </c>
      <c r="BR151" s="180"/>
      <c r="BS151" s="180">
        <v>0</v>
      </c>
      <c r="BT151" s="180"/>
      <c r="BU151" s="180">
        <v>0</v>
      </c>
      <c r="BV151" s="180">
        <v>0</v>
      </c>
      <c r="BW151" s="180">
        <v>0</v>
      </c>
      <c r="BX151" s="180">
        <v>0</v>
      </c>
      <c r="BY151" s="180"/>
      <c r="BZ151" s="180">
        <v>0</v>
      </c>
      <c r="CA151" s="180">
        <v>0</v>
      </c>
      <c r="CB151" s="180">
        <v>0</v>
      </c>
      <c r="CC151" s="180">
        <v>0</v>
      </c>
      <c r="CD151" s="180">
        <v>0</v>
      </c>
      <c r="CE151" s="180"/>
      <c r="CF151" s="180">
        <v>0</v>
      </c>
      <c r="CG151" s="180">
        <v>0</v>
      </c>
      <c r="CH151" s="180">
        <v>0</v>
      </c>
      <c r="CI151" s="180">
        <v>0</v>
      </c>
      <c r="CJ151" s="180"/>
      <c r="CK151" s="180">
        <v>0</v>
      </c>
      <c r="CL151" s="180"/>
      <c r="CM151" s="180"/>
      <c r="CN151" s="180"/>
      <c r="CO151" s="180"/>
      <c r="CP151" s="180"/>
      <c r="CQ151" s="180"/>
      <c r="CR151" s="180"/>
      <c r="CS151" s="180"/>
      <c r="CT151" s="180"/>
      <c r="CU151" s="180"/>
    </row>
    <row r="152" spans="1:99" x14ac:dyDescent="0.3">
      <c r="A152" s="155">
        <v>579</v>
      </c>
      <c r="B152" s="180" t="s">
        <v>946</v>
      </c>
      <c r="C152" s="180"/>
      <c r="D152" s="180">
        <v>0</v>
      </c>
      <c r="E152" s="180">
        <v>0</v>
      </c>
      <c r="F152" s="180">
        <v>0</v>
      </c>
      <c r="G152" s="180">
        <v>0</v>
      </c>
      <c r="H152" s="180"/>
      <c r="I152" s="180">
        <v>0</v>
      </c>
      <c r="J152" s="180">
        <v>0</v>
      </c>
      <c r="K152" s="180">
        <v>0</v>
      </c>
      <c r="L152" s="180">
        <v>0</v>
      </c>
      <c r="M152" s="180">
        <v>0</v>
      </c>
      <c r="N152" s="180"/>
      <c r="O152" s="180">
        <v>0</v>
      </c>
      <c r="P152" s="180">
        <v>0</v>
      </c>
      <c r="Q152" s="180">
        <v>0</v>
      </c>
      <c r="R152" s="180">
        <v>0</v>
      </c>
      <c r="S152" s="180">
        <v>0</v>
      </c>
      <c r="T152" s="180">
        <v>0</v>
      </c>
      <c r="U152" s="180">
        <v>0</v>
      </c>
      <c r="V152" s="180">
        <v>0</v>
      </c>
      <c r="W152" s="180">
        <v>0</v>
      </c>
      <c r="X152" s="180">
        <v>0</v>
      </c>
      <c r="Y152" s="180">
        <v>0</v>
      </c>
      <c r="Z152" s="180">
        <v>0</v>
      </c>
      <c r="AA152" s="180">
        <v>0</v>
      </c>
      <c r="AB152" s="180">
        <v>0</v>
      </c>
      <c r="AC152" s="180"/>
      <c r="AD152" s="180">
        <v>0</v>
      </c>
      <c r="AE152" s="180">
        <v>0</v>
      </c>
      <c r="AF152" s="180">
        <v>0</v>
      </c>
      <c r="AG152" s="180">
        <v>0</v>
      </c>
      <c r="AH152" s="180">
        <v>0</v>
      </c>
      <c r="AI152" s="180">
        <v>0</v>
      </c>
      <c r="AJ152" s="180">
        <v>0</v>
      </c>
      <c r="AK152" s="180">
        <v>0</v>
      </c>
      <c r="AL152" s="180">
        <v>0</v>
      </c>
      <c r="AM152" s="180"/>
      <c r="AN152" s="180">
        <v>0</v>
      </c>
      <c r="AO152" s="180"/>
      <c r="AP152" s="180">
        <v>0</v>
      </c>
      <c r="AQ152" s="180">
        <v>0</v>
      </c>
      <c r="AR152" s="180">
        <v>0</v>
      </c>
      <c r="AS152" s="180">
        <v>0</v>
      </c>
      <c r="AT152" s="180">
        <v>0</v>
      </c>
      <c r="AU152" s="180">
        <v>0</v>
      </c>
      <c r="AV152" s="180">
        <v>0</v>
      </c>
      <c r="AW152" s="180">
        <v>0</v>
      </c>
      <c r="AX152" s="180">
        <v>0</v>
      </c>
      <c r="AY152" s="180">
        <v>0</v>
      </c>
      <c r="AZ152" s="180">
        <v>0</v>
      </c>
      <c r="BA152" s="180">
        <v>0</v>
      </c>
      <c r="BB152" s="180">
        <v>1698</v>
      </c>
      <c r="BC152" s="180">
        <v>0</v>
      </c>
      <c r="BD152" s="180">
        <v>0</v>
      </c>
      <c r="BE152" s="180">
        <v>0</v>
      </c>
      <c r="BF152" s="180">
        <v>0</v>
      </c>
      <c r="BG152" s="180">
        <v>0</v>
      </c>
      <c r="BH152" s="180">
        <v>0</v>
      </c>
      <c r="BI152" s="180">
        <v>0</v>
      </c>
      <c r="BJ152" s="180">
        <v>0</v>
      </c>
      <c r="BK152" s="180">
        <v>10125</v>
      </c>
      <c r="BL152" s="180">
        <v>0</v>
      </c>
      <c r="BM152" s="180">
        <v>0</v>
      </c>
      <c r="BN152" s="180">
        <v>0</v>
      </c>
      <c r="BO152" s="180">
        <v>0</v>
      </c>
      <c r="BP152" s="180">
        <v>0</v>
      </c>
      <c r="BQ152" s="180">
        <v>0</v>
      </c>
      <c r="BR152" s="180"/>
      <c r="BS152" s="180">
        <v>0</v>
      </c>
      <c r="BT152" s="180"/>
      <c r="BU152" s="180">
        <v>0</v>
      </c>
      <c r="BV152" s="180">
        <v>0</v>
      </c>
      <c r="BW152" s="180">
        <v>0</v>
      </c>
      <c r="BX152" s="180">
        <v>0</v>
      </c>
      <c r="BY152" s="180"/>
      <c r="BZ152" s="180">
        <v>0</v>
      </c>
      <c r="CA152" s="180">
        <v>0</v>
      </c>
      <c r="CB152" s="180">
        <v>0</v>
      </c>
      <c r="CC152" s="180">
        <v>0</v>
      </c>
      <c r="CD152" s="180">
        <v>0</v>
      </c>
      <c r="CE152" s="180"/>
      <c r="CF152" s="180">
        <v>0</v>
      </c>
      <c r="CG152" s="180">
        <v>0</v>
      </c>
      <c r="CH152" s="180">
        <v>0</v>
      </c>
      <c r="CI152" s="180">
        <v>0</v>
      </c>
      <c r="CJ152" s="180"/>
      <c r="CK152" s="180">
        <v>0</v>
      </c>
      <c r="CL152" s="180"/>
      <c r="CM152" s="180"/>
      <c r="CN152" s="180"/>
      <c r="CO152" s="180"/>
      <c r="CP152" s="180"/>
      <c r="CQ152" s="180"/>
      <c r="CR152" s="180"/>
      <c r="CS152" s="180"/>
      <c r="CT152" s="180"/>
      <c r="CU152" s="180"/>
    </row>
    <row r="153" spans="1:99" x14ac:dyDescent="0.3">
      <c r="A153" s="155">
        <v>580</v>
      </c>
      <c r="B153" s="180" t="s">
        <v>947</v>
      </c>
      <c r="C153" s="180"/>
      <c r="D153" s="180">
        <v>0</v>
      </c>
      <c r="E153" s="180">
        <v>0</v>
      </c>
      <c r="F153" s="180">
        <v>0</v>
      </c>
      <c r="G153" s="180">
        <v>0</v>
      </c>
      <c r="H153" s="180"/>
      <c r="I153" s="180">
        <v>0</v>
      </c>
      <c r="J153" s="180">
        <v>0</v>
      </c>
      <c r="K153" s="180">
        <v>0</v>
      </c>
      <c r="L153" s="180">
        <v>0</v>
      </c>
      <c r="M153" s="180">
        <v>0</v>
      </c>
      <c r="N153" s="180"/>
      <c r="O153" s="180">
        <v>0</v>
      </c>
      <c r="P153" s="180">
        <v>0</v>
      </c>
      <c r="Q153" s="180">
        <v>0</v>
      </c>
      <c r="R153" s="180">
        <v>0</v>
      </c>
      <c r="S153" s="180">
        <v>0</v>
      </c>
      <c r="T153" s="180">
        <v>0</v>
      </c>
      <c r="U153" s="180">
        <v>0</v>
      </c>
      <c r="V153" s="180">
        <v>0</v>
      </c>
      <c r="W153" s="180">
        <v>0</v>
      </c>
      <c r="X153" s="180">
        <v>0</v>
      </c>
      <c r="Y153" s="180">
        <v>0</v>
      </c>
      <c r="Z153" s="180">
        <v>0</v>
      </c>
      <c r="AA153" s="180">
        <v>0</v>
      </c>
      <c r="AB153" s="180">
        <v>0</v>
      </c>
      <c r="AC153" s="180"/>
      <c r="AD153" s="180">
        <v>0</v>
      </c>
      <c r="AE153" s="180">
        <v>0</v>
      </c>
      <c r="AF153" s="180">
        <v>0</v>
      </c>
      <c r="AG153" s="180">
        <v>0</v>
      </c>
      <c r="AH153" s="180">
        <v>0</v>
      </c>
      <c r="AI153" s="180">
        <v>0</v>
      </c>
      <c r="AJ153" s="180">
        <v>0</v>
      </c>
      <c r="AK153" s="180">
        <v>0</v>
      </c>
      <c r="AL153" s="180">
        <v>0</v>
      </c>
      <c r="AM153" s="180"/>
      <c r="AN153" s="180">
        <v>0</v>
      </c>
      <c r="AO153" s="180"/>
      <c r="AP153" s="180">
        <v>0</v>
      </c>
      <c r="AQ153" s="180">
        <v>0</v>
      </c>
      <c r="AR153" s="180">
        <v>0</v>
      </c>
      <c r="AS153" s="180">
        <v>0</v>
      </c>
      <c r="AT153" s="180">
        <v>0</v>
      </c>
      <c r="AU153" s="180">
        <v>0</v>
      </c>
      <c r="AV153" s="180">
        <v>0</v>
      </c>
      <c r="AW153" s="180">
        <v>0</v>
      </c>
      <c r="AX153" s="180">
        <v>0</v>
      </c>
      <c r="AY153" s="180">
        <v>0</v>
      </c>
      <c r="AZ153" s="180">
        <v>0</v>
      </c>
      <c r="BA153" s="180">
        <v>0</v>
      </c>
      <c r="BB153" s="180">
        <v>0</v>
      </c>
      <c r="BC153" s="180">
        <v>0</v>
      </c>
      <c r="BD153" s="180">
        <v>0</v>
      </c>
      <c r="BE153" s="180">
        <v>0</v>
      </c>
      <c r="BF153" s="180">
        <v>0</v>
      </c>
      <c r="BG153" s="180">
        <v>0</v>
      </c>
      <c r="BH153" s="180">
        <v>0</v>
      </c>
      <c r="BI153" s="180">
        <v>0</v>
      </c>
      <c r="BJ153" s="180">
        <v>0</v>
      </c>
      <c r="BK153" s="180">
        <v>0</v>
      </c>
      <c r="BL153" s="180">
        <v>0</v>
      </c>
      <c r="BM153" s="180">
        <v>0</v>
      </c>
      <c r="BN153" s="180">
        <v>0</v>
      </c>
      <c r="BO153" s="180">
        <v>0</v>
      </c>
      <c r="BP153" s="180">
        <v>0</v>
      </c>
      <c r="BQ153" s="180">
        <v>0</v>
      </c>
      <c r="BR153" s="180"/>
      <c r="BS153" s="180">
        <v>0</v>
      </c>
      <c r="BT153" s="180"/>
      <c r="BU153" s="180">
        <v>0</v>
      </c>
      <c r="BV153" s="180">
        <v>0</v>
      </c>
      <c r="BW153" s="180">
        <v>0</v>
      </c>
      <c r="BX153" s="180">
        <v>0</v>
      </c>
      <c r="BY153" s="180"/>
      <c r="BZ153" s="180">
        <v>0</v>
      </c>
      <c r="CA153" s="180">
        <v>0</v>
      </c>
      <c r="CB153" s="180">
        <v>0</v>
      </c>
      <c r="CC153" s="180">
        <v>0</v>
      </c>
      <c r="CD153" s="180">
        <v>0</v>
      </c>
      <c r="CE153" s="180"/>
      <c r="CF153" s="180">
        <v>0</v>
      </c>
      <c r="CG153" s="180">
        <v>0</v>
      </c>
      <c r="CH153" s="180">
        <v>0</v>
      </c>
      <c r="CI153" s="180">
        <v>0</v>
      </c>
      <c r="CJ153" s="180"/>
      <c r="CK153" s="180">
        <v>0</v>
      </c>
      <c r="CL153" s="180"/>
      <c r="CM153" s="180"/>
      <c r="CN153" s="180"/>
      <c r="CO153" s="180"/>
      <c r="CP153" s="180"/>
      <c r="CQ153" s="180"/>
      <c r="CR153" s="180"/>
      <c r="CS153" s="180"/>
      <c r="CT153" s="180"/>
      <c r="CU153" s="180"/>
    </row>
    <row r="154" spans="1:99" x14ac:dyDescent="0.3">
      <c r="A154" s="155">
        <v>581</v>
      </c>
      <c r="B154" s="180" t="s">
        <v>948</v>
      </c>
      <c r="C154" s="180"/>
      <c r="D154" s="180">
        <v>0</v>
      </c>
      <c r="E154" s="180">
        <v>0</v>
      </c>
      <c r="F154" s="180">
        <v>0</v>
      </c>
      <c r="G154" s="180">
        <v>0</v>
      </c>
      <c r="H154" s="180"/>
      <c r="I154" s="180">
        <v>0</v>
      </c>
      <c r="J154" s="180">
        <v>0</v>
      </c>
      <c r="K154" s="180">
        <v>0</v>
      </c>
      <c r="L154" s="180">
        <v>0</v>
      </c>
      <c r="M154" s="180">
        <v>0</v>
      </c>
      <c r="N154" s="180"/>
      <c r="O154" s="180">
        <v>0</v>
      </c>
      <c r="P154" s="180">
        <v>0</v>
      </c>
      <c r="Q154" s="180">
        <v>0</v>
      </c>
      <c r="R154" s="180">
        <v>0</v>
      </c>
      <c r="S154" s="180">
        <v>0</v>
      </c>
      <c r="T154" s="180">
        <v>0</v>
      </c>
      <c r="U154" s="180">
        <v>0</v>
      </c>
      <c r="V154" s="180">
        <v>0</v>
      </c>
      <c r="W154" s="180">
        <v>0</v>
      </c>
      <c r="X154" s="180">
        <v>0</v>
      </c>
      <c r="Y154" s="180">
        <v>0</v>
      </c>
      <c r="Z154" s="180">
        <v>0</v>
      </c>
      <c r="AA154" s="180">
        <v>0</v>
      </c>
      <c r="AB154" s="180">
        <v>0</v>
      </c>
      <c r="AC154" s="180"/>
      <c r="AD154" s="180">
        <v>0</v>
      </c>
      <c r="AE154" s="180">
        <v>0</v>
      </c>
      <c r="AF154" s="180">
        <v>0</v>
      </c>
      <c r="AG154" s="180">
        <v>0</v>
      </c>
      <c r="AH154" s="180">
        <v>0</v>
      </c>
      <c r="AI154" s="180">
        <v>0</v>
      </c>
      <c r="AJ154" s="180">
        <v>0</v>
      </c>
      <c r="AK154" s="180">
        <v>0</v>
      </c>
      <c r="AL154" s="180">
        <v>0</v>
      </c>
      <c r="AM154" s="180"/>
      <c r="AN154" s="180">
        <v>0</v>
      </c>
      <c r="AO154" s="180"/>
      <c r="AP154" s="180">
        <v>0</v>
      </c>
      <c r="AQ154" s="180">
        <v>0</v>
      </c>
      <c r="AR154" s="180">
        <v>0</v>
      </c>
      <c r="AS154" s="180">
        <v>0</v>
      </c>
      <c r="AT154" s="180">
        <v>0</v>
      </c>
      <c r="AU154" s="180">
        <v>0</v>
      </c>
      <c r="AV154" s="180">
        <v>0</v>
      </c>
      <c r="AW154" s="180">
        <v>0</v>
      </c>
      <c r="AX154" s="180">
        <v>0</v>
      </c>
      <c r="AY154" s="180">
        <v>0</v>
      </c>
      <c r="AZ154" s="180">
        <v>0</v>
      </c>
      <c r="BA154" s="180">
        <v>0</v>
      </c>
      <c r="BB154" s="180">
        <v>0</v>
      </c>
      <c r="BC154" s="180">
        <v>0</v>
      </c>
      <c r="BD154" s="180">
        <v>0</v>
      </c>
      <c r="BE154" s="180">
        <v>0</v>
      </c>
      <c r="BF154" s="180">
        <v>0</v>
      </c>
      <c r="BG154" s="180">
        <v>0</v>
      </c>
      <c r="BH154" s="180">
        <v>0</v>
      </c>
      <c r="BI154" s="180">
        <v>0</v>
      </c>
      <c r="BJ154" s="180">
        <v>0</v>
      </c>
      <c r="BK154" s="180">
        <v>0</v>
      </c>
      <c r="BL154" s="180">
        <v>0</v>
      </c>
      <c r="BM154" s="180">
        <v>0</v>
      </c>
      <c r="BN154" s="180">
        <v>0</v>
      </c>
      <c r="BO154" s="180">
        <v>0</v>
      </c>
      <c r="BP154" s="180">
        <v>0</v>
      </c>
      <c r="BQ154" s="180">
        <v>0</v>
      </c>
      <c r="BR154" s="180"/>
      <c r="BS154" s="180">
        <v>0</v>
      </c>
      <c r="BT154" s="180"/>
      <c r="BU154" s="180">
        <v>0</v>
      </c>
      <c r="BV154" s="180">
        <v>0</v>
      </c>
      <c r="BW154" s="180">
        <v>0</v>
      </c>
      <c r="BX154" s="180">
        <v>0</v>
      </c>
      <c r="BY154" s="180"/>
      <c r="BZ154" s="180">
        <v>0</v>
      </c>
      <c r="CA154" s="180">
        <v>0</v>
      </c>
      <c r="CB154" s="180">
        <v>0</v>
      </c>
      <c r="CC154" s="180">
        <v>0</v>
      </c>
      <c r="CD154" s="180">
        <v>0</v>
      </c>
      <c r="CE154" s="180"/>
      <c r="CF154" s="180">
        <v>0</v>
      </c>
      <c r="CG154" s="180">
        <v>0</v>
      </c>
      <c r="CH154" s="180">
        <v>0</v>
      </c>
      <c r="CI154" s="180">
        <v>0</v>
      </c>
      <c r="CJ154" s="180"/>
      <c r="CK154" s="180">
        <v>0</v>
      </c>
      <c r="CL154" s="180"/>
      <c r="CM154" s="180"/>
      <c r="CN154" s="180"/>
      <c r="CO154" s="180"/>
      <c r="CP154" s="180"/>
      <c r="CQ154" s="180"/>
      <c r="CR154" s="180"/>
      <c r="CS154" s="180"/>
      <c r="CT154" s="180"/>
      <c r="CU154" s="180"/>
    </row>
    <row r="155" spans="1:99" x14ac:dyDescent="0.3">
      <c r="A155" s="155">
        <v>586</v>
      </c>
      <c r="B155" s="180" t="s">
        <v>950</v>
      </c>
      <c r="C155" s="180"/>
      <c r="D155" s="180">
        <v>0</v>
      </c>
      <c r="E155" s="180">
        <v>0</v>
      </c>
      <c r="F155" s="180">
        <v>0</v>
      </c>
      <c r="G155" s="180">
        <v>0</v>
      </c>
      <c r="H155" s="180"/>
      <c r="I155" s="180">
        <v>0</v>
      </c>
      <c r="J155" s="180">
        <v>0</v>
      </c>
      <c r="K155" s="180">
        <v>165095</v>
      </c>
      <c r="L155" s="180">
        <v>0</v>
      </c>
      <c r="M155" s="180">
        <v>0</v>
      </c>
      <c r="N155" s="180"/>
      <c r="O155" s="180">
        <v>0</v>
      </c>
      <c r="P155" s="180">
        <v>0</v>
      </c>
      <c r="Q155" s="180">
        <v>0</v>
      </c>
      <c r="R155" s="180">
        <v>0</v>
      </c>
      <c r="S155" s="180">
        <v>0</v>
      </c>
      <c r="T155" s="180">
        <v>0</v>
      </c>
      <c r="U155" s="180">
        <v>0</v>
      </c>
      <c r="V155" s="180">
        <v>0</v>
      </c>
      <c r="W155" s="180">
        <v>0</v>
      </c>
      <c r="X155" s="180">
        <v>0</v>
      </c>
      <c r="Y155" s="180">
        <v>0</v>
      </c>
      <c r="Z155" s="180">
        <v>0</v>
      </c>
      <c r="AA155" s="180">
        <v>0</v>
      </c>
      <c r="AB155" s="180">
        <v>0</v>
      </c>
      <c r="AC155" s="180"/>
      <c r="AD155" s="180">
        <v>0</v>
      </c>
      <c r="AE155" s="180">
        <v>0</v>
      </c>
      <c r="AF155" s="180">
        <v>0</v>
      </c>
      <c r="AG155" s="180">
        <v>0</v>
      </c>
      <c r="AH155" s="180">
        <v>0</v>
      </c>
      <c r="AI155" s="180">
        <v>0</v>
      </c>
      <c r="AJ155" s="180">
        <v>42921</v>
      </c>
      <c r="AK155" s="180">
        <v>0</v>
      </c>
      <c r="AL155" s="180">
        <v>0</v>
      </c>
      <c r="AM155" s="180"/>
      <c r="AN155" s="180">
        <v>0</v>
      </c>
      <c r="AO155" s="180"/>
      <c r="AP155" s="180">
        <v>0</v>
      </c>
      <c r="AQ155" s="180">
        <v>0</v>
      </c>
      <c r="AR155" s="180">
        <v>0</v>
      </c>
      <c r="AS155" s="180">
        <v>0</v>
      </c>
      <c r="AT155" s="180">
        <v>0</v>
      </c>
      <c r="AU155" s="180">
        <v>0</v>
      </c>
      <c r="AV155" s="180">
        <v>0</v>
      </c>
      <c r="AW155" s="180">
        <v>0</v>
      </c>
      <c r="AX155" s="180">
        <v>57986</v>
      </c>
      <c r="AY155" s="180">
        <v>0</v>
      </c>
      <c r="AZ155" s="180">
        <v>0</v>
      </c>
      <c r="BA155" s="180">
        <v>0</v>
      </c>
      <c r="BB155" s="180">
        <v>0</v>
      </c>
      <c r="BC155" s="180">
        <v>0</v>
      </c>
      <c r="BD155" s="180">
        <v>0</v>
      </c>
      <c r="BE155" s="180">
        <v>0</v>
      </c>
      <c r="BF155" s="180">
        <v>0</v>
      </c>
      <c r="BG155" s="180">
        <v>0</v>
      </c>
      <c r="BH155" s="180">
        <v>0</v>
      </c>
      <c r="BI155" s="180">
        <v>0</v>
      </c>
      <c r="BJ155" s="180">
        <v>0</v>
      </c>
      <c r="BK155" s="180">
        <v>0</v>
      </c>
      <c r="BL155" s="180">
        <v>0</v>
      </c>
      <c r="BM155" s="180">
        <v>0</v>
      </c>
      <c r="BN155" s="180">
        <v>0</v>
      </c>
      <c r="BO155" s="180">
        <v>0</v>
      </c>
      <c r="BP155" s="180">
        <v>0</v>
      </c>
      <c r="BQ155" s="180">
        <v>0</v>
      </c>
      <c r="BR155" s="180"/>
      <c r="BS155" s="180">
        <v>0</v>
      </c>
      <c r="BT155" s="180"/>
      <c r="BU155" s="180">
        <v>0</v>
      </c>
      <c r="BV155" s="180">
        <v>0</v>
      </c>
      <c r="BW155" s="180">
        <v>0</v>
      </c>
      <c r="BX155" s="180">
        <v>0</v>
      </c>
      <c r="BY155" s="180"/>
      <c r="BZ155" s="180">
        <v>0</v>
      </c>
      <c r="CA155" s="180">
        <v>0</v>
      </c>
      <c r="CB155" s="180">
        <v>0</v>
      </c>
      <c r="CC155" s="180">
        <v>0</v>
      </c>
      <c r="CD155" s="180">
        <v>0</v>
      </c>
      <c r="CE155" s="180"/>
      <c r="CF155" s="180">
        <v>0</v>
      </c>
      <c r="CG155" s="180">
        <v>0</v>
      </c>
      <c r="CH155" s="180">
        <v>0</v>
      </c>
      <c r="CI155" s="180">
        <v>0</v>
      </c>
      <c r="CJ155" s="180"/>
      <c r="CK155" s="180">
        <v>0</v>
      </c>
      <c r="CL155" s="180"/>
      <c r="CM155" s="180"/>
      <c r="CN155" s="180"/>
      <c r="CO155" s="180"/>
      <c r="CP155" s="180"/>
      <c r="CQ155" s="180"/>
      <c r="CR155" s="180"/>
      <c r="CS155" s="180"/>
      <c r="CT155" s="180"/>
      <c r="CU155" s="180"/>
    </row>
    <row r="156" spans="1:99" x14ac:dyDescent="0.3">
      <c r="A156" s="155">
        <v>590</v>
      </c>
      <c r="B156" s="180" t="s">
        <v>1706</v>
      </c>
      <c r="C156" s="180"/>
      <c r="D156" s="180"/>
      <c r="E156" s="180"/>
      <c r="F156" s="180"/>
      <c r="G156" s="180"/>
      <c r="H156" s="180"/>
      <c r="I156" s="180"/>
      <c r="J156" s="180"/>
      <c r="K156" s="180"/>
      <c r="L156" s="180"/>
      <c r="M156" s="180" t="s">
        <v>1708</v>
      </c>
      <c r="N156" s="180"/>
      <c r="O156" s="180" t="s">
        <v>1707</v>
      </c>
      <c r="P156" s="180"/>
      <c r="Q156" s="180"/>
      <c r="R156" s="180"/>
      <c r="S156" s="180"/>
      <c r="T156" s="180"/>
      <c r="U156" s="180"/>
      <c r="V156" s="180"/>
      <c r="W156" s="180" t="s">
        <v>1707</v>
      </c>
      <c r="X156" s="180"/>
      <c r="Y156" s="180"/>
      <c r="Z156" s="180"/>
      <c r="AA156" s="180"/>
      <c r="AB156" s="180"/>
      <c r="AC156" s="180"/>
      <c r="AD156" s="180" t="s">
        <v>2572</v>
      </c>
      <c r="AE156" s="180"/>
      <c r="AF156" s="180"/>
      <c r="AG156" s="180"/>
      <c r="AH156" s="180"/>
      <c r="AI156" s="180"/>
      <c r="AJ156" s="180"/>
      <c r="AK156" s="180"/>
      <c r="AL156" s="180" t="s">
        <v>1708</v>
      </c>
      <c r="AM156" s="180"/>
      <c r="AN156" s="180"/>
      <c r="AO156" s="180"/>
      <c r="AP156" s="180"/>
      <c r="AQ156" s="180"/>
      <c r="AR156" s="180"/>
      <c r="AS156" s="180"/>
      <c r="AT156" s="180"/>
      <c r="AU156" s="180"/>
      <c r="AV156" s="180"/>
      <c r="AW156" s="180"/>
      <c r="AX156" s="180"/>
      <c r="AY156" s="180"/>
      <c r="AZ156" s="180"/>
      <c r="BA156" s="180"/>
      <c r="BB156" s="180"/>
      <c r="BC156" s="180"/>
      <c r="BD156" s="180"/>
      <c r="BE156" s="180"/>
      <c r="BF156" s="180"/>
      <c r="BG156" s="180" t="s">
        <v>1707</v>
      </c>
      <c r="BH156" s="180"/>
      <c r="BI156" s="180"/>
      <c r="BJ156" s="180" t="s">
        <v>2573</v>
      </c>
      <c r="BK156" s="180"/>
      <c r="BL156" s="180"/>
      <c r="BM156" s="180"/>
      <c r="BN156" s="180"/>
      <c r="BO156" s="180" t="s">
        <v>2574</v>
      </c>
      <c r="BP156" s="180"/>
      <c r="BQ156" s="180" t="s">
        <v>1709</v>
      </c>
      <c r="BR156" s="180"/>
      <c r="BS156" s="180" t="s">
        <v>2575</v>
      </c>
      <c r="BT156" s="180"/>
      <c r="BU156" s="180"/>
      <c r="BV156" s="180"/>
      <c r="BW156" s="180" t="s">
        <v>2576</v>
      </c>
      <c r="BX156" s="180" t="s">
        <v>1708</v>
      </c>
      <c r="BY156" s="180"/>
      <c r="BZ156" s="180"/>
      <c r="CA156" s="180"/>
      <c r="CB156" s="180"/>
      <c r="CC156" s="180" t="s">
        <v>1707</v>
      </c>
      <c r="CD156" s="180"/>
      <c r="CE156" s="180"/>
      <c r="CF156" s="180"/>
      <c r="CG156" s="180"/>
      <c r="CH156" s="180" t="s">
        <v>2577</v>
      </c>
      <c r="CI156" s="180"/>
      <c r="CJ156" s="180"/>
      <c r="CK156" s="180"/>
      <c r="CL156" s="180"/>
      <c r="CM156" s="180"/>
      <c r="CN156" s="180"/>
      <c r="CO156" s="180"/>
      <c r="CP156" s="180"/>
      <c r="CQ156" s="180"/>
      <c r="CR156" s="180"/>
      <c r="CS156" s="180"/>
      <c r="CT156" s="180"/>
      <c r="CU156" s="180"/>
    </row>
    <row r="157" spans="1:99" s="570" customFormat="1" x14ac:dyDescent="0.3">
      <c r="A157" s="569">
        <v>591</v>
      </c>
      <c r="B157" s="570" t="s">
        <v>329</v>
      </c>
      <c r="D157" s="570">
        <v>289733</v>
      </c>
      <c r="E157" s="570">
        <v>0</v>
      </c>
      <c r="F157" s="570">
        <v>336468</v>
      </c>
      <c r="G157" s="570">
        <v>115956</v>
      </c>
      <c r="I157" s="570">
        <v>2486526</v>
      </c>
      <c r="J157" s="570">
        <v>0</v>
      </c>
      <c r="K157" s="570">
        <v>8050893</v>
      </c>
      <c r="L157" s="570">
        <v>0</v>
      </c>
      <c r="M157" s="570">
        <v>773649</v>
      </c>
      <c r="O157" s="570">
        <v>79498830</v>
      </c>
      <c r="P157" s="570">
        <v>0</v>
      </c>
      <c r="Q157" s="570">
        <v>0</v>
      </c>
      <c r="R157" s="570">
        <v>0</v>
      </c>
      <c r="S157" s="570">
        <v>0</v>
      </c>
      <c r="T157" s="570">
        <v>0</v>
      </c>
      <c r="U157" s="570">
        <v>0</v>
      </c>
      <c r="V157" s="570">
        <v>125945</v>
      </c>
      <c r="W157" s="570">
        <v>1110295</v>
      </c>
      <c r="X157" s="570">
        <v>31284133</v>
      </c>
      <c r="Y157" s="570">
        <v>1135264000</v>
      </c>
      <c r="Z157" s="570">
        <v>8790543</v>
      </c>
      <c r="AA157" s="570">
        <v>144371</v>
      </c>
      <c r="AB157" s="570">
        <v>0</v>
      </c>
      <c r="AD157" s="570">
        <v>1493777</v>
      </c>
      <c r="AE157" s="570">
        <v>668775</v>
      </c>
      <c r="AF157" s="570">
        <v>36038140</v>
      </c>
      <c r="AG157" s="570">
        <v>0</v>
      </c>
      <c r="AH157" s="570">
        <v>479554</v>
      </c>
      <c r="AI157" s="570">
        <v>0</v>
      </c>
      <c r="AJ157" s="570">
        <v>1237589</v>
      </c>
      <c r="AK157" s="570">
        <v>432547</v>
      </c>
      <c r="AL157" s="570">
        <v>309462</v>
      </c>
      <c r="AN157" s="570">
        <v>1152256</v>
      </c>
      <c r="AP157" s="570">
        <v>0</v>
      </c>
      <c r="AQ157" s="570">
        <v>166542329</v>
      </c>
      <c r="AR157" s="570">
        <v>0</v>
      </c>
      <c r="AS157" s="570">
        <v>139075</v>
      </c>
      <c r="AT157" s="570">
        <v>4618646</v>
      </c>
      <c r="AU157" s="570">
        <v>0</v>
      </c>
      <c r="AV157" s="570">
        <v>0</v>
      </c>
      <c r="AW157" s="570">
        <v>6765255</v>
      </c>
      <c r="AX157" s="570">
        <v>385310</v>
      </c>
      <c r="AY157" s="570">
        <v>0</v>
      </c>
      <c r="AZ157" s="570">
        <v>385675</v>
      </c>
      <c r="BA157" s="570">
        <v>530220</v>
      </c>
      <c r="BB157" s="570">
        <v>145807</v>
      </c>
      <c r="BC157" s="570">
        <v>9696198</v>
      </c>
      <c r="BD157" s="570">
        <v>0</v>
      </c>
      <c r="BE157" s="570">
        <v>1257539</v>
      </c>
      <c r="BF157" s="570">
        <v>1475269</v>
      </c>
      <c r="BG157" s="570">
        <v>0</v>
      </c>
      <c r="BH157" s="570">
        <v>0</v>
      </c>
      <c r="BI157" s="570">
        <v>2260535</v>
      </c>
      <c r="BJ157" s="570">
        <v>0</v>
      </c>
      <c r="BK157" s="570">
        <v>448474</v>
      </c>
      <c r="BL157" s="570">
        <v>2782817</v>
      </c>
      <c r="BM157" s="570">
        <v>259851</v>
      </c>
      <c r="BN157" s="570">
        <v>0</v>
      </c>
      <c r="BO157" s="570">
        <v>6454757</v>
      </c>
      <c r="BP157" s="570">
        <v>196762517</v>
      </c>
      <c r="BQ157" s="570">
        <v>0</v>
      </c>
      <c r="BS157" s="570">
        <v>320500</v>
      </c>
      <c r="BU157" s="570">
        <v>1034734</v>
      </c>
      <c r="BV157" s="570">
        <v>0</v>
      </c>
      <c r="BW157" s="570">
        <v>0</v>
      </c>
      <c r="BX157" s="570">
        <v>15380792</v>
      </c>
      <c r="BZ157" s="570">
        <v>2065668</v>
      </c>
      <c r="CA157" s="570">
        <v>408348</v>
      </c>
      <c r="CB157" s="570">
        <v>1276884</v>
      </c>
      <c r="CC157" s="570">
        <v>579733</v>
      </c>
      <c r="CD157" s="570">
        <v>771138</v>
      </c>
      <c r="CF157" s="570">
        <v>4016572</v>
      </c>
      <c r="CG157" s="570">
        <v>0</v>
      </c>
      <c r="CH157" s="570">
        <v>3655443</v>
      </c>
      <c r="CI157" s="570">
        <v>0</v>
      </c>
      <c r="CK157" s="570">
        <v>196756</v>
      </c>
    </row>
    <row r="158" spans="1:99" s="570" customFormat="1" x14ac:dyDescent="0.3">
      <c r="A158" s="569">
        <v>592</v>
      </c>
      <c r="B158" s="570" t="s">
        <v>330</v>
      </c>
      <c r="D158" s="570">
        <v>-110805</v>
      </c>
      <c r="E158" s="570">
        <v>0</v>
      </c>
      <c r="F158" s="570">
        <v>47333</v>
      </c>
      <c r="G158" s="570">
        <v>-16691</v>
      </c>
      <c r="I158" s="570">
        <v>357025</v>
      </c>
      <c r="J158" s="570">
        <v>0</v>
      </c>
      <c r="K158" s="570">
        <v>1459835</v>
      </c>
      <c r="L158" s="570">
        <v>0</v>
      </c>
      <c r="M158" s="570">
        <v>271325</v>
      </c>
      <c r="O158" s="570">
        <v>17901948</v>
      </c>
      <c r="P158" s="570">
        <v>0</v>
      </c>
      <c r="Q158" s="570">
        <v>0</v>
      </c>
      <c r="R158" s="570">
        <v>0</v>
      </c>
      <c r="S158" s="570">
        <v>0</v>
      </c>
      <c r="T158" s="570">
        <v>0</v>
      </c>
      <c r="U158" s="570">
        <v>0</v>
      </c>
      <c r="V158" s="570">
        <v>2751</v>
      </c>
      <c r="W158" s="570">
        <v>-37886</v>
      </c>
      <c r="X158" s="570">
        <v>14801350</v>
      </c>
      <c r="Y158" s="570">
        <v>486631000</v>
      </c>
      <c r="Z158" s="570">
        <v>698947</v>
      </c>
      <c r="AA158" s="570">
        <v>1739968</v>
      </c>
      <c r="AB158" s="570">
        <v>0</v>
      </c>
      <c r="AD158" s="570">
        <v>529976</v>
      </c>
      <c r="AE158" s="570">
        <v>27105</v>
      </c>
      <c r="AF158" s="570">
        <v>7311579</v>
      </c>
      <c r="AG158" s="570">
        <v>0</v>
      </c>
      <c r="AH158" s="570">
        <v>51253</v>
      </c>
      <c r="AI158" s="570">
        <v>0</v>
      </c>
      <c r="AJ158" s="570">
        <v>482740</v>
      </c>
      <c r="AK158" s="570">
        <v>19121</v>
      </c>
      <c r="AL158" s="570">
        <v>-47142</v>
      </c>
      <c r="AN158" s="570">
        <v>240439</v>
      </c>
      <c r="AP158" s="570">
        <v>0</v>
      </c>
      <c r="AQ158" s="570">
        <v>1333193</v>
      </c>
      <c r="AR158" s="570">
        <v>0</v>
      </c>
      <c r="AS158" s="570">
        <v>-82596</v>
      </c>
      <c r="AT158" s="570">
        <v>934788</v>
      </c>
      <c r="AU158" s="570">
        <v>0</v>
      </c>
      <c r="AV158" s="570">
        <v>0</v>
      </c>
      <c r="AW158" s="570">
        <v>254621</v>
      </c>
      <c r="AX158" s="570">
        <v>-181449</v>
      </c>
      <c r="AY158" s="570">
        <v>0</v>
      </c>
      <c r="AZ158" s="570">
        <v>-87756</v>
      </c>
      <c r="BA158" s="570">
        <v>-71964</v>
      </c>
      <c r="BB158" s="570">
        <v>-24740</v>
      </c>
      <c r="BC158" s="570">
        <v>923554</v>
      </c>
      <c r="BD158" s="570">
        <v>0</v>
      </c>
      <c r="BE158" s="570">
        <v>42975</v>
      </c>
      <c r="BF158" s="570">
        <v>156522</v>
      </c>
      <c r="BG158" s="570">
        <v>0</v>
      </c>
      <c r="BH158" s="570">
        <v>0</v>
      </c>
      <c r="BI158" s="570">
        <v>-280188</v>
      </c>
      <c r="BJ158" s="570">
        <v>0</v>
      </c>
      <c r="BK158" s="570">
        <v>-186750</v>
      </c>
      <c r="BL158" s="570">
        <v>255769</v>
      </c>
      <c r="BM158" s="570">
        <v>24433</v>
      </c>
      <c r="BN158" s="570">
        <v>0</v>
      </c>
      <c r="BO158" s="570">
        <v>859541</v>
      </c>
      <c r="BP158" s="570">
        <v>56770065</v>
      </c>
      <c r="BQ158" s="570">
        <v>0</v>
      </c>
      <c r="BS158" s="570">
        <v>43442</v>
      </c>
      <c r="BU158" s="570">
        <v>-8672</v>
      </c>
      <c r="BV158" s="570">
        <v>0</v>
      </c>
      <c r="BW158" s="570">
        <v>256730</v>
      </c>
      <c r="BX158" s="570">
        <v>588342</v>
      </c>
      <c r="BZ158" s="570">
        <v>209195</v>
      </c>
      <c r="CA158" s="570">
        <v>-71594</v>
      </c>
      <c r="CB158" s="570">
        <v>594607</v>
      </c>
      <c r="CC158" s="570">
        <v>23907</v>
      </c>
      <c r="CD158" s="570">
        <v>-39039</v>
      </c>
      <c r="CF158" s="570">
        <v>1390194</v>
      </c>
      <c r="CG158" s="570">
        <v>0</v>
      </c>
      <c r="CH158" s="570">
        <v>168569</v>
      </c>
      <c r="CI158" s="570">
        <v>0</v>
      </c>
      <c r="CK158" s="570">
        <v>-37145</v>
      </c>
    </row>
    <row r="159" spans="1:99" x14ac:dyDescent="0.3">
      <c r="A159" s="155">
        <v>596</v>
      </c>
      <c r="B159" s="180" t="s">
        <v>335</v>
      </c>
      <c r="C159" s="180"/>
      <c r="D159" s="180">
        <v>52</v>
      </c>
      <c r="E159" s="180">
        <v>0</v>
      </c>
      <c r="F159" s="180">
        <v>52</v>
      </c>
      <c r="G159" s="180">
        <v>52</v>
      </c>
      <c r="H159" s="180"/>
      <c r="I159" s="180">
        <v>52</v>
      </c>
      <c r="J159" s="180">
        <v>52</v>
      </c>
      <c r="K159" s="180">
        <v>52</v>
      </c>
      <c r="L159" s="180">
        <v>52</v>
      </c>
      <c r="M159" s="180">
        <v>52</v>
      </c>
      <c r="N159" s="180"/>
      <c r="O159" s="180">
        <v>52</v>
      </c>
      <c r="P159" s="180">
        <v>0</v>
      </c>
      <c r="Q159" s="180">
        <v>52</v>
      </c>
      <c r="R159" s="180">
        <v>52</v>
      </c>
      <c r="S159" s="180">
        <v>52</v>
      </c>
      <c r="T159" s="180">
        <v>52</v>
      </c>
      <c r="U159" s="180">
        <v>52</v>
      </c>
      <c r="V159" s="180">
        <v>52</v>
      </c>
      <c r="W159" s="180">
        <v>52</v>
      </c>
      <c r="X159" s="180">
        <v>52</v>
      </c>
      <c r="Y159" s="180">
        <v>52</v>
      </c>
      <c r="Z159" s="180">
        <v>52</v>
      </c>
      <c r="AA159" s="180">
        <v>52</v>
      </c>
      <c r="AB159" s="180">
        <v>0</v>
      </c>
      <c r="AC159" s="180"/>
      <c r="AD159" s="180">
        <v>52</v>
      </c>
      <c r="AE159" s="180">
        <v>52</v>
      </c>
      <c r="AF159" s="180">
        <v>52</v>
      </c>
      <c r="AG159" s="180">
        <v>0</v>
      </c>
      <c r="AH159" s="180">
        <v>52</v>
      </c>
      <c r="AI159" s="180">
        <v>52</v>
      </c>
      <c r="AJ159" s="180">
        <v>52</v>
      </c>
      <c r="AK159" s="180">
        <v>52</v>
      </c>
      <c r="AL159" s="180">
        <v>52</v>
      </c>
      <c r="AM159" s="180"/>
      <c r="AN159" s="180">
        <v>52</v>
      </c>
      <c r="AO159" s="180"/>
      <c r="AP159" s="180">
        <v>0</v>
      </c>
      <c r="AQ159" s="180">
        <v>52</v>
      </c>
      <c r="AR159" s="180">
        <v>52</v>
      </c>
      <c r="AS159" s="180">
        <v>52</v>
      </c>
      <c r="AT159" s="180">
        <v>52</v>
      </c>
      <c r="AU159" s="180">
        <v>52</v>
      </c>
      <c r="AV159" s="180">
        <v>52</v>
      </c>
      <c r="AW159" s="180">
        <v>52</v>
      </c>
      <c r="AX159" s="180">
        <v>52</v>
      </c>
      <c r="AY159" s="180">
        <v>52</v>
      </c>
      <c r="AZ159" s="180">
        <v>52</v>
      </c>
      <c r="BA159" s="180">
        <v>52</v>
      </c>
      <c r="BB159" s="180">
        <v>52</v>
      </c>
      <c r="BC159" s="180">
        <v>52</v>
      </c>
      <c r="BD159" s="180">
        <v>52</v>
      </c>
      <c r="BE159" s="180">
        <v>52</v>
      </c>
      <c r="BF159" s="180">
        <v>52</v>
      </c>
      <c r="BG159" s="180">
        <v>52</v>
      </c>
      <c r="BH159" s="180">
        <v>52</v>
      </c>
      <c r="BI159" s="180">
        <v>52</v>
      </c>
      <c r="BJ159" s="180">
        <v>52</v>
      </c>
      <c r="BK159" s="180">
        <v>52</v>
      </c>
      <c r="BL159" s="180">
        <v>52</v>
      </c>
      <c r="BM159" s="180">
        <v>52</v>
      </c>
      <c r="BN159" s="180">
        <v>0</v>
      </c>
      <c r="BO159" s="180">
        <v>52</v>
      </c>
      <c r="BP159" s="180">
        <v>52</v>
      </c>
      <c r="BQ159" s="180">
        <v>52</v>
      </c>
      <c r="BR159" s="180"/>
      <c r="BS159" s="180">
        <v>52</v>
      </c>
      <c r="BT159" s="180"/>
      <c r="BU159" s="180">
        <v>52</v>
      </c>
      <c r="BV159" s="180">
        <v>52</v>
      </c>
      <c r="BW159" s="180">
        <v>52</v>
      </c>
      <c r="BX159" s="180">
        <v>52</v>
      </c>
      <c r="BY159" s="180"/>
      <c r="BZ159" s="180">
        <v>52</v>
      </c>
      <c r="CA159" s="180">
        <v>52</v>
      </c>
      <c r="CB159" s="180">
        <v>52</v>
      </c>
      <c r="CC159" s="180">
        <v>52</v>
      </c>
      <c r="CD159" s="180">
        <v>52</v>
      </c>
      <c r="CE159" s="180"/>
      <c r="CF159" s="180">
        <v>52</v>
      </c>
      <c r="CG159" s="180">
        <v>52</v>
      </c>
      <c r="CH159" s="180">
        <v>52</v>
      </c>
      <c r="CI159" s="180">
        <v>52</v>
      </c>
      <c r="CJ159" s="180"/>
      <c r="CK159" s="180">
        <v>52</v>
      </c>
      <c r="CL159" s="180"/>
      <c r="CM159" s="180"/>
      <c r="CN159" s="180"/>
      <c r="CO159" s="180"/>
      <c r="CP159" s="180"/>
      <c r="CQ159" s="180"/>
      <c r="CR159" s="180"/>
      <c r="CS159" s="180"/>
      <c r="CT159" s="180"/>
      <c r="CU159" s="180"/>
    </row>
    <row r="160" spans="1:99" x14ac:dyDescent="0.3">
      <c r="A160" s="155">
        <v>597</v>
      </c>
      <c r="B160" s="180" t="s">
        <v>338</v>
      </c>
      <c r="C160" s="180"/>
      <c r="D160" s="180">
        <v>3399</v>
      </c>
      <c r="E160" s="180">
        <v>364</v>
      </c>
      <c r="F160" s="180">
        <v>624</v>
      </c>
      <c r="G160" s="180">
        <v>782</v>
      </c>
      <c r="H160" s="180"/>
      <c r="I160" s="180">
        <v>8052</v>
      </c>
      <c r="J160" s="180">
        <v>737</v>
      </c>
      <c r="K160" s="180">
        <v>20176</v>
      </c>
      <c r="L160" s="180">
        <v>4814</v>
      </c>
      <c r="M160" s="180">
        <v>60675</v>
      </c>
      <c r="N160" s="180"/>
      <c r="O160" s="180">
        <v>-18009705</v>
      </c>
      <c r="P160" s="180">
        <v>0</v>
      </c>
      <c r="Q160" s="180">
        <v>2131</v>
      </c>
      <c r="R160" s="180">
        <v>1175</v>
      </c>
      <c r="S160" s="180">
        <v>1698</v>
      </c>
      <c r="T160" s="180">
        <v>1271</v>
      </c>
      <c r="U160" s="180">
        <v>0</v>
      </c>
      <c r="V160" s="180">
        <v>0</v>
      </c>
      <c r="W160" s="180">
        <v>6158</v>
      </c>
      <c r="X160" s="180">
        <v>64306</v>
      </c>
      <c r="Y160" s="180">
        <v>5742000</v>
      </c>
      <c r="Z160" s="180">
        <v>18086</v>
      </c>
      <c r="AA160" s="180">
        <v>1029</v>
      </c>
      <c r="AB160" s="180">
        <v>10213</v>
      </c>
      <c r="AC160" s="180"/>
      <c r="AD160" s="180">
        <v>27303</v>
      </c>
      <c r="AE160" s="180">
        <v>1652</v>
      </c>
      <c r="AF160" s="180">
        <v>87766</v>
      </c>
      <c r="AG160" s="180">
        <v>17416</v>
      </c>
      <c r="AH160" s="180">
        <v>6996</v>
      </c>
      <c r="AI160" s="180">
        <v>0</v>
      </c>
      <c r="AJ160" s="180">
        <v>1914</v>
      </c>
      <c r="AK160" s="180">
        <v>2528</v>
      </c>
      <c r="AL160" s="180">
        <v>16</v>
      </c>
      <c r="AM160" s="180"/>
      <c r="AN160" s="180">
        <v>9207</v>
      </c>
      <c r="AO160" s="180"/>
      <c r="AP160" s="180">
        <v>0</v>
      </c>
      <c r="AQ160" s="180">
        <v>-14632323</v>
      </c>
      <c r="AR160" s="180">
        <v>1430</v>
      </c>
      <c r="AS160" s="180">
        <v>424</v>
      </c>
      <c r="AT160" s="180">
        <v>18091</v>
      </c>
      <c r="AU160" s="180">
        <v>258</v>
      </c>
      <c r="AV160" s="180">
        <v>19</v>
      </c>
      <c r="AW160" s="180">
        <v>110105</v>
      </c>
      <c r="AX160" s="180">
        <v>24</v>
      </c>
      <c r="AY160" s="180">
        <v>8748</v>
      </c>
      <c r="AZ160" s="180">
        <v>16466</v>
      </c>
      <c r="BA160" s="180">
        <v>202</v>
      </c>
      <c r="BB160" s="180">
        <v>95</v>
      </c>
      <c r="BC160" s="180">
        <v>21417</v>
      </c>
      <c r="BD160" s="180">
        <v>276</v>
      </c>
      <c r="BE160" s="180">
        <v>52314</v>
      </c>
      <c r="BF160" s="180">
        <v>2779</v>
      </c>
      <c r="BG160" s="180">
        <v>1147</v>
      </c>
      <c r="BH160" s="180">
        <v>108</v>
      </c>
      <c r="BI160" s="180">
        <v>505</v>
      </c>
      <c r="BJ160" s="180">
        <v>32001</v>
      </c>
      <c r="BK160" s="180">
        <v>0</v>
      </c>
      <c r="BL160" s="180">
        <v>3082</v>
      </c>
      <c r="BM160" s="180">
        <v>1445</v>
      </c>
      <c r="BN160" s="180">
        <v>17213</v>
      </c>
      <c r="BO160" s="180">
        <v>10422</v>
      </c>
      <c r="BP160" s="180">
        <v>-3937858</v>
      </c>
      <c r="BQ160" s="180">
        <v>265</v>
      </c>
      <c r="BR160" s="180"/>
      <c r="BS160" s="180">
        <v>417</v>
      </c>
      <c r="BT160" s="180"/>
      <c r="BU160" s="180">
        <v>2138</v>
      </c>
      <c r="BV160" s="180">
        <v>7674</v>
      </c>
      <c r="BW160" s="180">
        <v>58380</v>
      </c>
      <c r="BX160" s="180">
        <v>7890</v>
      </c>
      <c r="BY160" s="180"/>
      <c r="BZ160" s="180">
        <v>7093</v>
      </c>
      <c r="CA160" s="180">
        <v>342</v>
      </c>
      <c r="CB160" s="180">
        <v>10462</v>
      </c>
      <c r="CC160" s="180">
        <v>4600</v>
      </c>
      <c r="CD160" s="180">
        <v>472</v>
      </c>
      <c r="CE160" s="180"/>
      <c r="CF160" s="180">
        <v>22510</v>
      </c>
      <c r="CG160" s="180">
        <v>0</v>
      </c>
      <c r="CH160" s="180">
        <v>2616</v>
      </c>
      <c r="CI160" s="180">
        <v>10896</v>
      </c>
      <c r="CJ160" s="180"/>
      <c r="CK160" s="180">
        <v>448</v>
      </c>
      <c r="CL160" s="180"/>
      <c r="CM160" s="180"/>
      <c r="CN160" s="180"/>
      <c r="CO160" s="180"/>
      <c r="CP160" s="180"/>
      <c r="CQ160" s="180"/>
      <c r="CR160" s="180"/>
      <c r="CS160" s="180"/>
      <c r="CT160" s="180"/>
      <c r="CU160" s="180"/>
    </row>
    <row r="161" spans="1:99" x14ac:dyDescent="0.3">
      <c r="A161" s="155">
        <v>598</v>
      </c>
      <c r="B161" s="180" t="s">
        <v>343</v>
      </c>
      <c r="C161" s="180"/>
      <c r="D161" s="180">
        <v>0</v>
      </c>
      <c r="E161" s="180">
        <v>0</v>
      </c>
      <c r="F161" s="180">
        <v>0</v>
      </c>
      <c r="G161" s="180">
        <v>0</v>
      </c>
      <c r="H161" s="180"/>
      <c r="I161" s="180">
        <v>20511</v>
      </c>
      <c r="J161" s="180">
        <v>0</v>
      </c>
      <c r="K161" s="180">
        <v>25670</v>
      </c>
      <c r="L161" s="180">
        <v>0</v>
      </c>
      <c r="M161" s="180">
        <v>132714</v>
      </c>
      <c r="N161" s="180"/>
      <c r="O161" s="180">
        <v>892164</v>
      </c>
      <c r="P161" s="180">
        <v>0</v>
      </c>
      <c r="Q161" s="180">
        <v>0</v>
      </c>
      <c r="R161" s="180">
        <v>0</v>
      </c>
      <c r="S161" s="180">
        <v>10592</v>
      </c>
      <c r="T161" s="180">
        <v>0</v>
      </c>
      <c r="U161" s="180">
        <v>0</v>
      </c>
      <c r="V161" s="180">
        <v>0</v>
      </c>
      <c r="W161" s="180">
        <v>0</v>
      </c>
      <c r="X161" s="180">
        <v>457529</v>
      </c>
      <c r="Y161" s="180">
        <v>9694000</v>
      </c>
      <c r="Z161" s="180">
        <v>1940</v>
      </c>
      <c r="AA161" s="180">
        <v>0</v>
      </c>
      <c r="AB161" s="180">
        <v>0</v>
      </c>
      <c r="AC161" s="180"/>
      <c r="AD161" s="180">
        <v>0</v>
      </c>
      <c r="AE161" s="180">
        <v>0</v>
      </c>
      <c r="AF161" s="180">
        <v>133234</v>
      </c>
      <c r="AG161" s="180">
        <v>0</v>
      </c>
      <c r="AH161" s="180">
        <v>0</v>
      </c>
      <c r="AI161" s="180">
        <v>74388</v>
      </c>
      <c r="AJ161" s="180">
        <v>0</v>
      </c>
      <c r="AK161" s="180">
        <v>0</v>
      </c>
      <c r="AL161" s="180">
        <v>0</v>
      </c>
      <c r="AM161" s="180"/>
      <c r="AN161" s="180">
        <v>0</v>
      </c>
      <c r="AO161" s="180"/>
      <c r="AP161" s="180">
        <v>0</v>
      </c>
      <c r="AQ161" s="180">
        <v>519600</v>
      </c>
      <c r="AR161" s="180">
        <v>0</v>
      </c>
      <c r="AS161" s="180">
        <v>0</v>
      </c>
      <c r="AT161" s="180">
        <v>0</v>
      </c>
      <c r="AU161" s="180">
        <v>0</v>
      </c>
      <c r="AV161" s="180">
        <v>0</v>
      </c>
      <c r="AW161" s="180">
        <v>41106</v>
      </c>
      <c r="AX161" s="180">
        <v>0</v>
      </c>
      <c r="AY161" s="180">
        <v>47085</v>
      </c>
      <c r="AZ161" s="180">
        <v>23893</v>
      </c>
      <c r="BA161" s="180">
        <v>0</v>
      </c>
      <c r="BB161" s="180">
        <v>0</v>
      </c>
      <c r="BC161" s="180">
        <v>47467</v>
      </c>
      <c r="BD161" s="180">
        <v>0</v>
      </c>
      <c r="BE161" s="180">
        <v>0</v>
      </c>
      <c r="BF161" s="180">
        <v>2957</v>
      </c>
      <c r="BG161" s="180">
        <v>0</v>
      </c>
      <c r="BH161" s="180">
        <v>0</v>
      </c>
      <c r="BI161" s="180">
        <v>0</v>
      </c>
      <c r="BJ161" s="180">
        <v>0</v>
      </c>
      <c r="BK161" s="180">
        <v>0</v>
      </c>
      <c r="BL161" s="180">
        <v>14701</v>
      </c>
      <c r="BM161" s="180">
        <v>0</v>
      </c>
      <c r="BN161" s="180">
        <v>0</v>
      </c>
      <c r="BO161" s="180">
        <v>69422</v>
      </c>
      <c r="BP161" s="180">
        <v>2276710</v>
      </c>
      <c r="BQ161" s="180">
        <v>0</v>
      </c>
      <c r="BR161" s="180"/>
      <c r="BS161" s="180">
        <v>0</v>
      </c>
      <c r="BT161" s="180"/>
      <c r="BU161" s="180">
        <v>0</v>
      </c>
      <c r="BV161" s="180">
        <v>0</v>
      </c>
      <c r="BW161" s="180">
        <v>192836</v>
      </c>
      <c r="BX161" s="180">
        <v>43165</v>
      </c>
      <c r="BY161" s="180"/>
      <c r="BZ161" s="180">
        <v>12896</v>
      </c>
      <c r="CA161" s="180">
        <v>0</v>
      </c>
      <c r="CB161" s="180">
        <v>10307</v>
      </c>
      <c r="CC161" s="180">
        <v>0</v>
      </c>
      <c r="CD161" s="180">
        <v>0</v>
      </c>
      <c r="CE161" s="180"/>
      <c r="CF161" s="180">
        <v>47339</v>
      </c>
      <c r="CG161" s="180">
        <v>36105</v>
      </c>
      <c r="CH161" s="180">
        <v>0</v>
      </c>
      <c r="CI161" s="180">
        <v>31868</v>
      </c>
      <c r="CJ161" s="180"/>
      <c r="CK161" s="180">
        <v>0</v>
      </c>
      <c r="CL161" s="180"/>
      <c r="CM161" s="180"/>
      <c r="CN161" s="180"/>
      <c r="CO161" s="180"/>
      <c r="CP161" s="180"/>
      <c r="CQ161" s="180"/>
      <c r="CR161" s="180"/>
      <c r="CS161" s="180"/>
      <c r="CT161" s="180"/>
      <c r="CU161" s="180"/>
    </row>
    <row r="162" spans="1:99" x14ac:dyDescent="0.3">
      <c r="A162" s="155">
        <v>599</v>
      </c>
      <c r="B162" s="180" t="s">
        <v>342</v>
      </c>
      <c r="C162" s="180"/>
      <c r="D162" s="180">
        <v>0</v>
      </c>
      <c r="E162" s="180">
        <v>0</v>
      </c>
      <c r="F162" s="180">
        <v>0</v>
      </c>
      <c r="G162" s="180">
        <v>0</v>
      </c>
      <c r="H162" s="180"/>
      <c r="I162" s="180">
        <v>476272</v>
      </c>
      <c r="J162" s="180">
        <v>90511</v>
      </c>
      <c r="K162" s="180">
        <v>791529</v>
      </c>
      <c r="L162" s="180">
        <v>0</v>
      </c>
      <c r="M162" s="180">
        <v>2136506</v>
      </c>
      <c r="N162" s="180"/>
      <c r="O162" s="180">
        <v>8963833</v>
      </c>
      <c r="P162" s="180">
        <v>0</v>
      </c>
      <c r="Q162" s="180">
        <v>0</v>
      </c>
      <c r="R162" s="180">
        <v>169267</v>
      </c>
      <c r="S162" s="180">
        <v>10377</v>
      </c>
      <c r="T162" s="180">
        <v>0</v>
      </c>
      <c r="U162" s="180">
        <v>0</v>
      </c>
      <c r="V162" s="180">
        <v>0</v>
      </c>
      <c r="W162" s="180">
        <v>33437</v>
      </c>
      <c r="X162" s="180">
        <v>7312232</v>
      </c>
      <c r="Y162" s="180">
        <v>187209000</v>
      </c>
      <c r="Z162" s="180">
        <v>499477</v>
      </c>
      <c r="AA162" s="180">
        <v>0</v>
      </c>
      <c r="AB162" s="180">
        <v>556925</v>
      </c>
      <c r="AC162" s="180"/>
      <c r="AD162" s="180">
        <v>241967</v>
      </c>
      <c r="AE162" s="180">
        <v>0</v>
      </c>
      <c r="AF162" s="180">
        <v>3126220</v>
      </c>
      <c r="AG162" s="180">
        <v>0</v>
      </c>
      <c r="AH162" s="180">
        <v>0</v>
      </c>
      <c r="AI162" s="180">
        <v>978025</v>
      </c>
      <c r="AJ162" s="180">
        <v>0</v>
      </c>
      <c r="AK162" s="180">
        <v>130917</v>
      </c>
      <c r="AL162" s="180">
        <v>0</v>
      </c>
      <c r="AM162" s="180"/>
      <c r="AN162" s="180">
        <v>0</v>
      </c>
      <c r="AO162" s="180"/>
      <c r="AP162" s="180">
        <v>0</v>
      </c>
      <c r="AQ162" s="180">
        <v>11546707</v>
      </c>
      <c r="AR162" s="180">
        <v>0</v>
      </c>
      <c r="AS162" s="180">
        <v>0</v>
      </c>
      <c r="AT162" s="180">
        <v>886769</v>
      </c>
      <c r="AU162" s="180">
        <v>62429</v>
      </c>
      <c r="AV162" s="180">
        <v>8054</v>
      </c>
      <c r="AW162" s="180">
        <v>2521879</v>
      </c>
      <c r="AX162" s="180">
        <v>0</v>
      </c>
      <c r="AY162" s="180">
        <v>895115</v>
      </c>
      <c r="AZ162" s="180">
        <v>614720</v>
      </c>
      <c r="BA162" s="180">
        <v>0</v>
      </c>
      <c r="BB162" s="180">
        <v>0</v>
      </c>
      <c r="BC162" s="180">
        <v>573604</v>
      </c>
      <c r="BD162" s="180">
        <v>0</v>
      </c>
      <c r="BE162" s="180">
        <v>652962</v>
      </c>
      <c r="BF162" s="180">
        <v>138645</v>
      </c>
      <c r="BG162" s="180">
        <v>0</v>
      </c>
      <c r="BH162" s="180">
        <v>0</v>
      </c>
      <c r="BI162" s="180">
        <v>331475</v>
      </c>
      <c r="BJ162" s="180">
        <v>0</v>
      </c>
      <c r="BK162" s="180">
        <v>0</v>
      </c>
      <c r="BL162" s="180">
        <v>286846</v>
      </c>
      <c r="BM162" s="180">
        <v>0</v>
      </c>
      <c r="BN162" s="180">
        <v>0</v>
      </c>
      <c r="BO162" s="180">
        <v>1690679</v>
      </c>
      <c r="BP162" s="180">
        <v>37462690</v>
      </c>
      <c r="BQ162" s="180">
        <v>0</v>
      </c>
      <c r="BR162" s="180"/>
      <c r="BS162" s="180">
        <v>13254</v>
      </c>
      <c r="BT162" s="180"/>
      <c r="BU162" s="180">
        <v>124231</v>
      </c>
      <c r="BV162" s="180">
        <v>0</v>
      </c>
      <c r="BW162" s="180">
        <v>2967042</v>
      </c>
      <c r="BX162" s="180">
        <v>642197</v>
      </c>
      <c r="BY162" s="180"/>
      <c r="BZ162" s="180">
        <v>428289</v>
      </c>
      <c r="CA162" s="180">
        <v>0</v>
      </c>
      <c r="CB162" s="180">
        <v>444725</v>
      </c>
      <c r="CC162" s="180">
        <v>0</v>
      </c>
      <c r="CD162" s="180">
        <v>0</v>
      </c>
      <c r="CE162" s="180"/>
      <c r="CF162" s="180">
        <v>709792</v>
      </c>
      <c r="CG162" s="180">
        <v>1279542</v>
      </c>
      <c r="CH162" s="180">
        <v>208161</v>
      </c>
      <c r="CI162" s="180">
        <v>368597</v>
      </c>
      <c r="CJ162" s="180"/>
      <c r="CK162" s="180">
        <v>0</v>
      </c>
      <c r="CL162" s="180"/>
      <c r="CM162" s="180"/>
      <c r="CN162" s="180"/>
      <c r="CO162" s="180"/>
      <c r="CP162" s="180"/>
      <c r="CQ162" s="180"/>
      <c r="CR162" s="180"/>
      <c r="CS162" s="180"/>
      <c r="CT162" s="180"/>
      <c r="CU162" s="180"/>
    </row>
    <row r="163" spans="1:99" x14ac:dyDescent="0.3">
      <c r="A163" s="155">
        <v>602</v>
      </c>
      <c r="B163" s="180" t="s">
        <v>344</v>
      </c>
      <c r="C163" s="180"/>
      <c r="D163" s="180">
        <v>0</v>
      </c>
      <c r="E163" s="180">
        <v>0</v>
      </c>
      <c r="F163" s="180">
        <v>0</v>
      </c>
      <c r="G163" s="180">
        <v>0</v>
      </c>
      <c r="H163" s="180"/>
      <c r="I163" s="180">
        <v>0</v>
      </c>
      <c r="J163" s="180">
        <v>0</v>
      </c>
      <c r="K163" s="180">
        <v>0</v>
      </c>
      <c r="L163" s="180">
        <v>0</v>
      </c>
      <c r="M163" s="180">
        <v>0</v>
      </c>
      <c r="N163" s="180"/>
      <c r="O163" s="180">
        <v>0</v>
      </c>
      <c r="P163" s="180">
        <v>0</v>
      </c>
      <c r="Q163" s="180">
        <v>0</v>
      </c>
      <c r="R163" s="180">
        <v>0</v>
      </c>
      <c r="S163" s="180">
        <v>0</v>
      </c>
      <c r="T163" s="180">
        <v>0</v>
      </c>
      <c r="U163" s="180">
        <v>0</v>
      </c>
      <c r="V163" s="180">
        <v>0</v>
      </c>
      <c r="W163" s="180">
        <v>0</v>
      </c>
      <c r="X163" s="180">
        <v>0</v>
      </c>
      <c r="Y163" s="180">
        <v>0</v>
      </c>
      <c r="Z163" s="180">
        <v>0</v>
      </c>
      <c r="AA163" s="180">
        <v>0</v>
      </c>
      <c r="AB163" s="180">
        <v>0</v>
      </c>
      <c r="AC163" s="180"/>
      <c r="AD163" s="180">
        <v>0</v>
      </c>
      <c r="AE163" s="180">
        <v>0</v>
      </c>
      <c r="AF163" s="180">
        <v>0</v>
      </c>
      <c r="AG163" s="180">
        <v>0</v>
      </c>
      <c r="AH163" s="180">
        <v>0</v>
      </c>
      <c r="AI163" s="180">
        <v>0</v>
      </c>
      <c r="AJ163" s="180">
        <v>0</v>
      </c>
      <c r="AK163" s="180">
        <v>0</v>
      </c>
      <c r="AL163" s="180">
        <v>0</v>
      </c>
      <c r="AM163" s="180"/>
      <c r="AN163" s="180">
        <v>0</v>
      </c>
      <c r="AO163" s="180"/>
      <c r="AP163" s="180">
        <v>0</v>
      </c>
      <c r="AQ163" s="180">
        <v>0</v>
      </c>
      <c r="AR163" s="180">
        <v>0</v>
      </c>
      <c r="AS163" s="180">
        <v>0</v>
      </c>
      <c r="AT163" s="180">
        <v>0</v>
      </c>
      <c r="AU163" s="180">
        <v>0</v>
      </c>
      <c r="AV163" s="180">
        <v>0</v>
      </c>
      <c r="AW163" s="180">
        <v>209876</v>
      </c>
      <c r="AX163" s="180">
        <v>0</v>
      </c>
      <c r="AY163" s="180">
        <v>0</v>
      </c>
      <c r="AZ163" s="180">
        <v>0</v>
      </c>
      <c r="BA163" s="180">
        <v>0</v>
      </c>
      <c r="BB163" s="180">
        <v>0</v>
      </c>
      <c r="BC163" s="180">
        <v>0</v>
      </c>
      <c r="BD163" s="180">
        <v>0</v>
      </c>
      <c r="BE163" s="180">
        <v>0</v>
      </c>
      <c r="BF163" s="180">
        <v>0</v>
      </c>
      <c r="BG163" s="180">
        <v>0</v>
      </c>
      <c r="BH163" s="180">
        <v>0</v>
      </c>
      <c r="BI163" s="180">
        <v>0</v>
      </c>
      <c r="BJ163" s="180">
        <v>0</v>
      </c>
      <c r="BK163" s="180">
        <v>0</v>
      </c>
      <c r="BL163" s="180">
        <v>0</v>
      </c>
      <c r="BM163" s="180">
        <v>0</v>
      </c>
      <c r="BN163" s="180">
        <v>0</v>
      </c>
      <c r="BO163" s="180">
        <v>0</v>
      </c>
      <c r="BP163" s="180">
        <v>0</v>
      </c>
      <c r="BQ163" s="180">
        <v>0</v>
      </c>
      <c r="BR163" s="180"/>
      <c r="BS163" s="180">
        <v>0</v>
      </c>
      <c r="BT163" s="180"/>
      <c r="BU163" s="180">
        <v>0</v>
      </c>
      <c r="BV163" s="180">
        <v>0</v>
      </c>
      <c r="BW163" s="180">
        <v>0</v>
      </c>
      <c r="BX163" s="180">
        <v>0</v>
      </c>
      <c r="BY163" s="180"/>
      <c r="BZ163" s="180">
        <v>0</v>
      </c>
      <c r="CA163" s="180">
        <v>0</v>
      </c>
      <c r="CB163" s="180">
        <v>0</v>
      </c>
      <c r="CC163" s="180">
        <v>0</v>
      </c>
      <c r="CD163" s="180">
        <v>0</v>
      </c>
      <c r="CE163" s="180"/>
      <c r="CF163" s="180">
        <v>0</v>
      </c>
      <c r="CG163" s="180">
        <v>0</v>
      </c>
      <c r="CH163" s="180">
        <v>0</v>
      </c>
      <c r="CI163" s="180">
        <v>0</v>
      </c>
      <c r="CJ163" s="180"/>
      <c r="CK163" s="180">
        <v>0</v>
      </c>
      <c r="CL163" s="180"/>
      <c r="CM163" s="180"/>
      <c r="CN163" s="180"/>
      <c r="CO163" s="180"/>
      <c r="CP163" s="180"/>
      <c r="CQ163" s="180"/>
      <c r="CR163" s="180"/>
      <c r="CS163" s="180"/>
      <c r="CT163" s="180"/>
      <c r="CU163" s="180"/>
    </row>
    <row r="164" spans="1:99" s="554" customFormat="1" x14ac:dyDescent="0.3">
      <c r="A164" s="557">
        <v>606</v>
      </c>
      <c r="B164" s="554" t="s">
        <v>956</v>
      </c>
      <c r="I164" s="554">
        <v>1</v>
      </c>
      <c r="J164" s="554">
        <v>1</v>
      </c>
      <c r="M164" s="554">
        <v>1</v>
      </c>
      <c r="O164" s="554">
        <v>1</v>
      </c>
      <c r="T164" s="554">
        <v>1</v>
      </c>
      <c r="X164" s="554">
        <v>1</v>
      </c>
      <c r="Y164" s="554">
        <v>1</v>
      </c>
      <c r="Z164" s="554">
        <v>1</v>
      </c>
      <c r="AG164" s="554">
        <v>1</v>
      </c>
      <c r="AQ164" s="554">
        <v>1</v>
      </c>
      <c r="AT164" s="554">
        <v>1</v>
      </c>
      <c r="AW164" s="554">
        <v>1</v>
      </c>
      <c r="BO164" s="554">
        <v>1</v>
      </c>
      <c r="BP164" s="554">
        <v>1</v>
      </c>
      <c r="BW164" s="554">
        <v>1</v>
      </c>
      <c r="BX164" s="554">
        <v>1</v>
      </c>
      <c r="BZ164" s="554">
        <v>1</v>
      </c>
      <c r="CB164" s="554">
        <v>1</v>
      </c>
      <c r="CG164" s="554">
        <v>1</v>
      </c>
      <c r="CH164" s="554">
        <v>1</v>
      </c>
    </row>
    <row r="165" spans="1:99" x14ac:dyDescent="0.3">
      <c r="A165" s="155">
        <v>619</v>
      </c>
      <c r="B165" s="180" t="s">
        <v>957</v>
      </c>
      <c r="C165" s="180"/>
      <c r="D165" s="180">
        <v>0</v>
      </c>
      <c r="E165" s="180">
        <v>0</v>
      </c>
      <c r="F165" s="180">
        <v>0</v>
      </c>
      <c r="G165" s="180">
        <v>0</v>
      </c>
      <c r="H165" s="180"/>
      <c r="I165" s="180">
        <v>0</v>
      </c>
      <c r="J165" s="180">
        <v>0</v>
      </c>
      <c r="K165" s="180">
        <v>0</v>
      </c>
      <c r="L165" s="180">
        <v>0</v>
      </c>
      <c r="M165" s="180">
        <v>0</v>
      </c>
      <c r="N165" s="180"/>
      <c r="O165" s="180">
        <v>0</v>
      </c>
      <c r="P165" s="180">
        <v>0</v>
      </c>
      <c r="Q165" s="180">
        <v>0</v>
      </c>
      <c r="R165" s="180">
        <v>0</v>
      </c>
      <c r="S165" s="180">
        <v>0</v>
      </c>
      <c r="T165" s="180">
        <v>0</v>
      </c>
      <c r="U165" s="180">
        <v>0</v>
      </c>
      <c r="V165" s="180">
        <v>0</v>
      </c>
      <c r="W165" s="180">
        <v>0</v>
      </c>
      <c r="X165" s="180">
        <v>0</v>
      </c>
      <c r="Y165" s="180">
        <v>0</v>
      </c>
      <c r="Z165" s="180">
        <v>0</v>
      </c>
      <c r="AA165" s="180">
        <v>0</v>
      </c>
      <c r="AB165" s="180">
        <v>0</v>
      </c>
      <c r="AC165" s="180"/>
      <c r="AD165" s="180">
        <v>0</v>
      </c>
      <c r="AE165" s="180">
        <v>0</v>
      </c>
      <c r="AF165" s="180">
        <v>0</v>
      </c>
      <c r="AG165" s="180">
        <v>0</v>
      </c>
      <c r="AH165" s="180">
        <v>0</v>
      </c>
      <c r="AI165" s="180">
        <v>0</v>
      </c>
      <c r="AJ165" s="180">
        <v>0</v>
      </c>
      <c r="AK165" s="180">
        <v>0</v>
      </c>
      <c r="AL165" s="180">
        <v>0</v>
      </c>
      <c r="AM165" s="180"/>
      <c r="AN165" s="180">
        <v>0</v>
      </c>
      <c r="AO165" s="180"/>
      <c r="AP165" s="180">
        <v>0</v>
      </c>
      <c r="AQ165" s="180">
        <v>0</v>
      </c>
      <c r="AR165" s="180">
        <v>0</v>
      </c>
      <c r="AS165" s="180">
        <v>0</v>
      </c>
      <c r="AT165" s="180">
        <v>0</v>
      </c>
      <c r="AU165" s="180">
        <v>0</v>
      </c>
      <c r="AV165" s="180">
        <v>0</v>
      </c>
      <c r="AW165" s="180">
        <v>8.3000000000000007</v>
      </c>
      <c r="AX165" s="180">
        <v>0</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v>0</v>
      </c>
      <c r="BO165" s="180">
        <v>0</v>
      </c>
      <c r="BP165" s="180">
        <v>0</v>
      </c>
      <c r="BQ165" s="180">
        <v>0</v>
      </c>
      <c r="BR165" s="180"/>
      <c r="BS165" s="180">
        <v>0</v>
      </c>
      <c r="BT165" s="180"/>
      <c r="BU165" s="180">
        <v>0</v>
      </c>
      <c r="BV165" s="180">
        <v>0</v>
      </c>
      <c r="BW165" s="180">
        <v>0</v>
      </c>
      <c r="BX165" s="180">
        <v>0</v>
      </c>
      <c r="BY165" s="180"/>
      <c r="BZ165" s="180">
        <v>0</v>
      </c>
      <c r="CA165" s="180">
        <v>0</v>
      </c>
      <c r="CB165" s="180">
        <v>0</v>
      </c>
      <c r="CC165" s="180">
        <v>0</v>
      </c>
      <c r="CD165" s="180">
        <v>0</v>
      </c>
      <c r="CE165" s="180"/>
      <c r="CF165" s="180">
        <v>0</v>
      </c>
      <c r="CG165" s="180">
        <v>0</v>
      </c>
      <c r="CH165" s="180">
        <v>0</v>
      </c>
      <c r="CI165" s="180">
        <v>0</v>
      </c>
      <c r="CJ165" s="180"/>
      <c r="CK165" s="180">
        <v>0</v>
      </c>
      <c r="CL165" s="180"/>
      <c r="CM165" s="180"/>
      <c r="CN165" s="180"/>
      <c r="CO165" s="180"/>
      <c r="CP165" s="180"/>
      <c r="CQ165" s="180"/>
      <c r="CR165" s="180"/>
      <c r="CS165" s="180"/>
      <c r="CT165" s="180"/>
      <c r="CU165" s="180"/>
    </row>
    <row r="166" spans="1:99" s="567" customFormat="1" x14ac:dyDescent="0.3">
      <c r="A166" s="566">
        <v>620</v>
      </c>
      <c r="B166" s="567" t="s">
        <v>958</v>
      </c>
      <c r="D166" s="567">
        <v>2</v>
      </c>
      <c r="E166" s="567">
        <v>2</v>
      </c>
      <c r="F166" s="567">
        <v>2</v>
      </c>
      <c r="G166" s="567">
        <v>2</v>
      </c>
      <c r="I166" s="567">
        <v>1</v>
      </c>
      <c r="J166" s="567">
        <v>2</v>
      </c>
      <c r="K166" s="567">
        <v>1</v>
      </c>
      <c r="L166" s="567">
        <v>2</v>
      </c>
      <c r="M166" s="567">
        <v>1</v>
      </c>
      <c r="O166" s="567">
        <v>2</v>
      </c>
      <c r="P166" s="567">
        <v>2</v>
      </c>
      <c r="Q166" s="567">
        <v>2</v>
      </c>
      <c r="R166" s="567">
        <v>2</v>
      </c>
      <c r="S166" s="567">
        <v>2</v>
      </c>
      <c r="T166" s="567">
        <v>2</v>
      </c>
      <c r="U166" s="567">
        <v>2</v>
      </c>
      <c r="V166" s="567">
        <v>2</v>
      </c>
      <c r="W166" s="567">
        <v>2</v>
      </c>
      <c r="X166" s="567">
        <v>1</v>
      </c>
      <c r="Y166" s="567">
        <v>1</v>
      </c>
      <c r="Z166" s="567">
        <v>2</v>
      </c>
      <c r="AA166" s="567">
        <v>2</v>
      </c>
      <c r="AB166" s="567">
        <v>2</v>
      </c>
      <c r="AD166" s="567">
        <v>1</v>
      </c>
      <c r="AE166" s="567">
        <v>2</v>
      </c>
      <c r="AF166" s="567">
        <v>2</v>
      </c>
      <c r="AG166" s="567">
        <v>0</v>
      </c>
      <c r="AH166" s="567">
        <v>2</v>
      </c>
      <c r="AI166" s="567">
        <v>2</v>
      </c>
      <c r="AJ166" s="567">
        <v>2</v>
      </c>
      <c r="AK166" s="567">
        <v>2</v>
      </c>
      <c r="AL166" s="567">
        <v>2</v>
      </c>
      <c r="AN166" s="567">
        <v>2</v>
      </c>
      <c r="AP166" s="567">
        <v>2</v>
      </c>
      <c r="AQ166" s="567">
        <v>1</v>
      </c>
      <c r="AR166" s="567">
        <v>2</v>
      </c>
      <c r="AS166" s="567">
        <v>2</v>
      </c>
      <c r="AT166" s="567">
        <v>1</v>
      </c>
      <c r="AU166" s="567">
        <v>0</v>
      </c>
      <c r="AV166" s="567">
        <v>2</v>
      </c>
      <c r="AW166" s="567">
        <v>1</v>
      </c>
      <c r="AX166" s="567">
        <v>2</v>
      </c>
      <c r="AY166" s="567">
        <v>2</v>
      </c>
      <c r="AZ166" s="567">
        <v>2</v>
      </c>
      <c r="BA166" s="567">
        <v>2</v>
      </c>
      <c r="BB166" s="567">
        <v>2</v>
      </c>
      <c r="BC166" s="567">
        <v>2</v>
      </c>
      <c r="BD166" s="567">
        <v>2</v>
      </c>
      <c r="BE166" s="567">
        <v>2</v>
      </c>
      <c r="BF166" s="567">
        <v>1</v>
      </c>
      <c r="BG166" s="567">
        <v>2</v>
      </c>
      <c r="BH166" s="567">
        <v>2</v>
      </c>
      <c r="BI166" s="567">
        <v>2</v>
      </c>
      <c r="BJ166" s="567">
        <v>2</v>
      </c>
      <c r="BK166" s="567">
        <v>2</v>
      </c>
      <c r="BL166" s="567">
        <v>2</v>
      </c>
      <c r="BM166" s="567">
        <v>2</v>
      </c>
      <c r="BN166" s="567">
        <v>2</v>
      </c>
      <c r="BO166" s="567">
        <v>2</v>
      </c>
      <c r="BP166" s="567">
        <v>1</v>
      </c>
      <c r="BQ166" s="567">
        <v>2</v>
      </c>
      <c r="BS166" s="567">
        <v>2</v>
      </c>
      <c r="BU166" s="567">
        <v>1</v>
      </c>
      <c r="BV166" s="567">
        <v>2</v>
      </c>
      <c r="BW166" s="567">
        <v>2</v>
      </c>
      <c r="BX166" s="567">
        <v>2</v>
      </c>
      <c r="BZ166" s="567">
        <v>2</v>
      </c>
      <c r="CA166" s="567">
        <v>2</v>
      </c>
      <c r="CB166" s="567">
        <v>2</v>
      </c>
      <c r="CC166" s="567">
        <v>2</v>
      </c>
      <c r="CD166" s="567">
        <v>2</v>
      </c>
      <c r="CF166" s="567">
        <v>2</v>
      </c>
      <c r="CG166" s="567">
        <v>2</v>
      </c>
      <c r="CH166" s="567">
        <v>2</v>
      </c>
      <c r="CI166" s="567">
        <v>2</v>
      </c>
      <c r="CK166" s="567">
        <v>2</v>
      </c>
    </row>
    <row r="167" spans="1:99" x14ac:dyDescent="0.3">
      <c r="A167" s="155">
        <v>621</v>
      </c>
      <c r="B167" s="180" t="s">
        <v>959</v>
      </c>
      <c r="C167" s="180"/>
      <c r="D167" s="180">
        <v>0</v>
      </c>
      <c r="E167" s="180">
        <v>0</v>
      </c>
      <c r="F167" s="180">
        <v>0</v>
      </c>
      <c r="G167" s="180">
        <v>0</v>
      </c>
      <c r="H167" s="180"/>
      <c r="I167" s="180">
        <v>0</v>
      </c>
      <c r="J167" s="180">
        <v>0</v>
      </c>
      <c r="K167" s="180">
        <v>0</v>
      </c>
      <c r="L167" s="180">
        <v>0</v>
      </c>
      <c r="M167" s="180">
        <v>0</v>
      </c>
      <c r="N167" s="180"/>
      <c r="O167" s="180">
        <v>0</v>
      </c>
      <c r="P167" s="180">
        <v>0</v>
      </c>
      <c r="Q167" s="180">
        <v>0</v>
      </c>
      <c r="R167" s="180">
        <v>0</v>
      </c>
      <c r="S167" s="180">
        <v>0</v>
      </c>
      <c r="T167" s="180">
        <v>0</v>
      </c>
      <c r="U167" s="180">
        <v>0</v>
      </c>
      <c r="V167" s="180">
        <v>0</v>
      </c>
      <c r="W167" s="180">
        <v>0</v>
      </c>
      <c r="X167" s="180">
        <v>0</v>
      </c>
      <c r="Y167" s="180">
        <v>0</v>
      </c>
      <c r="Z167" s="180">
        <v>0</v>
      </c>
      <c r="AA167" s="180">
        <v>0</v>
      </c>
      <c r="AB167" s="180">
        <v>0</v>
      </c>
      <c r="AC167" s="180"/>
      <c r="AD167" s="180">
        <v>0</v>
      </c>
      <c r="AE167" s="180">
        <v>0</v>
      </c>
      <c r="AF167" s="180">
        <v>1378008</v>
      </c>
      <c r="AG167" s="180">
        <v>0</v>
      </c>
      <c r="AH167" s="180">
        <v>-50168</v>
      </c>
      <c r="AI167" s="180">
        <v>0</v>
      </c>
      <c r="AJ167" s="180">
        <v>0</v>
      </c>
      <c r="AK167" s="180">
        <v>0</v>
      </c>
      <c r="AL167" s="180">
        <v>0</v>
      </c>
      <c r="AM167" s="180"/>
      <c r="AN167" s="180">
        <v>831347</v>
      </c>
      <c r="AO167" s="180"/>
      <c r="AP167" s="180">
        <v>0</v>
      </c>
      <c r="AQ167" s="180">
        <v>0</v>
      </c>
      <c r="AR167" s="180">
        <v>0</v>
      </c>
      <c r="AS167" s="180">
        <v>0</v>
      </c>
      <c r="AT167" s="180">
        <v>0</v>
      </c>
      <c r="AU167" s="180">
        <v>0</v>
      </c>
      <c r="AV167" s="180">
        <v>0</v>
      </c>
      <c r="AW167" s="180">
        <v>0</v>
      </c>
      <c r="AX167" s="180">
        <v>0</v>
      </c>
      <c r="AY167" s="180">
        <v>0</v>
      </c>
      <c r="AZ167" s="180">
        <v>0</v>
      </c>
      <c r="BA167" s="180">
        <v>0</v>
      </c>
      <c r="BB167" s="180">
        <v>0</v>
      </c>
      <c r="BC167" s="180">
        <v>283133</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c r="BS167" s="180">
        <v>0</v>
      </c>
      <c r="BT167" s="180"/>
      <c r="BU167" s="180">
        <v>0</v>
      </c>
      <c r="BV167" s="180">
        <v>0</v>
      </c>
      <c r="BW167" s="180">
        <v>0</v>
      </c>
      <c r="BX167" s="180">
        <v>0</v>
      </c>
      <c r="BY167" s="180"/>
      <c r="BZ167" s="180">
        <v>0</v>
      </c>
      <c r="CA167" s="180">
        <v>0</v>
      </c>
      <c r="CB167" s="180">
        <v>0</v>
      </c>
      <c r="CC167" s="180">
        <v>0</v>
      </c>
      <c r="CD167" s="180">
        <v>0</v>
      </c>
      <c r="CE167" s="180"/>
      <c r="CF167" s="180">
        <v>0</v>
      </c>
      <c r="CG167" s="180">
        <v>0</v>
      </c>
      <c r="CH167" s="180">
        <v>0</v>
      </c>
      <c r="CI167" s="180">
        <v>0</v>
      </c>
      <c r="CJ167" s="180"/>
      <c r="CK167" s="180">
        <v>0</v>
      </c>
      <c r="CL167" s="180"/>
      <c r="CM167" s="180"/>
      <c r="CN167" s="180"/>
      <c r="CO167" s="180"/>
      <c r="CP167" s="180"/>
      <c r="CQ167" s="180"/>
      <c r="CR167" s="180"/>
      <c r="CS167" s="180"/>
      <c r="CT167" s="180"/>
      <c r="CU167" s="180"/>
    </row>
    <row r="168" spans="1:99" x14ac:dyDescent="0.3">
      <c r="A168" s="155">
        <v>622</v>
      </c>
      <c r="B168" s="180" t="s">
        <v>960</v>
      </c>
      <c r="C168" s="180"/>
      <c r="D168" s="180">
        <v>0</v>
      </c>
      <c r="E168" s="180">
        <v>75146</v>
      </c>
      <c r="F168" s="180">
        <v>15796</v>
      </c>
      <c r="G168" s="180">
        <v>13189</v>
      </c>
      <c r="H168" s="180"/>
      <c r="I168" s="180">
        <v>558842</v>
      </c>
      <c r="J168" s="180">
        <v>0</v>
      </c>
      <c r="K168" s="180">
        <v>1457990</v>
      </c>
      <c r="L168" s="180">
        <v>122688</v>
      </c>
      <c r="M168" s="180">
        <v>1833107</v>
      </c>
      <c r="N168" s="180"/>
      <c r="O168" s="180">
        <v>18596846</v>
      </c>
      <c r="P168" s="180">
        <v>0</v>
      </c>
      <c r="Q168" s="180">
        <v>0</v>
      </c>
      <c r="R168" s="180">
        <v>72539</v>
      </c>
      <c r="S168" s="180">
        <v>25918</v>
      </c>
      <c r="T168" s="180">
        <v>43707</v>
      </c>
      <c r="U168" s="180">
        <v>0</v>
      </c>
      <c r="V168" s="180">
        <v>0</v>
      </c>
      <c r="W168" s="180">
        <v>153973</v>
      </c>
      <c r="X168" s="180">
        <v>8559919</v>
      </c>
      <c r="Y168" s="180">
        <v>104952000</v>
      </c>
      <c r="Z168" s="180">
        <v>595188</v>
      </c>
      <c r="AA168" s="180">
        <v>0</v>
      </c>
      <c r="AB168" s="180">
        <v>370210</v>
      </c>
      <c r="AC168" s="180"/>
      <c r="AD168" s="180">
        <v>247982</v>
      </c>
      <c r="AE168" s="180">
        <v>49382</v>
      </c>
      <c r="AF168" s="180">
        <v>2792525</v>
      </c>
      <c r="AG168" s="180">
        <v>0</v>
      </c>
      <c r="AH168" s="180">
        <v>73613</v>
      </c>
      <c r="AI168" s="180">
        <v>1305550</v>
      </c>
      <c r="AJ168" s="180">
        <v>0</v>
      </c>
      <c r="AK168" s="180">
        <v>135723</v>
      </c>
      <c r="AL168" s="180">
        <v>20704</v>
      </c>
      <c r="AM168" s="180"/>
      <c r="AN168" s="180">
        <v>34506</v>
      </c>
      <c r="AO168" s="180"/>
      <c r="AP168" s="180">
        <v>0</v>
      </c>
      <c r="AQ168" s="180">
        <v>13190152</v>
      </c>
      <c r="AR168" s="180">
        <v>0</v>
      </c>
      <c r="AS168" s="180">
        <v>14876</v>
      </c>
      <c r="AT168" s="180">
        <v>1027816</v>
      </c>
      <c r="AU168" s="180">
        <v>0</v>
      </c>
      <c r="AV168" s="180">
        <v>5981</v>
      </c>
      <c r="AW168" s="180">
        <v>1588345</v>
      </c>
      <c r="AX168" s="180">
        <v>8128</v>
      </c>
      <c r="AY168" s="180">
        <v>382632</v>
      </c>
      <c r="AZ168" s="180">
        <v>406096</v>
      </c>
      <c r="BA168" s="180">
        <v>27758</v>
      </c>
      <c r="BB168" s="180">
        <v>0</v>
      </c>
      <c r="BC168" s="180">
        <v>684292</v>
      </c>
      <c r="BD168" s="180">
        <v>0</v>
      </c>
      <c r="BE168" s="180">
        <v>959418</v>
      </c>
      <c r="BF168" s="180">
        <v>135877</v>
      </c>
      <c r="BG168" s="180">
        <v>0</v>
      </c>
      <c r="BH168" s="180">
        <v>0</v>
      </c>
      <c r="BI168" s="180">
        <v>215470</v>
      </c>
      <c r="BJ168" s="180">
        <v>0</v>
      </c>
      <c r="BK168" s="180">
        <v>0</v>
      </c>
      <c r="BL168" s="180">
        <v>151979</v>
      </c>
      <c r="BM168" s="180">
        <v>0</v>
      </c>
      <c r="BN168" s="180">
        <v>0</v>
      </c>
      <c r="BO168" s="180">
        <v>1213227</v>
      </c>
      <c r="BP168" s="180">
        <v>34170206</v>
      </c>
      <c r="BQ168" s="180">
        <v>0</v>
      </c>
      <c r="BR168" s="180"/>
      <c r="BS168" s="180">
        <v>42021</v>
      </c>
      <c r="BT168" s="180"/>
      <c r="BU168" s="180">
        <v>58890</v>
      </c>
      <c r="BV168" s="180">
        <v>14723</v>
      </c>
      <c r="BW168" s="180">
        <v>1746459</v>
      </c>
      <c r="BX168" s="180">
        <v>822314</v>
      </c>
      <c r="BY168" s="180"/>
      <c r="BZ168" s="180">
        <v>546267</v>
      </c>
      <c r="CA168" s="180">
        <v>15949</v>
      </c>
      <c r="CB168" s="180">
        <v>476335</v>
      </c>
      <c r="CC168" s="180">
        <v>8588</v>
      </c>
      <c r="CD168" s="180">
        <v>49535</v>
      </c>
      <c r="CE168" s="180"/>
      <c r="CF168" s="180">
        <v>742721</v>
      </c>
      <c r="CG168" s="180">
        <v>846698</v>
      </c>
      <c r="CH168" s="180">
        <v>187866</v>
      </c>
      <c r="CI168" s="180">
        <v>213477</v>
      </c>
      <c r="CJ168" s="180"/>
      <c r="CK168" s="180">
        <v>0</v>
      </c>
      <c r="CL168" s="180"/>
      <c r="CM168" s="180"/>
      <c r="CN168" s="180"/>
      <c r="CO168" s="180"/>
      <c r="CP168" s="180"/>
      <c r="CQ168" s="180"/>
      <c r="CR168" s="180"/>
      <c r="CS168" s="180"/>
      <c r="CT168" s="180"/>
      <c r="CU168" s="180"/>
    </row>
    <row r="169" spans="1:99" s="567" customFormat="1" x14ac:dyDescent="0.3">
      <c r="A169" s="566">
        <v>624</v>
      </c>
      <c r="B169" s="567" t="s">
        <v>357</v>
      </c>
      <c r="D169" s="567">
        <v>2</v>
      </c>
      <c r="E169" s="567">
        <v>1</v>
      </c>
      <c r="F169" s="567">
        <v>2</v>
      </c>
      <c r="G169" s="567">
        <v>1</v>
      </c>
      <c r="I169" s="567">
        <v>2</v>
      </c>
      <c r="J169" s="567">
        <v>1</v>
      </c>
      <c r="K169" s="567">
        <v>1</v>
      </c>
      <c r="L169" s="567">
        <v>1</v>
      </c>
      <c r="M169" s="567">
        <v>1</v>
      </c>
      <c r="O169" s="567">
        <v>2</v>
      </c>
      <c r="P169" s="567">
        <v>0</v>
      </c>
      <c r="Q169" s="567">
        <v>1</v>
      </c>
      <c r="R169" s="567">
        <v>1</v>
      </c>
      <c r="S169" s="567">
        <v>1</v>
      </c>
      <c r="T169" s="567">
        <v>2</v>
      </c>
      <c r="U169" s="567">
        <v>1</v>
      </c>
      <c r="V169" s="567">
        <v>1</v>
      </c>
      <c r="W169" s="567">
        <v>1</v>
      </c>
      <c r="X169" s="567">
        <v>1</v>
      </c>
      <c r="Y169" s="567">
        <v>1</v>
      </c>
      <c r="Z169" s="567">
        <v>1</v>
      </c>
      <c r="AA169" s="567">
        <v>1</v>
      </c>
      <c r="AB169" s="567">
        <v>1</v>
      </c>
      <c r="AD169" s="567">
        <v>1</v>
      </c>
      <c r="AE169" s="567">
        <v>2</v>
      </c>
      <c r="AF169" s="567">
        <v>2</v>
      </c>
      <c r="AG169" s="567">
        <v>1</v>
      </c>
      <c r="AH169" s="567">
        <v>1</v>
      </c>
      <c r="AI169" s="567">
        <v>0</v>
      </c>
      <c r="AJ169" s="567">
        <v>2</v>
      </c>
      <c r="AK169" s="567">
        <v>1</v>
      </c>
      <c r="AL169" s="567">
        <v>1</v>
      </c>
      <c r="AN169" s="567">
        <v>1</v>
      </c>
      <c r="AP169" s="567">
        <v>1</v>
      </c>
      <c r="AQ169" s="567">
        <v>1</v>
      </c>
      <c r="AR169" s="567">
        <v>1</v>
      </c>
      <c r="AS169" s="567">
        <v>1</v>
      </c>
      <c r="AT169" s="567">
        <v>2</v>
      </c>
      <c r="AU169" s="567">
        <v>0</v>
      </c>
      <c r="AV169" s="567">
        <v>1</v>
      </c>
      <c r="AW169" s="567">
        <v>1</v>
      </c>
      <c r="AX169" s="567">
        <v>1</v>
      </c>
      <c r="AY169" s="567">
        <v>1</v>
      </c>
      <c r="AZ169" s="567">
        <v>1</v>
      </c>
      <c r="BA169" s="567">
        <v>1</v>
      </c>
      <c r="BB169" s="567">
        <v>2</v>
      </c>
      <c r="BC169" s="567">
        <v>1</v>
      </c>
      <c r="BD169" s="567">
        <v>1</v>
      </c>
      <c r="BE169" s="567">
        <v>1</v>
      </c>
      <c r="BF169" s="567">
        <v>1</v>
      </c>
      <c r="BG169" s="567">
        <v>1</v>
      </c>
      <c r="BH169" s="567">
        <v>2</v>
      </c>
      <c r="BI169" s="567">
        <v>1</v>
      </c>
      <c r="BJ169" s="567">
        <v>2</v>
      </c>
      <c r="BK169" s="567">
        <v>1</v>
      </c>
      <c r="BL169" s="567">
        <v>2</v>
      </c>
      <c r="BM169" s="567">
        <v>2</v>
      </c>
      <c r="BN169" s="567">
        <v>1</v>
      </c>
      <c r="BO169" s="567">
        <v>1</v>
      </c>
      <c r="BP169" s="567">
        <v>1</v>
      </c>
      <c r="BQ169" s="567">
        <v>1</v>
      </c>
      <c r="BS169" s="567">
        <v>1</v>
      </c>
      <c r="BU169" s="567">
        <v>1</v>
      </c>
      <c r="BV169" s="567">
        <v>1</v>
      </c>
      <c r="BW169" s="567">
        <v>1</v>
      </c>
      <c r="BX169" s="567">
        <v>1</v>
      </c>
      <c r="BZ169" s="567">
        <v>2</v>
      </c>
      <c r="CA169" s="567">
        <v>2</v>
      </c>
      <c r="CB169" s="567">
        <v>1</v>
      </c>
      <c r="CC169" s="567">
        <v>1</v>
      </c>
      <c r="CD169" s="567">
        <v>1</v>
      </c>
      <c r="CF169" s="567">
        <v>2</v>
      </c>
      <c r="CG169" s="567">
        <v>1</v>
      </c>
      <c r="CH169" s="567">
        <v>1</v>
      </c>
      <c r="CI169" s="567">
        <v>0</v>
      </c>
      <c r="CK169" s="567">
        <v>1</v>
      </c>
    </row>
    <row r="170" spans="1:99" s="563" customFormat="1" x14ac:dyDescent="0.3">
      <c r="A170" s="562">
        <v>626</v>
      </c>
      <c r="B170" s="563" t="s">
        <v>961</v>
      </c>
      <c r="D170" s="563">
        <v>296092</v>
      </c>
      <c r="E170" s="563">
        <v>462628</v>
      </c>
      <c r="F170" s="563">
        <v>22416</v>
      </c>
      <c r="G170" s="563">
        <v>37723</v>
      </c>
      <c r="I170" s="563">
        <v>322103</v>
      </c>
      <c r="J170" s="563">
        <v>56397</v>
      </c>
      <c r="K170" s="563">
        <v>4986821</v>
      </c>
      <c r="L170" s="563">
        <v>0</v>
      </c>
      <c r="M170" s="563">
        <v>7403096</v>
      </c>
      <c r="O170" s="563">
        <v>86351942</v>
      </c>
      <c r="P170" s="563">
        <v>15597</v>
      </c>
      <c r="Q170" s="563">
        <v>5455</v>
      </c>
      <c r="R170" s="563">
        <v>430828</v>
      </c>
      <c r="S170" s="563">
        <v>330492</v>
      </c>
      <c r="T170" s="563">
        <v>309214</v>
      </c>
      <c r="U170" s="563">
        <v>49412</v>
      </c>
      <c r="V170" s="563">
        <v>98943</v>
      </c>
      <c r="W170" s="563">
        <v>34749</v>
      </c>
      <c r="X170" s="563">
        <v>31601722</v>
      </c>
      <c r="Y170" s="563">
        <v>451953000</v>
      </c>
      <c r="Z170" s="563">
        <v>1182572</v>
      </c>
      <c r="AA170" s="563">
        <v>46768</v>
      </c>
      <c r="AB170" s="563">
        <v>1375482</v>
      </c>
      <c r="AD170" s="563">
        <v>545476</v>
      </c>
      <c r="AE170" s="563">
        <v>211130</v>
      </c>
      <c r="AF170" s="563">
        <v>10117769</v>
      </c>
      <c r="AG170" s="563">
        <v>3059982</v>
      </c>
      <c r="AH170" s="563">
        <v>28561</v>
      </c>
      <c r="AI170" s="563">
        <v>1175794</v>
      </c>
      <c r="AJ170" s="563">
        <v>96035</v>
      </c>
      <c r="AK170" s="563">
        <v>13118</v>
      </c>
      <c r="AL170" s="563">
        <v>74103</v>
      </c>
      <c r="AN170" s="563">
        <v>10895</v>
      </c>
      <c r="AP170" s="563">
        <v>1299</v>
      </c>
      <c r="AQ170" s="563">
        <v>42220591</v>
      </c>
      <c r="AR170" s="563">
        <v>34454</v>
      </c>
      <c r="AS170" s="563">
        <v>238585</v>
      </c>
      <c r="AT170" s="563">
        <v>2223529</v>
      </c>
      <c r="AU170" s="563">
        <v>140552</v>
      </c>
      <c r="AV170" s="563">
        <v>2784</v>
      </c>
      <c r="AW170" s="563">
        <v>12732686</v>
      </c>
      <c r="AX170" s="563">
        <v>7813</v>
      </c>
      <c r="AY170" s="563">
        <v>930256</v>
      </c>
      <c r="AZ170" s="563">
        <v>332690</v>
      </c>
      <c r="BA170" s="563">
        <v>3008</v>
      </c>
      <c r="BB170" s="563">
        <v>2458</v>
      </c>
      <c r="BC170" s="563">
        <v>1391659</v>
      </c>
      <c r="BD170" s="563">
        <v>29863</v>
      </c>
      <c r="BE170" s="563">
        <v>5520651</v>
      </c>
      <c r="BF170" s="563">
        <v>53004</v>
      </c>
      <c r="BG170" s="563">
        <v>46289</v>
      </c>
      <c r="BH170" s="563">
        <v>137827</v>
      </c>
      <c r="BI170" s="563">
        <v>434852</v>
      </c>
      <c r="BJ170" s="563">
        <v>88109</v>
      </c>
      <c r="BK170" s="563">
        <v>237878</v>
      </c>
      <c r="BL170" s="563">
        <v>318272</v>
      </c>
      <c r="BM170" s="563">
        <v>87603</v>
      </c>
      <c r="BN170" s="563">
        <v>4389076</v>
      </c>
      <c r="BO170" s="563">
        <v>4564199</v>
      </c>
      <c r="BP170" s="563">
        <v>153531950</v>
      </c>
      <c r="BQ170" s="563">
        <v>36567</v>
      </c>
      <c r="BS170" s="563">
        <v>109232</v>
      </c>
      <c r="BU170" s="563">
        <v>104178</v>
      </c>
      <c r="BV170" s="563">
        <v>85629</v>
      </c>
      <c r="BW170" s="563">
        <v>2569511</v>
      </c>
      <c r="BX170" s="563">
        <v>1559896</v>
      </c>
      <c r="BZ170" s="563">
        <v>1453894</v>
      </c>
      <c r="CA170" s="563">
        <v>49055</v>
      </c>
      <c r="CB170" s="563">
        <v>441633</v>
      </c>
      <c r="CC170" s="563">
        <v>139435</v>
      </c>
      <c r="CD170" s="563">
        <v>90926</v>
      </c>
      <c r="CF170" s="563">
        <v>2305334</v>
      </c>
      <c r="CG170" s="563">
        <v>3097399</v>
      </c>
      <c r="CH170" s="563">
        <v>423956</v>
      </c>
      <c r="CI170" s="563">
        <v>1008591</v>
      </c>
      <c r="CK170" s="563">
        <v>647</v>
      </c>
    </row>
    <row r="171" spans="1:99" s="561" customFormat="1" x14ac:dyDescent="0.3">
      <c r="A171" s="560">
        <v>627</v>
      </c>
      <c r="B171" s="561" t="s">
        <v>962</v>
      </c>
      <c r="D171" s="561">
        <v>0</v>
      </c>
      <c r="E171" s="561">
        <v>0</v>
      </c>
      <c r="F171" s="561">
        <v>0</v>
      </c>
      <c r="G171" s="561">
        <v>0</v>
      </c>
      <c r="I171" s="561">
        <v>0</v>
      </c>
      <c r="J171" s="561">
        <v>0</v>
      </c>
      <c r="K171" s="561">
        <v>0</v>
      </c>
      <c r="L171" s="561">
        <v>0</v>
      </c>
      <c r="M171" s="561">
        <v>0</v>
      </c>
      <c r="O171" s="561">
        <v>0</v>
      </c>
      <c r="P171" s="561">
        <v>0</v>
      </c>
      <c r="Q171" s="561">
        <v>0</v>
      </c>
      <c r="R171" s="561">
        <v>79116</v>
      </c>
      <c r="S171" s="561">
        <v>0</v>
      </c>
      <c r="T171" s="561">
        <v>0</v>
      </c>
      <c r="U171" s="561">
        <v>0</v>
      </c>
      <c r="V171" s="561">
        <v>0</v>
      </c>
      <c r="W171" s="561">
        <v>0</v>
      </c>
      <c r="X171" s="561">
        <v>0</v>
      </c>
      <c r="Y171" s="561">
        <v>0</v>
      </c>
      <c r="Z171" s="561">
        <v>0</v>
      </c>
      <c r="AA171" s="561">
        <v>0</v>
      </c>
      <c r="AB171" s="561">
        <v>0</v>
      </c>
      <c r="AD171" s="561">
        <v>0</v>
      </c>
      <c r="AE171" s="561">
        <v>0</v>
      </c>
      <c r="AF171" s="561">
        <v>2136189</v>
      </c>
      <c r="AG171" s="561">
        <v>0</v>
      </c>
      <c r="AH171" s="561">
        <v>0</v>
      </c>
      <c r="AI171" s="561">
        <v>0</v>
      </c>
      <c r="AJ171" s="561">
        <v>0</v>
      </c>
      <c r="AK171" s="561">
        <v>0</v>
      </c>
      <c r="AL171" s="561">
        <v>0</v>
      </c>
      <c r="AN171" s="561">
        <v>0</v>
      </c>
      <c r="AP171" s="561">
        <v>0</v>
      </c>
      <c r="AQ171" s="561">
        <v>0</v>
      </c>
      <c r="AR171" s="561">
        <v>0</v>
      </c>
      <c r="AS171" s="561">
        <v>0</v>
      </c>
      <c r="AT171" s="561">
        <v>0</v>
      </c>
      <c r="AU171" s="561">
        <v>0</v>
      </c>
      <c r="AV171" s="561">
        <v>0</v>
      </c>
      <c r="AW171" s="561">
        <v>0</v>
      </c>
      <c r="AX171" s="561">
        <v>0</v>
      </c>
      <c r="AY171" s="561">
        <v>0</v>
      </c>
      <c r="AZ171" s="561">
        <v>0</v>
      </c>
      <c r="BA171" s="561">
        <v>0</v>
      </c>
      <c r="BB171" s="561">
        <v>0</v>
      </c>
      <c r="BC171" s="561">
        <v>0</v>
      </c>
      <c r="BD171" s="561">
        <v>0</v>
      </c>
      <c r="BE171" s="561">
        <v>969800</v>
      </c>
      <c r="BF171" s="561">
        <v>0</v>
      </c>
      <c r="BG171" s="561">
        <v>0</v>
      </c>
      <c r="BH171" s="561">
        <v>0</v>
      </c>
      <c r="BI171" s="561">
        <v>0</v>
      </c>
      <c r="BJ171" s="561">
        <v>0</v>
      </c>
      <c r="BK171" s="561">
        <v>0</v>
      </c>
      <c r="BL171" s="561">
        <v>0</v>
      </c>
      <c r="BM171" s="561">
        <v>0</v>
      </c>
      <c r="BN171" s="561">
        <v>0</v>
      </c>
      <c r="BO171" s="561">
        <v>0</v>
      </c>
      <c r="BP171" s="561">
        <v>0</v>
      </c>
      <c r="BQ171" s="561">
        <v>0</v>
      </c>
      <c r="BS171" s="561">
        <v>0</v>
      </c>
      <c r="BU171" s="561">
        <v>0</v>
      </c>
      <c r="BV171" s="561">
        <v>0</v>
      </c>
      <c r="BW171" s="561">
        <v>0</v>
      </c>
      <c r="BX171" s="561">
        <v>0</v>
      </c>
      <c r="BZ171" s="561">
        <v>0</v>
      </c>
      <c r="CA171" s="561">
        <v>0</v>
      </c>
      <c r="CB171" s="561">
        <v>0</v>
      </c>
      <c r="CC171" s="561">
        <v>0</v>
      </c>
      <c r="CD171" s="561">
        <v>62100</v>
      </c>
      <c r="CF171" s="561">
        <v>0</v>
      </c>
      <c r="CG171" s="561">
        <v>0</v>
      </c>
      <c r="CH171" s="561">
        <v>0</v>
      </c>
      <c r="CI171" s="561">
        <v>0</v>
      </c>
      <c r="CK171" s="561">
        <v>0</v>
      </c>
    </row>
    <row r="172" spans="1:99" s="561" customFormat="1" x14ac:dyDescent="0.3">
      <c r="A172" s="560">
        <v>628</v>
      </c>
      <c r="B172" s="561" t="s">
        <v>963</v>
      </c>
      <c r="D172" s="561">
        <v>0</v>
      </c>
      <c r="E172" s="561">
        <v>16300</v>
      </c>
      <c r="F172" s="561">
        <v>318</v>
      </c>
      <c r="G172" s="561">
        <v>1500</v>
      </c>
      <c r="I172" s="561">
        <v>0</v>
      </c>
      <c r="J172" s="561">
        <v>0</v>
      </c>
      <c r="K172" s="561">
        <v>0</v>
      </c>
      <c r="L172" s="561">
        <v>0</v>
      </c>
      <c r="M172" s="561">
        <v>650529</v>
      </c>
      <c r="O172" s="561">
        <v>8722819</v>
      </c>
      <c r="P172" s="561">
        <v>0</v>
      </c>
      <c r="Q172" s="561">
        <v>690</v>
      </c>
      <c r="R172" s="561">
        <v>8022</v>
      </c>
      <c r="S172" s="561">
        <v>4655</v>
      </c>
      <c r="T172" s="561">
        <v>10202</v>
      </c>
      <c r="U172" s="561">
        <v>0</v>
      </c>
      <c r="V172" s="561">
        <v>0</v>
      </c>
      <c r="W172" s="561">
        <v>0</v>
      </c>
      <c r="X172" s="561">
        <v>2638312</v>
      </c>
      <c r="Y172" s="561">
        <v>30658000</v>
      </c>
      <c r="Z172" s="561">
        <v>214217</v>
      </c>
      <c r="AA172" s="561">
        <v>0</v>
      </c>
      <c r="AB172" s="561">
        <v>63067</v>
      </c>
      <c r="AD172" s="561">
        <v>82400</v>
      </c>
      <c r="AE172" s="561">
        <v>5496</v>
      </c>
      <c r="AF172" s="561">
        <v>402965</v>
      </c>
      <c r="AG172" s="561">
        <v>70075</v>
      </c>
      <c r="AH172" s="561">
        <v>0</v>
      </c>
      <c r="AI172" s="561">
        <v>211000</v>
      </c>
      <c r="AJ172" s="561">
        <v>1689</v>
      </c>
      <c r="AK172" s="561">
        <v>8050</v>
      </c>
      <c r="AL172" s="561">
        <v>2479</v>
      </c>
      <c r="AN172" s="561">
        <v>2375</v>
      </c>
      <c r="AP172" s="561">
        <v>0</v>
      </c>
      <c r="AQ172" s="561">
        <v>3269033</v>
      </c>
      <c r="AR172" s="561">
        <v>0</v>
      </c>
      <c r="AS172" s="561">
        <v>0</v>
      </c>
      <c r="AT172" s="561">
        <v>178034</v>
      </c>
      <c r="AU172" s="561">
        <v>8200</v>
      </c>
      <c r="AV172" s="561">
        <v>0</v>
      </c>
      <c r="AW172" s="561">
        <v>781578</v>
      </c>
      <c r="AX172" s="561">
        <v>0</v>
      </c>
      <c r="AY172" s="561">
        <v>29855</v>
      </c>
      <c r="AZ172" s="561">
        <v>30219</v>
      </c>
      <c r="BA172" s="561">
        <v>2456</v>
      </c>
      <c r="BB172" s="561">
        <v>0</v>
      </c>
      <c r="BC172" s="561">
        <v>0</v>
      </c>
      <c r="BD172" s="561">
        <v>0</v>
      </c>
      <c r="BE172" s="561">
        <v>439252</v>
      </c>
      <c r="BF172" s="561">
        <v>25552</v>
      </c>
      <c r="BG172" s="561">
        <v>0</v>
      </c>
      <c r="BH172" s="561">
        <v>0</v>
      </c>
      <c r="BI172" s="561">
        <v>50320</v>
      </c>
      <c r="BJ172" s="561">
        <v>0</v>
      </c>
      <c r="BK172" s="561">
        <v>0</v>
      </c>
      <c r="BL172" s="561">
        <v>5000</v>
      </c>
      <c r="BM172" s="561">
        <v>0</v>
      </c>
      <c r="BN172" s="561">
        <v>0</v>
      </c>
      <c r="BO172" s="561">
        <v>306716</v>
      </c>
      <c r="BP172" s="561">
        <v>6053727</v>
      </c>
      <c r="BQ172" s="561">
        <v>0</v>
      </c>
      <c r="BS172" s="561">
        <v>5629</v>
      </c>
      <c r="BU172" s="561">
        <v>0</v>
      </c>
      <c r="BV172" s="561">
        <v>0</v>
      </c>
      <c r="BW172" s="561">
        <v>0</v>
      </c>
      <c r="BX172" s="561">
        <v>85000</v>
      </c>
      <c r="BZ172" s="561">
        <v>97817</v>
      </c>
      <c r="CA172" s="561">
        <v>1400</v>
      </c>
      <c r="CB172" s="561">
        <v>130269</v>
      </c>
      <c r="CC172" s="561">
        <v>0</v>
      </c>
      <c r="CD172" s="561">
        <v>9452</v>
      </c>
      <c r="CF172" s="561">
        <v>0</v>
      </c>
      <c r="CG172" s="561">
        <v>60000</v>
      </c>
      <c r="CH172" s="561">
        <v>12278</v>
      </c>
      <c r="CI172" s="561">
        <v>62460</v>
      </c>
      <c r="CK172" s="561">
        <v>0</v>
      </c>
    </row>
    <row r="173" spans="1:99" x14ac:dyDescent="0.3">
      <c r="A173" s="155">
        <v>629</v>
      </c>
      <c r="B173" s="180" t="s">
        <v>964</v>
      </c>
      <c r="C173" s="180"/>
      <c r="D173" s="180">
        <v>0</v>
      </c>
      <c r="E173" s="180">
        <v>0</v>
      </c>
      <c r="F173" s="180">
        <v>0</v>
      </c>
      <c r="G173" s="180">
        <v>0</v>
      </c>
      <c r="H173" s="180"/>
      <c r="I173" s="180">
        <v>0</v>
      </c>
      <c r="J173" s="180">
        <v>0</v>
      </c>
      <c r="K173" s="180">
        <v>0</v>
      </c>
      <c r="L173" s="180">
        <v>0</v>
      </c>
      <c r="M173" s="180">
        <v>85522</v>
      </c>
      <c r="N173" s="180"/>
      <c r="O173" s="180">
        <v>0</v>
      </c>
      <c r="P173" s="180">
        <v>0</v>
      </c>
      <c r="Q173" s="180">
        <v>0</v>
      </c>
      <c r="R173" s="180">
        <v>0</v>
      </c>
      <c r="S173" s="180">
        <v>0</v>
      </c>
      <c r="T173" s="180">
        <v>0</v>
      </c>
      <c r="U173" s="180">
        <v>0</v>
      </c>
      <c r="V173" s="180">
        <v>0</v>
      </c>
      <c r="W173" s="180">
        <v>0</v>
      </c>
      <c r="X173" s="180">
        <v>0</v>
      </c>
      <c r="Y173" s="180">
        <v>0</v>
      </c>
      <c r="Z173" s="180">
        <v>0</v>
      </c>
      <c r="AA173" s="180">
        <v>0</v>
      </c>
      <c r="AB173" s="180">
        <v>0</v>
      </c>
      <c r="AC173" s="180"/>
      <c r="AD173" s="180">
        <v>0</v>
      </c>
      <c r="AE173" s="180">
        <v>0</v>
      </c>
      <c r="AF173" s="180">
        <v>0</v>
      </c>
      <c r="AG173" s="180">
        <v>0</v>
      </c>
      <c r="AH173" s="180">
        <v>0</v>
      </c>
      <c r="AI173" s="180">
        <v>0</v>
      </c>
      <c r="AJ173" s="180">
        <v>0</v>
      </c>
      <c r="AK173" s="180">
        <v>0</v>
      </c>
      <c r="AL173" s="180">
        <v>0</v>
      </c>
      <c r="AM173" s="180"/>
      <c r="AN173" s="180">
        <v>0</v>
      </c>
      <c r="AO173" s="180"/>
      <c r="AP173" s="180">
        <v>0</v>
      </c>
      <c r="AQ173" s="180">
        <v>0</v>
      </c>
      <c r="AR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c r="BS173" s="180">
        <v>0</v>
      </c>
      <c r="BT173" s="180"/>
      <c r="BU173" s="180">
        <v>0</v>
      </c>
      <c r="BV173" s="180">
        <v>0</v>
      </c>
      <c r="BW173" s="180">
        <v>0</v>
      </c>
      <c r="BX173" s="180">
        <v>0</v>
      </c>
      <c r="BY173" s="180"/>
      <c r="BZ173" s="180">
        <v>0</v>
      </c>
      <c r="CA173" s="180">
        <v>0</v>
      </c>
      <c r="CB173" s="180">
        <v>0</v>
      </c>
      <c r="CC173" s="180">
        <v>0</v>
      </c>
      <c r="CD173" s="180">
        <v>0</v>
      </c>
      <c r="CE173" s="180"/>
      <c r="CF173" s="180">
        <v>0</v>
      </c>
      <c r="CG173" s="180">
        <v>0</v>
      </c>
      <c r="CH173" s="180">
        <v>0</v>
      </c>
      <c r="CI173" s="180">
        <v>0</v>
      </c>
      <c r="CJ173" s="180"/>
      <c r="CK173" s="180">
        <v>0</v>
      </c>
      <c r="CL173" s="180"/>
      <c r="CM173" s="180"/>
      <c r="CN173" s="180"/>
      <c r="CO173" s="180"/>
      <c r="CP173" s="180"/>
      <c r="CQ173" s="180"/>
      <c r="CR173" s="180"/>
      <c r="CS173" s="180"/>
      <c r="CT173" s="180"/>
      <c r="CU173" s="180"/>
    </row>
    <row r="174" spans="1:99" x14ac:dyDescent="0.3">
      <c r="A174" s="155">
        <v>630</v>
      </c>
      <c r="B174" s="180" t="s">
        <v>965</v>
      </c>
      <c r="C174" s="180"/>
      <c r="D174" s="180">
        <v>0</v>
      </c>
      <c r="E174" s="180">
        <v>235659</v>
      </c>
      <c r="F174" s="180">
        <v>0</v>
      </c>
      <c r="G174" s="180">
        <v>0</v>
      </c>
      <c r="H174" s="180"/>
      <c r="I174" s="180">
        <v>34286</v>
      </c>
      <c r="J174" s="180">
        <v>0</v>
      </c>
      <c r="K174" s="180">
        <v>2717056</v>
      </c>
      <c r="L174" s="180">
        <v>0</v>
      </c>
      <c r="M174" s="180">
        <v>42070</v>
      </c>
      <c r="N174" s="180"/>
      <c r="O174" s="180">
        <v>68000</v>
      </c>
      <c r="P174" s="180">
        <v>14583</v>
      </c>
      <c r="Q174" s="180">
        <v>0</v>
      </c>
      <c r="R174" s="180">
        <v>268679</v>
      </c>
      <c r="S174" s="180">
        <v>1000</v>
      </c>
      <c r="T174" s="180">
        <v>0</v>
      </c>
      <c r="U174" s="180">
        <v>40305</v>
      </c>
      <c r="V174" s="180">
        <v>0</v>
      </c>
      <c r="W174" s="180">
        <v>0</v>
      </c>
      <c r="X174" s="180">
        <v>4709744</v>
      </c>
      <c r="Y174" s="180">
        <v>34478000</v>
      </c>
      <c r="Z174" s="180">
        <v>0</v>
      </c>
      <c r="AA174" s="180">
        <v>0</v>
      </c>
      <c r="AB174" s="180">
        <v>812129</v>
      </c>
      <c r="AC174" s="180"/>
      <c r="AD174" s="180">
        <v>0</v>
      </c>
      <c r="AE174" s="180">
        <v>0</v>
      </c>
      <c r="AF174" s="180">
        <v>3965712</v>
      </c>
      <c r="AG174" s="180">
        <v>1764</v>
      </c>
      <c r="AH174" s="180">
        <v>3738</v>
      </c>
      <c r="AI174" s="180">
        <v>0</v>
      </c>
      <c r="AJ174" s="180">
        <v>0</v>
      </c>
      <c r="AK174" s="180">
        <v>0</v>
      </c>
      <c r="AL174" s="180">
        <v>1056</v>
      </c>
      <c r="AM174" s="180"/>
      <c r="AN174" s="180">
        <v>0</v>
      </c>
      <c r="AO174" s="180"/>
      <c r="AP174" s="180">
        <v>0</v>
      </c>
      <c r="AQ174" s="180">
        <v>4076769</v>
      </c>
      <c r="AR174" s="180">
        <v>0</v>
      </c>
      <c r="AS174" s="180">
        <v>0</v>
      </c>
      <c r="AT174" s="180">
        <v>0</v>
      </c>
      <c r="AU174" s="180">
        <v>0</v>
      </c>
      <c r="AV174" s="180">
        <v>0</v>
      </c>
      <c r="AW174" s="180">
        <v>0</v>
      </c>
      <c r="AX174" s="180">
        <v>0</v>
      </c>
      <c r="AY174" s="180">
        <v>0</v>
      </c>
      <c r="AZ174" s="180">
        <v>0</v>
      </c>
      <c r="BA174" s="180">
        <v>0</v>
      </c>
      <c r="BB174" s="180">
        <v>0</v>
      </c>
      <c r="BC174" s="180">
        <v>0</v>
      </c>
      <c r="BD174" s="180">
        <v>0</v>
      </c>
      <c r="BE174" s="180">
        <v>0</v>
      </c>
      <c r="BF174" s="180">
        <v>0</v>
      </c>
      <c r="BG174" s="180">
        <v>0</v>
      </c>
      <c r="BH174" s="180">
        <v>0</v>
      </c>
      <c r="BI174" s="180">
        <v>0</v>
      </c>
      <c r="BJ174" s="180">
        <v>51972</v>
      </c>
      <c r="BK174" s="180">
        <v>131252</v>
      </c>
      <c r="BL174" s="180">
        <v>0</v>
      </c>
      <c r="BM174" s="180">
        <v>0</v>
      </c>
      <c r="BN174" s="180">
        <v>591453</v>
      </c>
      <c r="BO174" s="180">
        <v>0</v>
      </c>
      <c r="BP174" s="180">
        <v>0</v>
      </c>
      <c r="BQ174" s="180">
        <v>35876</v>
      </c>
      <c r="BR174" s="180"/>
      <c r="BS174" s="180">
        <v>0</v>
      </c>
      <c r="BT174" s="180"/>
      <c r="BU174" s="180">
        <v>0</v>
      </c>
      <c r="BV174" s="180">
        <v>0</v>
      </c>
      <c r="BW174" s="180">
        <v>0</v>
      </c>
      <c r="BX174" s="180">
        <v>0</v>
      </c>
      <c r="BY174" s="180"/>
      <c r="BZ174" s="180">
        <v>0</v>
      </c>
      <c r="CA174" s="180">
        <v>0</v>
      </c>
      <c r="CB174" s="180">
        <v>0</v>
      </c>
      <c r="CC174" s="180">
        <v>132578</v>
      </c>
      <c r="CD174" s="180">
        <v>0</v>
      </c>
      <c r="CE174" s="180"/>
      <c r="CF174" s="180">
        <v>0</v>
      </c>
      <c r="CG174" s="180">
        <v>0</v>
      </c>
      <c r="CH174" s="180">
        <v>0</v>
      </c>
      <c r="CI174" s="180">
        <v>0</v>
      </c>
      <c r="CJ174" s="180"/>
      <c r="CK174" s="180">
        <v>0</v>
      </c>
      <c r="CL174" s="180"/>
      <c r="CM174" s="180"/>
      <c r="CN174" s="180"/>
      <c r="CO174" s="180"/>
      <c r="CP174" s="180"/>
      <c r="CQ174" s="180"/>
      <c r="CR174" s="180"/>
      <c r="CS174" s="180"/>
      <c r="CT174" s="180"/>
      <c r="CU174" s="180"/>
    </row>
    <row r="175" spans="1:99" x14ac:dyDescent="0.3">
      <c r="A175" s="155">
        <v>631</v>
      </c>
      <c r="B175" s="180" t="s">
        <v>966</v>
      </c>
      <c r="C175" s="180"/>
      <c r="D175" s="180">
        <v>0</v>
      </c>
      <c r="E175" s="180">
        <v>0</v>
      </c>
      <c r="F175" s="180">
        <v>0</v>
      </c>
      <c r="G175" s="180">
        <v>0</v>
      </c>
      <c r="H175" s="180"/>
      <c r="I175" s="180">
        <v>0</v>
      </c>
      <c r="J175" s="180">
        <v>0</v>
      </c>
      <c r="K175" s="180">
        <v>0</v>
      </c>
      <c r="L175" s="180">
        <v>0</v>
      </c>
      <c r="M175" s="180">
        <v>294451</v>
      </c>
      <c r="N175" s="180"/>
      <c r="O175" s="180">
        <v>0</v>
      </c>
      <c r="P175" s="180">
        <v>0</v>
      </c>
      <c r="Q175" s="180">
        <v>0</v>
      </c>
      <c r="R175" s="180">
        <v>0</v>
      </c>
      <c r="S175" s="180">
        <v>0</v>
      </c>
      <c r="T175" s="180">
        <v>0</v>
      </c>
      <c r="U175" s="180">
        <v>0</v>
      </c>
      <c r="V175" s="180">
        <v>0</v>
      </c>
      <c r="W175" s="180">
        <v>0</v>
      </c>
      <c r="X175" s="180">
        <v>0</v>
      </c>
      <c r="Y175" s="180">
        <v>0</v>
      </c>
      <c r="Z175" s="180">
        <v>0</v>
      </c>
      <c r="AA175" s="180">
        <v>0</v>
      </c>
      <c r="AB175" s="180">
        <v>0</v>
      </c>
      <c r="AC175" s="180"/>
      <c r="AD175" s="180">
        <v>0</v>
      </c>
      <c r="AE175" s="180">
        <v>0</v>
      </c>
      <c r="AF175" s="180">
        <v>0</v>
      </c>
      <c r="AG175" s="180">
        <v>0</v>
      </c>
      <c r="AH175" s="180">
        <v>0</v>
      </c>
      <c r="AI175" s="180">
        <v>0</v>
      </c>
      <c r="AJ175" s="180">
        <v>0</v>
      </c>
      <c r="AK175" s="180">
        <v>0</v>
      </c>
      <c r="AL175" s="180">
        <v>0</v>
      </c>
      <c r="AM175" s="180"/>
      <c r="AN175" s="180">
        <v>0</v>
      </c>
      <c r="AO175" s="180"/>
      <c r="AP175" s="180">
        <v>0</v>
      </c>
      <c r="AQ175" s="180">
        <v>0</v>
      </c>
      <c r="AR175" s="180">
        <v>0</v>
      </c>
      <c r="AS175" s="180">
        <v>0</v>
      </c>
      <c r="AT175" s="180">
        <v>0</v>
      </c>
      <c r="AU175" s="180">
        <v>96822</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c r="BS175" s="180">
        <v>0</v>
      </c>
      <c r="BT175" s="180"/>
      <c r="BU175" s="180">
        <v>0</v>
      </c>
      <c r="BV175" s="180">
        <v>0</v>
      </c>
      <c r="BW175" s="180">
        <v>0</v>
      </c>
      <c r="BX175" s="180">
        <v>0</v>
      </c>
      <c r="BY175" s="180"/>
      <c r="BZ175" s="180">
        <v>0</v>
      </c>
      <c r="CA175" s="180">
        <v>0</v>
      </c>
      <c r="CB175" s="180">
        <v>0</v>
      </c>
      <c r="CC175" s="180">
        <v>0</v>
      </c>
      <c r="CD175" s="180">
        <v>0</v>
      </c>
      <c r="CE175" s="180"/>
      <c r="CF175" s="180">
        <v>0</v>
      </c>
      <c r="CG175" s="180">
        <v>0</v>
      </c>
      <c r="CH175" s="180">
        <v>0</v>
      </c>
      <c r="CI175" s="180">
        <v>0</v>
      </c>
      <c r="CJ175" s="180"/>
      <c r="CK175" s="180">
        <v>0</v>
      </c>
      <c r="CL175" s="180"/>
      <c r="CM175" s="180"/>
      <c r="CN175" s="180"/>
      <c r="CO175" s="180"/>
      <c r="CP175" s="180"/>
      <c r="CQ175" s="180"/>
      <c r="CR175" s="180"/>
      <c r="CS175" s="180"/>
      <c r="CT175" s="180"/>
      <c r="CU175" s="180"/>
    </row>
    <row r="176" spans="1:99" x14ac:dyDescent="0.3">
      <c r="A176" s="155">
        <v>632</v>
      </c>
      <c r="B176" s="180" t="s">
        <v>967</v>
      </c>
      <c r="C176" s="180"/>
      <c r="D176" s="180">
        <v>0</v>
      </c>
      <c r="E176" s="180">
        <v>0</v>
      </c>
      <c r="F176" s="180">
        <v>0</v>
      </c>
      <c r="G176" s="180">
        <v>0</v>
      </c>
      <c r="H176" s="180"/>
      <c r="I176" s="180">
        <v>0</v>
      </c>
      <c r="J176" s="180">
        <v>0</v>
      </c>
      <c r="K176" s="180">
        <v>0</v>
      </c>
      <c r="L176" s="180">
        <v>0</v>
      </c>
      <c r="M176" s="180">
        <v>0</v>
      </c>
      <c r="N176" s="180"/>
      <c r="O176" s="180">
        <v>0</v>
      </c>
      <c r="P176" s="180">
        <v>0</v>
      </c>
      <c r="Q176" s="180">
        <v>0</v>
      </c>
      <c r="R176" s="180">
        <v>0</v>
      </c>
      <c r="S176" s="180">
        <v>0</v>
      </c>
      <c r="T176" s="180">
        <v>0</v>
      </c>
      <c r="U176" s="180">
        <v>0</v>
      </c>
      <c r="V176" s="180">
        <v>0</v>
      </c>
      <c r="W176" s="180">
        <v>0</v>
      </c>
      <c r="X176" s="180">
        <v>0</v>
      </c>
      <c r="Y176" s="180">
        <v>0</v>
      </c>
      <c r="Z176" s="180">
        <v>0</v>
      </c>
      <c r="AA176" s="180">
        <v>0</v>
      </c>
      <c r="AB176" s="180">
        <v>0</v>
      </c>
      <c r="AC176" s="180"/>
      <c r="AD176" s="180">
        <v>0</v>
      </c>
      <c r="AE176" s="180">
        <v>0</v>
      </c>
      <c r="AF176" s="180">
        <v>0</v>
      </c>
      <c r="AG176" s="180">
        <v>0</v>
      </c>
      <c r="AH176" s="180">
        <v>0</v>
      </c>
      <c r="AI176" s="180">
        <v>0</v>
      </c>
      <c r="AJ176" s="180">
        <v>0</v>
      </c>
      <c r="AK176" s="180">
        <v>0</v>
      </c>
      <c r="AL176" s="180">
        <v>0</v>
      </c>
      <c r="AM176" s="180"/>
      <c r="AN176" s="180">
        <v>0</v>
      </c>
      <c r="AO176" s="180"/>
      <c r="AP176" s="180">
        <v>0</v>
      </c>
      <c r="AQ176" s="180">
        <v>0</v>
      </c>
      <c r="AR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c r="BS176" s="180">
        <v>0</v>
      </c>
      <c r="BT176" s="180"/>
      <c r="BU176" s="180">
        <v>0</v>
      </c>
      <c r="BV176" s="180">
        <v>0</v>
      </c>
      <c r="BW176" s="180">
        <v>0</v>
      </c>
      <c r="BX176" s="180">
        <v>0</v>
      </c>
      <c r="BY176" s="180"/>
      <c r="BZ176" s="180">
        <v>0</v>
      </c>
      <c r="CA176" s="180">
        <v>0</v>
      </c>
      <c r="CB176" s="180">
        <v>0</v>
      </c>
      <c r="CC176" s="180">
        <v>0</v>
      </c>
      <c r="CD176" s="180">
        <v>0</v>
      </c>
      <c r="CE176" s="180"/>
      <c r="CF176" s="180">
        <v>0</v>
      </c>
      <c r="CG176" s="180">
        <v>0</v>
      </c>
      <c r="CH176" s="180">
        <v>0</v>
      </c>
      <c r="CI176" s="180">
        <v>0</v>
      </c>
      <c r="CJ176" s="180"/>
      <c r="CK176" s="180">
        <v>0</v>
      </c>
      <c r="CL176" s="180"/>
      <c r="CM176" s="180"/>
      <c r="CN176" s="180"/>
      <c r="CO176" s="180"/>
      <c r="CP176" s="180"/>
      <c r="CQ176" s="180"/>
      <c r="CR176" s="180"/>
      <c r="CS176" s="180"/>
      <c r="CT176" s="180"/>
      <c r="CU176" s="180"/>
    </row>
    <row r="177" spans="1:99" x14ac:dyDescent="0.3">
      <c r="A177" s="155">
        <v>633</v>
      </c>
      <c r="B177" s="180" t="s">
        <v>373</v>
      </c>
      <c r="C177" s="180"/>
      <c r="D177" s="180">
        <v>3003</v>
      </c>
      <c r="E177" s="180">
        <v>0</v>
      </c>
      <c r="F177" s="180">
        <v>22386</v>
      </c>
      <c r="G177" s="180">
        <v>198196</v>
      </c>
      <c r="H177" s="180"/>
      <c r="I177" s="180">
        <v>445683</v>
      </c>
      <c r="J177" s="180">
        <v>0</v>
      </c>
      <c r="K177" s="180">
        <v>4352811</v>
      </c>
      <c r="L177" s="180">
        <v>0</v>
      </c>
      <c r="M177" s="180">
        <v>0</v>
      </c>
      <c r="N177" s="180"/>
      <c r="O177" s="180">
        <v>18419530</v>
      </c>
      <c r="P177" s="180">
        <v>0</v>
      </c>
      <c r="Q177" s="180">
        <v>0</v>
      </c>
      <c r="R177" s="180">
        <v>0</v>
      </c>
      <c r="S177" s="180">
        <v>0</v>
      </c>
      <c r="T177" s="180">
        <v>0</v>
      </c>
      <c r="U177" s="180">
        <v>0</v>
      </c>
      <c r="V177" s="180">
        <v>9724</v>
      </c>
      <c r="W177" s="180">
        <v>252246</v>
      </c>
      <c r="X177" s="180">
        <v>0</v>
      </c>
      <c r="Y177" s="180">
        <v>280657000</v>
      </c>
      <c r="Z177" s="180">
        <v>1471796</v>
      </c>
      <c r="AA177" s="180">
        <v>5301</v>
      </c>
      <c r="AB177" s="180">
        <v>0</v>
      </c>
      <c r="AC177" s="180"/>
      <c r="AD177" s="180">
        <v>356808</v>
      </c>
      <c r="AE177" s="180">
        <v>46126</v>
      </c>
      <c r="AF177" s="180">
        <v>10205573</v>
      </c>
      <c r="AG177" s="180">
        <v>0</v>
      </c>
      <c r="AH177" s="180">
        <v>12550</v>
      </c>
      <c r="AI177" s="180">
        <v>810635</v>
      </c>
      <c r="AJ177" s="180">
        <v>322664</v>
      </c>
      <c r="AK177" s="180">
        <v>123272</v>
      </c>
      <c r="AL177" s="180">
        <v>83943</v>
      </c>
      <c r="AM177" s="180"/>
      <c r="AN177" s="180">
        <v>142461</v>
      </c>
      <c r="AO177" s="180"/>
      <c r="AP177" s="180">
        <v>0</v>
      </c>
      <c r="AQ177" s="180">
        <v>5230060</v>
      </c>
      <c r="AR177" s="180">
        <v>0</v>
      </c>
      <c r="AS177" s="180">
        <v>0</v>
      </c>
      <c r="AT177" s="180">
        <v>711957</v>
      </c>
      <c r="AU177" s="180">
        <v>121367</v>
      </c>
      <c r="AV177" s="180">
        <v>0</v>
      </c>
      <c r="AW177" s="180">
        <v>0</v>
      </c>
      <c r="AX177" s="180">
        <v>105140</v>
      </c>
      <c r="AY177" s="180">
        <v>0</v>
      </c>
      <c r="AZ177" s="180">
        <v>0</v>
      </c>
      <c r="BA177" s="180">
        <v>61064</v>
      </c>
      <c r="BB177" s="180">
        <v>4750</v>
      </c>
      <c r="BC177" s="180">
        <v>322153</v>
      </c>
      <c r="BD177" s="180">
        <v>0</v>
      </c>
      <c r="BE177" s="180">
        <v>0</v>
      </c>
      <c r="BF177" s="180">
        <v>323795</v>
      </c>
      <c r="BG177" s="180">
        <v>0</v>
      </c>
      <c r="BH177" s="180">
        <v>0</v>
      </c>
      <c r="BI177" s="180">
        <v>216892</v>
      </c>
      <c r="BJ177" s="180">
        <v>0</v>
      </c>
      <c r="BK177" s="180">
        <v>201326</v>
      </c>
      <c r="BL177" s="180">
        <v>2156669</v>
      </c>
      <c r="BM177" s="180">
        <v>104305</v>
      </c>
      <c r="BN177" s="180">
        <v>0</v>
      </c>
      <c r="BO177" s="180">
        <v>2136184</v>
      </c>
      <c r="BP177" s="180">
        <v>42014017</v>
      </c>
      <c r="BQ177" s="180">
        <v>0</v>
      </c>
      <c r="BR177" s="180"/>
      <c r="BS177" s="180">
        <v>34793</v>
      </c>
      <c r="BT177" s="180"/>
      <c r="BU177" s="180">
        <v>25850</v>
      </c>
      <c r="BV177" s="180">
        <v>0</v>
      </c>
      <c r="BW177" s="180">
        <v>2140597</v>
      </c>
      <c r="BX177" s="180">
        <v>186285</v>
      </c>
      <c r="BY177" s="180"/>
      <c r="BZ177" s="180">
        <v>296378</v>
      </c>
      <c r="CA177" s="180">
        <v>39425</v>
      </c>
      <c r="CB177" s="180">
        <v>246755</v>
      </c>
      <c r="CC177" s="180">
        <v>56073</v>
      </c>
      <c r="CD177" s="180">
        <v>108017</v>
      </c>
      <c r="CE177" s="180"/>
      <c r="CF177" s="180">
        <v>572647</v>
      </c>
      <c r="CG177" s="180">
        <v>0</v>
      </c>
      <c r="CH177" s="180">
        <v>159843</v>
      </c>
      <c r="CI177" s="180">
        <v>0</v>
      </c>
      <c r="CJ177" s="180"/>
      <c r="CK177" s="180">
        <v>20129</v>
      </c>
      <c r="CL177" s="180"/>
      <c r="CM177" s="180"/>
      <c r="CN177" s="180"/>
      <c r="CO177" s="180"/>
      <c r="CP177" s="180"/>
      <c r="CQ177" s="180"/>
      <c r="CR177" s="180"/>
      <c r="CS177" s="180"/>
      <c r="CT177" s="180"/>
      <c r="CU177" s="180"/>
    </row>
    <row r="178" spans="1:99" x14ac:dyDescent="0.3">
      <c r="A178" s="155">
        <v>634</v>
      </c>
      <c r="B178" s="180" t="s">
        <v>374</v>
      </c>
      <c r="C178" s="180"/>
      <c r="D178" s="180">
        <v>0</v>
      </c>
      <c r="E178" s="180">
        <v>0</v>
      </c>
      <c r="F178" s="180">
        <v>0</v>
      </c>
      <c r="G178" s="180">
        <v>0</v>
      </c>
      <c r="H178" s="180"/>
      <c r="I178" s="180">
        <v>0</v>
      </c>
      <c r="J178" s="180">
        <v>0</v>
      </c>
      <c r="K178" s="180">
        <v>0</v>
      </c>
      <c r="L178" s="180">
        <v>0</v>
      </c>
      <c r="M178" s="180">
        <v>0</v>
      </c>
      <c r="N178" s="180"/>
      <c r="O178" s="180">
        <v>0</v>
      </c>
      <c r="P178" s="180">
        <v>0</v>
      </c>
      <c r="Q178" s="180">
        <v>0</v>
      </c>
      <c r="R178" s="180">
        <v>0</v>
      </c>
      <c r="S178" s="180">
        <v>0</v>
      </c>
      <c r="T178" s="180">
        <v>0</v>
      </c>
      <c r="U178" s="180">
        <v>0</v>
      </c>
      <c r="V178" s="180">
        <v>0</v>
      </c>
      <c r="W178" s="180">
        <v>0</v>
      </c>
      <c r="X178" s="180">
        <v>0</v>
      </c>
      <c r="Y178" s="180">
        <v>0</v>
      </c>
      <c r="Z178" s="180">
        <v>0</v>
      </c>
      <c r="AA178" s="180">
        <v>0</v>
      </c>
      <c r="AB178" s="180">
        <v>0</v>
      </c>
      <c r="AC178" s="180"/>
      <c r="AD178" s="180">
        <v>0</v>
      </c>
      <c r="AE178" s="180">
        <v>0</v>
      </c>
      <c r="AF178" s="180">
        <v>1021169</v>
      </c>
      <c r="AG178" s="180">
        <v>0</v>
      </c>
      <c r="AH178" s="180">
        <v>0</v>
      </c>
      <c r="AI178" s="180">
        <v>98000</v>
      </c>
      <c r="AJ178" s="180">
        <v>0</v>
      </c>
      <c r="AK178" s="180">
        <v>0</v>
      </c>
      <c r="AL178" s="180">
        <v>0</v>
      </c>
      <c r="AM178" s="180"/>
      <c r="AN178" s="180">
        <v>0</v>
      </c>
      <c r="AO178" s="180"/>
      <c r="AP178" s="180">
        <v>0</v>
      </c>
      <c r="AQ178" s="180">
        <v>0</v>
      </c>
      <c r="AR178" s="180">
        <v>0</v>
      </c>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v>0</v>
      </c>
      <c r="BO178" s="180">
        <v>141000</v>
      </c>
      <c r="BP178" s="180">
        <v>0</v>
      </c>
      <c r="BQ178" s="180">
        <v>0</v>
      </c>
      <c r="BR178" s="180"/>
      <c r="BS178" s="180">
        <v>0</v>
      </c>
      <c r="BT178" s="180"/>
      <c r="BU178" s="180">
        <v>0</v>
      </c>
      <c r="BV178" s="180">
        <v>0</v>
      </c>
      <c r="BW178" s="180">
        <v>0</v>
      </c>
      <c r="BX178" s="180">
        <v>0</v>
      </c>
      <c r="BY178" s="180"/>
      <c r="BZ178" s="180">
        <v>0</v>
      </c>
      <c r="CA178" s="180">
        <v>0</v>
      </c>
      <c r="CB178" s="180">
        <v>0</v>
      </c>
      <c r="CC178" s="180">
        <v>0</v>
      </c>
      <c r="CD178" s="180">
        <v>36000</v>
      </c>
      <c r="CE178" s="180"/>
      <c r="CF178" s="180">
        <v>0</v>
      </c>
      <c r="CG178" s="180">
        <v>0</v>
      </c>
      <c r="CH178" s="180">
        <v>0</v>
      </c>
      <c r="CI178" s="180">
        <v>0</v>
      </c>
      <c r="CJ178" s="180"/>
      <c r="CK178" s="180">
        <v>0</v>
      </c>
      <c r="CL178" s="180"/>
      <c r="CM178" s="180"/>
      <c r="CN178" s="180"/>
      <c r="CO178" s="180"/>
      <c r="CP178" s="180"/>
      <c r="CQ178" s="180"/>
      <c r="CR178" s="180"/>
      <c r="CS178" s="180"/>
      <c r="CT178" s="180"/>
      <c r="CU178" s="180"/>
    </row>
    <row r="179" spans="1:99" x14ac:dyDescent="0.3">
      <c r="A179" s="155">
        <v>635</v>
      </c>
      <c r="B179" s="180" t="s">
        <v>375</v>
      </c>
      <c r="C179" s="180"/>
      <c r="D179" s="180">
        <v>0</v>
      </c>
      <c r="E179" s="180">
        <v>0</v>
      </c>
      <c r="F179" s="180">
        <v>2348</v>
      </c>
      <c r="G179" s="180">
        <v>1436</v>
      </c>
      <c r="H179" s="180"/>
      <c r="I179" s="180">
        <v>49604</v>
      </c>
      <c r="J179" s="180">
        <v>0</v>
      </c>
      <c r="K179" s="180">
        <v>0</v>
      </c>
      <c r="L179" s="180">
        <v>0</v>
      </c>
      <c r="M179" s="180">
        <v>0</v>
      </c>
      <c r="N179" s="180"/>
      <c r="O179" s="180">
        <v>1498489</v>
      </c>
      <c r="P179" s="180">
        <v>0</v>
      </c>
      <c r="Q179" s="180">
        <v>0</v>
      </c>
      <c r="R179" s="180">
        <v>0</v>
      </c>
      <c r="S179" s="180">
        <v>0</v>
      </c>
      <c r="T179" s="180">
        <v>0</v>
      </c>
      <c r="U179" s="180">
        <v>0</v>
      </c>
      <c r="V179" s="180">
        <v>0</v>
      </c>
      <c r="W179" s="180">
        <v>0</v>
      </c>
      <c r="X179" s="180">
        <v>0</v>
      </c>
      <c r="Y179" s="180">
        <v>3295000</v>
      </c>
      <c r="Z179" s="180">
        <v>53713</v>
      </c>
      <c r="AA179" s="180">
        <v>0</v>
      </c>
      <c r="AB179" s="180">
        <v>0</v>
      </c>
      <c r="AC179" s="180"/>
      <c r="AD179" s="180">
        <v>14500</v>
      </c>
      <c r="AE179" s="180">
        <v>1676</v>
      </c>
      <c r="AF179" s="180">
        <v>42598</v>
      </c>
      <c r="AG179" s="180">
        <v>0</v>
      </c>
      <c r="AH179" s="180">
        <v>0</v>
      </c>
      <c r="AI179" s="180">
        <v>59000</v>
      </c>
      <c r="AJ179" s="180">
        <v>2066</v>
      </c>
      <c r="AK179" s="180">
        <v>9231</v>
      </c>
      <c r="AL179" s="180">
        <v>0</v>
      </c>
      <c r="AM179" s="180"/>
      <c r="AN179" s="180">
        <v>1408</v>
      </c>
      <c r="AO179" s="180"/>
      <c r="AP179" s="180">
        <v>0</v>
      </c>
      <c r="AQ179" s="180">
        <v>298952</v>
      </c>
      <c r="AR179" s="180">
        <v>0</v>
      </c>
      <c r="AS179" s="180">
        <v>0</v>
      </c>
      <c r="AT179" s="180">
        <v>30383</v>
      </c>
      <c r="AU179" s="180">
        <v>0</v>
      </c>
      <c r="AV179" s="180">
        <v>0</v>
      </c>
      <c r="AW179" s="180">
        <v>0</v>
      </c>
      <c r="AX179" s="180">
        <v>0</v>
      </c>
      <c r="AY179" s="180">
        <v>0</v>
      </c>
      <c r="AZ179" s="180">
        <v>0</v>
      </c>
      <c r="BA179" s="180">
        <v>5252</v>
      </c>
      <c r="BB179" s="180">
        <v>0</v>
      </c>
      <c r="BC179" s="180">
        <v>0</v>
      </c>
      <c r="BD179" s="180">
        <v>0</v>
      </c>
      <c r="BE179" s="180">
        <v>0</v>
      </c>
      <c r="BF179" s="180">
        <v>28425</v>
      </c>
      <c r="BG179" s="180">
        <v>0</v>
      </c>
      <c r="BH179" s="180">
        <v>0</v>
      </c>
      <c r="BI179" s="180">
        <v>70340</v>
      </c>
      <c r="BJ179" s="180">
        <v>0</v>
      </c>
      <c r="BK179" s="180">
        <v>0</v>
      </c>
      <c r="BL179" s="180">
        <v>2000</v>
      </c>
      <c r="BM179" s="180">
        <v>0</v>
      </c>
      <c r="BN179" s="180">
        <v>0</v>
      </c>
      <c r="BO179" s="180">
        <v>0</v>
      </c>
      <c r="BP179" s="180">
        <v>1069374</v>
      </c>
      <c r="BQ179" s="180">
        <v>0</v>
      </c>
      <c r="BR179" s="180"/>
      <c r="BS179" s="180">
        <v>2822</v>
      </c>
      <c r="BT179" s="180"/>
      <c r="BU179" s="180">
        <v>0</v>
      </c>
      <c r="BV179" s="180">
        <v>0</v>
      </c>
      <c r="BW179" s="180">
        <v>0</v>
      </c>
      <c r="BX179" s="180">
        <v>15281</v>
      </c>
      <c r="BY179" s="180"/>
      <c r="BZ179" s="180">
        <v>7713</v>
      </c>
      <c r="CA179" s="180">
        <v>3000</v>
      </c>
      <c r="CB179" s="180">
        <v>12030</v>
      </c>
      <c r="CC179" s="180">
        <v>0</v>
      </c>
      <c r="CD179" s="180">
        <v>3373</v>
      </c>
      <c r="CE179" s="180"/>
      <c r="CF179" s="180">
        <v>34677</v>
      </c>
      <c r="CG179" s="180">
        <v>0</v>
      </c>
      <c r="CH179" s="180">
        <v>7377</v>
      </c>
      <c r="CI179" s="180">
        <v>0</v>
      </c>
      <c r="CJ179" s="180"/>
      <c r="CK179" s="180">
        <v>0</v>
      </c>
      <c r="CL179" s="180"/>
      <c r="CM179" s="180"/>
      <c r="CN179" s="180"/>
      <c r="CO179" s="180"/>
      <c r="CP179" s="180"/>
      <c r="CQ179" s="180"/>
      <c r="CR179" s="180"/>
      <c r="CS179" s="180"/>
      <c r="CT179" s="180"/>
      <c r="CU179" s="180"/>
    </row>
    <row r="180" spans="1:99" x14ac:dyDescent="0.3">
      <c r="A180" s="155">
        <v>636</v>
      </c>
      <c r="B180" s="180" t="s">
        <v>1710</v>
      </c>
      <c r="C180" s="180"/>
      <c r="D180" s="180">
        <v>0</v>
      </c>
      <c r="E180" s="180">
        <v>0</v>
      </c>
      <c r="F180" s="180">
        <v>0</v>
      </c>
      <c r="G180" s="180">
        <v>0</v>
      </c>
      <c r="H180" s="180"/>
      <c r="I180" s="180">
        <v>0</v>
      </c>
      <c r="J180" s="180">
        <v>0</v>
      </c>
      <c r="K180" s="180">
        <v>0</v>
      </c>
      <c r="L180" s="180">
        <v>0</v>
      </c>
      <c r="M180" s="180">
        <v>0</v>
      </c>
      <c r="N180" s="180"/>
      <c r="O180" s="180">
        <v>0</v>
      </c>
      <c r="P180" s="180">
        <v>0</v>
      </c>
      <c r="Q180" s="180">
        <v>0</v>
      </c>
      <c r="R180" s="180">
        <v>0</v>
      </c>
      <c r="S180" s="180">
        <v>0</v>
      </c>
      <c r="T180" s="180">
        <v>0</v>
      </c>
      <c r="U180" s="180">
        <v>0</v>
      </c>
      <c r="V180" s="180">
        <v>0</v>
      </c>
      <c r="W180" s="180">
        <v>0</v>
      </c>
      <c r="X180" s="180">
        <v>0</v>
      </c>
      <c r="Y180" s="180">
        <v>0</v>
      </c>
      <c r="Z180" s="180">
        <v>0</v>
      </c>
      <c r="AA180" s="180">
        <v>0</v>
      </c>
      <c r="AB180" s="180">
        <v>0</v>
      </c>
      <c r="AC180" s="180"/>
      <c r="AD180" s="180">
        <v>0</v>
      </c>
      <c r="AE180" s="180">
        <v>0</v>
      </c>
      <c r="AF180" s="180">
        <v>0</v>
      </c>
      <c r="AG180" s="180">
        <v>0</v>
      </c>
      <c r="AH180" s="180">
        <v>0</v>
      </c>
      <c r="AI180" s="180">
        <v>0</v>
      </c>
      <c r="AJ180" s="180">
        <v>0</v>
      </c>
      <c r="AK180" s="180">
        <v>0</v>
      </c>
      <c r="AL180" s="180">
        <v>0</v>
      </c>
      <c r="AM180" s="180"/>
      <c r="AN180" s="180">
        <v>0</v>
      </c>
      <c r="AO180" s="180"/>
      <c r="AP180" s="180">
        <v>0</v>
      </c>
      <c r="AQ180" s="180">
        <v>0</v>
      </c>
      <c r="AR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c r="BS180" s="180">
        <v>0</v>
      </c>
      <c r="BT180" s="180"/>
      <c r="BU180" s="180">
        <v>0</v>
      </c>
      <c r="BV180" s="180">
        <v>0</v>
      </c>
      <c r="BW180" s="180">
        <v>0</v>
      </c>
      <c r="BX180" s="180">
        <v>0</v>
      </c>
      <c r="BY180" s="180"/>
      <c r="BZ180" s="180">
        <v>0</v>
      </c>
      <c r="CA180" s="180">
        <v>0</v>
      </c>
      <c r="CB180" s="180">
        <v>0</v>
      </c>
      <c r="CC180" s="180">
        <v>0</v>
      </c>
      <c r="CD180" s="180">
        <v>16842</v>
      </c>
      <c r="CE180" s="180"/>
      <c r="CF180" s="180">
        <v>0</v>
      </c>
      <c r="CG180" s="180">
        <v>0</v>
      </c>
      <c r="CH180" s="180">
        <v>0</v>
      </c>
      <c r="CI180" s="180">
        <v>0</v>
      </c>
      <c r="CJ180" s="180"/>
      <c r="CK180" s="180">
        <v>0</v>
      </c>
      <c r="CL180" s="180"/>
      <c r="CM180" s="180"/>
      <c r="CN180" s="180"/>
      <c r="CO180" s="180"/>
      <c r="CP180" s="180"/>
      <c r="CQ180" s="180"/>
      <c r="CR180" s="180"/>
      <c r="CS180" s="180"/>
      <c r="CT180" s="180"/>
      <c r="CU180" s="180"/>
    </row>
    <row r="181" spans="1:99" x14ac:dyDescent="0.3">
      <c r="A181" s="155">
        <v>637</v>
      </c>
      <c r="B181" s="180" t="s">
        <v>1711</v>
      </c>
      <c r="C181" s="180"/>
      <c r="D181" s="180">
        <v>0</v>
      </c>
      <c r="E181" s="180">
        <v>0</v>
      </c>
      <c r="F181" s="180">
        <v>0</v>
      </c>
      <c r="G181" s="180">
        <v>3464</v>
      </c>
      <c r="H181" s="180"/>
      <c r="I181" s="180">
        <v>6335</v>
      </c>
      <c r="J181" s="180">
        <v>0</v>
      </c>
      <c r="K181" s="180">
        <v>1961640</v>
      </c>
      <c r="L181" s="180">
        <v>0</v>
      </c>
      <c r="M181" s="180">
        <v>0</v>
      </c>
      <c r="N181" s="180"/>
      <c r="O181" s="180">
        <v>0</v>
      </c>
      <c r="P181" s="180">
        <v>0</v>
      </c>
      <c r="Q181" s="180">
        <v>0</v>
      </c>
      <c r="R181" s="180">
        <v>0</v>
      </c>
      <c r="S181" s="180">
        <v>0</v>
      </c>
      <c r="T181" s="180">
        <v>0</v>
      </c>
      <c r="U181" s="180">
        <v>0</v>
      </c>
      <c r="V181" s="180">
        <v>0</v>
      </c>
      <c r="W181" s="180">
        <v>0</v>
      </c>
      <c r="X181" s="180">
        <v>0</v>
      </c>
      <c r="Y181" s="180">
        <v>0</v>
      </c>
      <c r="Z181" s="180">
        <v>81717</v>
      </c>
      <c r="AA181" s="180">
        <v>0</v>
      </c>
      <c r="AB181" s="180">
        <v>0</v>
      </c>
      <c r="AC181" s="180"/>
      <c r="AD181" s="180">
        <v>48754</v>
      </c>
      <c r="AE181" s="180">
        <v>0</v>
      </c>
      <c r="AF181" s="180">
        <v>0</v>
      </c>
      <c r="AG181" s="180">
        <v>0</v>
      </c>
      <c r="AH181" s="180">
        <v>12550</v>
      </c>
      <c r="AI181" s="180">
        <v>0</v>
      </c>
      <c r="AJ181" s="180">
        <v>249821</v>
      </c>
      <c r="AK181" s="180">
        <v>62876</v>
      </c>
      <c r="AL181" s="180">
        <v>3350</v>
      </c>
      <c r="AM181" s="180"/>
      <c r="AN181" s="180">
        <v>0</v>
      </c>
      <c r="AO181" s="180"/>
      <c r="AP181" s="180">
        <v>0</v>
      </c>
      <c r="AQ181" s="180">
        <v>0</v>
      </c>
      <c r="AR181" s="180">
        <v>0</v>
      </c>
      <c r="AS181" s="180">
        <v>0</v>
      </c>
      <c r="AT181" s="180">
        <v>0</v>
      </c>
      <c r="AU181" s="180">
        <v>0</v>
      </c>
      <c r="AV181" s="180">
        <v>0</v>
      </c>
      <c r="AW181" s="180">
        <v>0</v>
      </c>
      <c r="AX181" s="180">
        <v>0</v>
      </c>
      <c r="AY181" s="180">
        <v>0</v>
      </c>
      <c r="AZ181" s="180">
        <v>0</v>
      </c>
      <c r="BA181" s="180">
        <v>44188</v>
      </c>
      <c r="BB181" s="180">
        <v>4750</v>
      </c>
      <c r="BC181" s="180">
        <v>77254</v>
      </c>
      <c r="BD181" s="180">
        <v>0</v>
      </c>
      <c r="BE181" s="180">
        <v>0</v>
      </c>
      <c r="BF181" s="180">
        <v>48930</v>
      </c>
      <c r="BG181" s="180">
        <v>0</v>
      </c>
      <c r="BH181" s="180">
        <v>0</v>
      </c>
      <c r="BI181" s="180">
        <v>24658</v>
      </c>
      <c r="BJ181" s="180">
        <v>0</v>
      </c>
      <c r="BK181" s="180">
        <v>20837</v>
      </c>
      <c r="BL181" s="180">
        <v>0</v>
      </c>
      <c r="BM181" s="180">
        <v>22800</v>
      </c>
      <c r="BN181" s="180">
        <v>0</v>
      </c>
      <c r="BO181" s="180">
        <v>0</v>
      </c>
      <c r="BP181" s="180">
        <v>0</v>
      </c>
      <c r="BQ181" s="180">
        <v>0</v>
      </c>
      <c r="BR181" s="180"/>
      <c r="BS181" s="180">
        <v>0</v>
      </c>
      <c r="BT181" s="180"/>
      <c r="BU181" s="180">
        <v>25850</v>
      </c>
      <c r="BV181" s="180">
        <v>0</v>
      </c>
      <c r="BW181" s="180">
        <v>366045</v>
      </c>
      <c r="BX181" s="180">
        <v>0</v>
      </c>
      <c r="BY181" s="180"/>
      <c r="BZ181" s="180">
        <v>0</v>
      </c>
      <c r="CA181" s="180">
        <v>26515</v>
      </c>
      <c r="CB181" s="180">
        <v>41605</v>
      </c>
      <c r="CC181" s="180">
        <v>55420</v>
      </c>
      <c r="CD181" s="180">
        <v>0</v>
      </c>
      <c r="CE181" s="180"/>
      <c r="CF181" s="180">
        <v>47783</v>
      </c>
      <c r="CG181" s="180">
        <v>0</v>
      </c>
      <c r="CH181" s="180">
        <v>43145</v>
      </c>
      <c r="CI181" s="180">
        <v>0</v>
      </c>
      <c r="CJ181" s="180"/>
      <c r="CK181" s="180">
        <v>0</v>
      </c>
      <c r="CL181" s="180"/>
      <c r="CM181" s="180"/>
      <c r="CN181" s="180"/>
      <c r="CO181" s="180"/>
      <c r="CP181" s="180"/>
      <c r="CQ181" s="180"/>
      <c r="CR181" s="180"/>
      <c r="CS181" s="180"/>
      <c r="CT181" s="180"/>
      <c r="CU181" s="180"/>
    </row>
    <row r="182" spans="1:99" x14ac:dyDescent="0.3">
      <c r="A182" s="155">
        <v>638</v>
      </c>
      <c r="B182" s="180" t="s">
        <v>1712</v>
      </c>
      <c r="C182" s="180"/>
      <c r="D182" s="180">
        <v>0</v>
      </c>
      <c r="E182" s="180">
        <v>0</v>
      </c>
      <c r="F182" s="180">
        <v>0</v>
      </c>
      <c r="G182" s="180">
        <v>0</v>
      </c>
      <c r="H182" s="180"/>
      <c r="I182" s="180">
        <v>0</v>
      </c>
      <c r="J182" s="180">
        <v>0</v>
      </c>
      <c r="K182" s="180">
        <v>0</v>
      </c>
      <c r="L182" s="180">
        <v>0</v>
      </c>
      <c r="M182" s="180">
        <v>0</v>
      </c>
      <c r="N182" s="180"/>
      <c r="O182" s="180">
        <v>0</v>
      </c>
      <c r="P182" s="180">
        <v>0</v>
      </c>
      <c r="Q182" s="180">
        <v>0</v>
      </c>
      <c r="R182" s="180">
        <v>0</v>
      </c>
      <c r="S182" s="180">
        <v>0</v>
      </c>
      <c r="T182" s="180">
        <v>0</v>
      </c>
      <c r="U182" s="180">
        <v>0</v>
      </c>
      <c r="V182" s="180">
        <v>0</v>
      </c>
      <c r="W182" s="180">
        <v>0</v>
      </c>
      <c r="X182" s="180">
        <v>0</v>
      </c>
      <c r="Y182" s="180">
        <v>0</v>
      </c>
      <c r="Z182" s="180">
        <v>0</v>
      </c>
      <c r="AA182" s="180">
        <v>0</v>
      </c>
      <c r="AB182" s="180">
        <v>0</v>
      </c>
      <c r="AC182" s="180"/>
      <c r="AD182" s="180">
        <v>0</v>
      </c>
      <c r="AE182" s="180">
        <v>0</v>
      </c>
      <c r="AF182" s="180">
        <v>0</v>
      </c>
      <c r="AG182" s="180">
        <v>0</v>
      </c>
      <c r="AH182" s="180">
        <v>0</v>
      </c>
      <c r="AI182" s="180">
        <v>0</v>
      </c>
      <c r="AJ182" s="180">
        <v>0</v>
      </c>
      <c r="AK182" s="180">
        <v>0</v>
      </c>
      <c r="AL182" s="180">
        <v>0</v>
      </c>
      <c r="AM182" s="180"/>
      <c r="AN182" s="180">
        <v>0</v>
      </c>
      <c r="AO182" s="180"/>
      <c r="AP182" s="180">
        <v>0</v>
      </c>
      <c r="AQ182" s="180">
        <v>0</v>
      </c>
      <c r="AR182" s="180">
        <v>0</v>
      </c>
      <c r="AS182" s="180">
        <v>0</v>
      </c>
      <c r="AT182" s="180">
        <v>0</v>
      </c>
      <c r="AU182" s="180">
        <v>52135</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c r="BS182" s="180">
        <v>0</v>
      </c>
      <c r="BT182" s="180"/>
      <c r="BU182" s="180">
        <v>0</v>
      </c>
      <c r="BV182" s="180">
        <v>0</v>
      </c>
      <c r="BW182" s="180">
        <v>0</v>
      </c>
      <c r="BX182" s="180">
        <v>0</v>
      </c>
      <c r="BY182" s="180"/>
      <c r="BZ182" s="180">
        <v>0</v>
      </c>
      <c r="CA182" s="180">
        <v>0</v>
      </c>
      <c r="CB182" s="180">
        <v>0</v>
      </c>
      <c r="CC182" s="180">
        <v>0</v>
      </c>
      <c r="CD182" s="180">
        <v>50249</v>
      </c>
      <c r="CE182" s="180"/>
      <c r="CF182" s="180">
        <v>0</v>
      </c>
      <c r="CG182" s="180">
        <v>0</v>
      </c>
      <c r="CH182" s="180">
        <v>0</v>
      </c>
      <c r="CI182" s="180">
        <v>0</v>
      </c>
      <c r="CJ182" s="180"/>
      <c r="CK182" s="180">
        <v>0</v>
      </c>
      <c r="CL182" s="180"/>
      <c r="CM182" s="180"/>
      <c r="CN182" s="180"/>
      <c r="CO182" s="180"/>
      <c r="CP182" s="180"/>
      <c r="CQ182" s="180"/>
      <c r="CR182" s="180"/>
      <c r="CS182" s="180"/>
      <c r="CT182" s="180"/>
      <c r="CU182" s="180"/>
    </row>
    <row r="183" spans="1:99" x14ac:dyDescent="0.3">
      <c r="A183" s="155">
        <v>639</v>
      </c>
      <c r="B183" s="180" t="s">
        <v>1713</v>
      </c>
      <c r="C183" s="180"/>
      <c r="D183" s="180">
        <v>0</v>
      </c>
      <c r="E183" s="180">
        <v>0</v>
      </c>
      <c r="F183" s="180">
        <v>0</v>
      </c>
      <c r="G183" s="180">
        <v>0</v>
      </c>
      <c r="H183" s="180"/>
      <c r="I183" s="180">
        <v>0</v>
      </c>
      <c r="J183" s="180">
        <v>0</v>
      </c>
      <c r="K183" s="180">
        <v>0</v>
      </c>
      <c r="L183" s="180">
        <v>0</v>
      </c>
      <c r="M183" s="180">
        <v>0</v>
      </c>
      <c r="N183" s="180"/>
      <c r="O183" s="180">
        <v>0</v>
      </c>
      <c r="P183" s="180">
        <v>0</v>
      </c>
      <c r="Q183" s="180">
        <v>0</v>
      </c>
      <c r="R183" s="180">
        <v>0</v>
      </c>
      <c r="S183" s="180">
        <v>0</v>
      </c>
      <c r="T183" s="180">
        <v>0</v>
      </c>
      <c r="U183" s="180">
        <v>0</v>
      </c>
      <c r="V183" s="180">
        <v>0</v>
      </c>
      <c r="W183" s="180">
        <v>0</v>
      </c>
      <c r="X183" s="180">
        <v>0</v>
      </c>
      <c r="Y183" s="180">
        <v>0</v>
      </c>
      <c r="Z183" s="180">
        <v>655367</v>
      </c>
      <c r="AA183" s="180">
        <v>0</v>
      </c>
      <c r="AB183" s="180">
        <v>0</v>
      </c>
      <c r="AC183" s="180"/>
      <c r="AD183" s="180">
        <v>0</v>
      </c>
      <c r="AE183" s="180">
        <v>0</v>
      </c>
      <c r="AF183" s="180">
        <v>2994458</v>
      </c>
      <c r="AG183" s="180">
        <v>0</v>
      </c>
      <c r="AH183" s="180">
        <v>0</v>
      </c>
      <c r="AI183" s="180">
        <v>0</v>
      </c>
      <c r="AJ183" s="180">
        <v>0</v>
      </c>
      <c r="AK183" s="180">
        <v>0</v>
      </c>
      <c r="AL183" s="180">
        <v>0</v>
      </c>
      <c r="AM183" s="180"/>
      <c r="AN183" s="180">
        <v>0</v>
      </c>
      <c r="AO183" s="180"/>
      <c r="AP183" s="180">
        <v>0</v>
      </c>
      <c r="AQ183" s="180">
        <v>12781324</v>
      </c>
      <c r="AR183" s="180">
        <v>0</v>
      </c>
      <c r="AS183" s="180">
        <v>0</v>
      </c>
      <c r="AT183" s="180">
        <v>0</v>
      </c>
      <c r="AU183" s="180">
        <v>0</v>
      </c>
      <c r="AV183" s="180">
        <v>0</v>
      </c>
      <c r="AW183" s="180">
        <v>1108656</v>
      </c>
      <c r="AX183" s="180">
        <v>0</v>
      </c>
      <c r="AY183" s="180">
        <v>0</v>
      </c>
      <c r="AZ183" s="180">
        <v>0</v>
      </c>
      <c r="BA183" s="180">
        <v>0</v>
      </c>
      <c r="BB183" s="180">
        <v>0</v>
      </c>
      <c r="BC183" s="180">
        <v>723720</v>
      </c>
      <c r="BD183" s="180">
        <v>0</v>
      </c>
      <c r="BE183" s="180">
        <v>0</v>
      </c>
      <c r="BF183" s="180">
        <v>0</v>
      </c>
      <c r="BG183" s="180">
        <v>0</v>
      </c>
      <c r="BH183" s="180">
        <v>0</v>
      </c>
      <c r="BI183" s="180">
        <v>0</v>
      </c>
      <c r="BJ183" s="180">
        <v>0</v>
      </c>
      <c r="BK183" s="180">
        <v>0</v>
      </c>
      <c r="BL183" s="180">
        <v>234258</v>
      </c>
      <c r="BM183" s="180">
        <v>0</v>
      </c>
      <c r="BN183" s="180">
        <v>0</v>
      </c>
      <c r="BO183" s="180">
        <v>0</v>
      </c>
      <c r="BP183" s="180">
        <v>0</v>
      </c>
      <c r="BQ183" s="180">
        <v>0</v>
      </c>
      <c r="BR183" s="180"/>
      <c r="BS183" s="180">
        <v>0</v>
      </c>
      <c r="BT183" s="180"/>
      <c r="BU183" s="180">
        <v>0</v>
      </c>
      <c r="BV183" s="180">
        <v>0</v>
      </c>
      <c r="BW183" s="180">
        <v>0</v>
      </c>
      <c r="BX183" s="180">
        <v>1124418</v>
      </c>
      <c r="BY183" s="180"/>
      <c r="BZ183" s="180">
        <v>0</v>
      </c>
      <c r="CA183" s="180">
        <v>0</v>
      </c>
      <c r="CB183" s="180">
        <v>0</v>
      </c>
      <c r="CC183" s="180">
        <v>0</v>
      </c>
      <c r="CD183" s="180">
        <v>0</v>
      </c>
      <c r="CE183" s="180"/>
      <c r="CF183" s="180">
        <v>0</v>
      </c>
      <c r="CG183" s="180">
        <v>0</v>
      </c>
      <c r="CH183" s="180">
        <v>572416</v>
      </c>
      <c r="CI183" s="180">
        <v>0</v>
      </c>
      <c r="CJ183" s="180"/>
      <c r="CK183" s="180">
        <v>0</v>
      </c>
      <c r="CL183" s="180"/>
      <c r="CM183" s="180"/>
      <c r="CN183" s="180"/>
      <c r="CO183" s="180"/>
      <c r="CP183" s="180"/>
      <c r="CQ183" s="180"/>
      <c r="CR183" s="180"/>
      <c r="CS183" s="180"/>
      <c r="CT183" s="180"/>
      <c r="CU183" s="180"/>
    </row>
    <row r="184" spans="1:99" x14ac:dyDescent="0.3">
      <c r="A184" s="155">
        <v>640</v>
      </c>
      <c r="B184" s="180" t="s">
        <v>1714</v>
      </c>
      <c r="C184" s="180"/>
      <c r="D184" s="180">
        <v>0</v>
      </c>
      <c r="E184" s="180">
        <v>0</v>
      </c>
      <c r="F184" s="180">
        <v>0</v>
      </c>
      <c r="G184" s="180">
        <v>0</v>
      </c>
      <c r="H184" s="180"/>
      <c r="I184" s="180">
        <v>0</v>
      </c>
      <c r="J184" s="180">
        <v>0</v>
      </c>
      <c r="K184" s="180">
        <v>0</v>
      </c>
      <c r="L184" s="180">
        <v>0</v>
      </c>
      <c r="M184" s="180">
        <v>0</v>
      </c>
      <c r="N184" s="180"/>
      <c r="O184" s="180">
        <v>0</v>
      </c>
      <c r="P184" s="180">
        <v>0</v>
      </c>
      <c r="Q184" s="180">
        <v>0</v>
      </c>
      <c r="R184" s="180">
        <v>0</v>
      </c>
      <c r="S184" s="180">
        <v>0</v>
      </c>
      <c r="T184" s="180">
        <v>0</v>
      </c>
      <c r="U184" s="180">
        <v>0</v>
      </c>
      <c r="V184" s="180">
        <v>0</v>
      </c>
      <c r="W184" s="180">
        <v>0</v>
      </c>
      <c r="X184" s="180">
        <v>0</v>
      </c>
      <c r="Y184" s="180">
        <v>0</v>
      </c>
      <c r="Z184" s="180">
        <v>0</v>
      </c>
      <c r="AA184" s="180">
        <v>0</v>
      </c>
      <c r="AB184" s="180">
        <v>0</v>
      </c>
      <c r="AC184" s="180"/>
      <c r="AD184" s="180">
        <v>0</v>
      </c>
      <c r="AE184" s="180">
        <v>0</v>
      </c>
      <c r="AF184" s="180">
        <v>454396</v>
      </c>
      <c r="AG184" s="180">
        <v>0</v>
      </c>
      <c r="AH184" s="180">
        <v>0</v>
      </c>
      <c r="AI184" s="180">
        <v>0</v>
      </c>
      <c r="AJ184" s="180">
        <v>0</v>
      </c>
      <c r="AK184" s="180">
        <v>0</v>
      </c>
      <c r="AL184" s="180">
        <v>0</v>
      </c>
      <c r="AM184" s="180"/>
      <c r="AN184" s="180">
        <v>0</v>
      </c>
      <c r="AO184" s="180"/>
      <c r="AP184" s="180">
        <v>0</v>
      </c>
      <c r="AQ184" s="180">
        <v>0</v>
      </c>
      <c r="AR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c r="BS184" s="180">
        <v>0</v>
      </c>
      <c r="BT184" s="180"/>
      <c r="BU184" s="180">
        <v>0</v>
      </c>
      <c r="BV184" s="180">
        <v>0</v>
      </c>
      <c r="BW184" s="180">
        <v>0</v>
      </c>
      <c r="BX184" s="180">
        <v>0</v>
      </c>
      <c r="BY184" s="180"/>
      <c r="BZ184" s="180">
        <v>0</v>
      </c>
      <c r="CA184" s="180">
        <v>0</v>
      </c>
      <c r="CB184" s="180">
        <v>0</v>
      </c>
      <c r="CC184" s="180">
        <v>0</v>
      </c>
      <c r="CD184" s="180">
        <v>0</v>
      </c>
      <c r="CE184" s="180"/>
      <c r="CF184" s="180">
        <v>0</v>
      </c>
      <c r="CG184" s="180">
        <v>0</v>
      </c>
      <c r="CH184" s="180">
        <v>0</v>
      </c>
      <c r="CI184" s="180">
        <v>0</v>
      </c>
      <c r="CJ184" s="180"/>
      <c r="CK184" s="180">
        <v>0</v>
      </c>
      <c r="CL184" s="180"/>
      <c r="CM184" s="180"/>
      <c r="CN184" s="180"/>
      <c r="CO184" s="180"/>
      <c r="CP184" s="180"/>
      <c r="CQ184" s="180"/>
      <c r="CR184" s="180"/>
      <c r="CS184" s="180"/>
      <c r="CT184" s="180"/>
      <c r="CU184" s="180"/>
    </row>
    <row r="185" spans="1:99" x14ac:dyDescent="0.3">
      <c r="A185" s="155">
        <v>641</v>
      </c>
      <c r="B185" s="180" t="s">
        <v>1715</v>
      </c>
      <c r="C185" s="180"/>
      <c r="D185" s="180">
        <v>0</v>
      </c>
      <c r="E185" s="180">
        <v>0</v>
      </c>
      <c r="F185" s="180">
        <v>0</v>
      </c>
      <c r="G185" s="180">
        <v>0</v>
      </c>
      <c r="H185" s="180"/>
      <c r="I185" s="180">
        <v>0</v>
      </c>
      <c r="J185" s="180">
        <v>0</v>
      </c>
      <c r="K185" s="180">
        <v>0</v>
      </c>
      <c r="L185" s="180">
        <v>0</v>
      </c>
      <c r="M185" s="180">
        <v>0</v>
      </c>
      <c r="N185" s="180"/>
      <c r="O185" s="180">
        <v>0</v>
      </c>
      <c r="P185" s="180">
        <v>0</v>
      </c>
      <c r="Q185" s="180">
        <v>0</v>
      </c>
      <c r="R185" s="180">
        <v>0</v>
      </c>
      <c r="S185" s="180">
        <v>0</v>
      </c>
      <c r="T185" s="180">
        <v>0</v>
      </c>
      <c r="U185" s="180">
        <v>0</v>
      </c>
      <c r="V185" s="180">
        <v>0</v>
      </c>
      <c r="W185" s="180">
        <v>0</v>
      </c>
      <c r="X185" s="180">
        <v>0</v>
      </c>
      <c r="Y185" s="180">
        <v>0</v>
      </c>
      <c r="Z185" s="180">
        <v>44253</v>
      </c>
      <c r="AA185" s="180">
        <v>0</v>
      </c>
      <c r="AB185" s="180">
        <v>0</v>
      </c>
      <c r="AC185" s="180"/>
      <c r="AD185" s="180">
        <v>0</v>
      </c>
      <c r="AE185" s="180">
        <v>0</v>
      </c>
      <c r="AF185" s="180">
        <v>29024</v>
      </c>
      <c r="AG185" s="180">
        <v>0</v>
      </c>
      <c r="AH185" s="180">
        <v>0</v>
      </c>
      <c r="AI185" s="180">
        <v>0</v>
      </c>
      <c r="AJ185" s="180">
        <v>0</v>
      </c>
      <c r="AK185" s="180">
        <v>0</v>
      </c>
      <c r="AL185" s="180">
        <v>0</v>
      </c>
      <c r="AM185" s="180"/>
      <c r="AN185" s="180">
        <v>0</v>
      </c>
      <c r="AO185" s="180"/>
      <c r="AP185" s="180">
        <v>0</v>
      </c>
      <c r="AQ185" s="180">
        <v>380603</v>
      </c>
      <c r="AR185" s="180">
        <v>0</v>
      </c>
      <c r="AS185" s="180">
        <v>0</v>
      </c>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v>4000</v>
      </c>
      <c r="BM185" s="180">
        <v>0</v>
      </c>
      <c r="BN185" s="180">
        <v>0</v>
      </c>
      <c r="BO185" s="180">
        <v>0</v>
      </c>
      <c r="BP185" s="180">
        <v>0</v>
      </c>
      <c r="BQ185" s="180">
        <v>0</v>
      </c>
      <c r="BR185" s="180"/>
      <c r="BS185" s="180">
        <v>0</v>
      </c>
      <c r="BT185" s="180"/>
      <c r="BU185" s="180">
        <v>0</v>
      </c>
      <c r="BV185" s="180">
        <v>0</v>
      </c>
      <c r="BW185" s="180">
        <v>0</v>
      </c>
      <c r="BX185" s="180">
        <v>14918</v>
      </c>
      <c r="BY185" s="180"/>
      <c r="BZ185" s="180">
        <v>0</v>
      </c>
      <c r="CA185" s="180">
        <v>0</v>
      </c>
      <c r="CB185" s="180">
        <v>0</v>
      </c>
      <c r="CC185" s="180">
        <v>0</v>
      </c>
      <c r="CD185" s="180">
        <v>0</v>
      </c>
      <c r="CE185" s="180"/>
      <c r="CF185" s="180">
        <v>0</v>
      </c>
      <c r="CG185" s="180">
        <v>0</v>
      </c>
      <c r="CH185" s="180">
        <v>9548</v>
      </c>
      <c r="CI185" s="180">
        <v>0</v>
      </c>
      <c r="CJ185" s="180"/>
      <c r="CK185" s="180">
        <v>0</v>
      </c>
      <c r="CL185" s="180"/>
      <c r="CM185" s="180"/>
      <c r="CN185" s="180"/>
      <c r="CO185" s="180"/>
      <c r="CP185" s="180"/>
      <c r="CQ185" s="180"/>
      <c r="CR185" s="180"/>
      <c r="CS185" s="180"/>
      <c r="CT185" s="180"/>
      <c r="CU185" s="180"/>
    </row>
    <row r="186" spans="1:99" x14ac:dyDescent="0.3">
      <c r="A186" s="155">
        <v>642</v>
      </c>
      <c r="B186" s="180" t="s">
        <v>1716</v>
      </c>
      <c r="C186" s="180"/>
      <c r="D186" s="180">
        <v>0</v>
      </c>
      <c r="E186" s="180">
        <v>0</v>
      </c>
      <c r="F186" s="180">
        <v>0</v>
      </c>
      <c r="G186" s="180">
        <v>0</v>
      </c>
      <c r="H186" s="180"/>
      <c r="I186" s="180">
        <v>0</v>
      </c>
      <c r="J186" s="180">
        <v>0</v>
      </c>
      <c r="K186" s="180">
        <v>0</v>
      </c>
      <c r="L186" s="180">
        <v>0</v>
      </c>
      <c r="M186" s="180">
        <v>0</v>
      </c>
      <c r="N186" s="180"/>
      <c r="O186" s="180">
        <v>0</v>
      </c>
      <c r="P186" s="180">
        <v>0</v>
      </c>
      <c r="Q186" s="180">
        <v>0</v>
      </c>
      <c r="R186" s="180">
        <v>0</v>
      </c>
      <c r="S186" s="180">
        <v>0</v>
      </c>
      <c r="T186" s="180">
        <v>0</v>
      </c>
      <c r="U186" s="180">
        <v>0</v>
      </c>
      <c r="V186" s="180">
        <v>0</v>
      </c>
      <c r="W186" s="180">
        <v>0</v>
      </c>
      <c r="X186" s="180">
        <v>0</v>
      </c>
      <c r="Y186" s="180">
        <v>0</v>
      </c>
      <c r="Z186" s="180">
        <v>0</v>
      </c>
      <c r="AA186" s="180">
        <v>0</v>
      </c>
      <c r="AB186" s="180">
        <v>0</v>
      </c>
      <c r="AC186" s="180"/>
      <c r="AD186" s="180">
        <v>0</v>
      </c>
      <c r="AE186" s="180">
        <v>0</v>
      </c>
      <c r="AF186" s="180">
        <v>0</v>
      </c>
      <c r="AG186" s="180">
        <v>0</v>
      </c>
      <c r="AH186" s="180">
        <v>0</v>
      </c>
      <c r="AI186" s="180">
        <v>0</v>
      </c>
      <c r="AJ186" s="180">
        <v>0</v>
      </c>
      <c r="AK186" s="180">
        <v>0</v>
      </c>
      <c r="AL186" s="180">
        <v>0</v>
      </c>
      <c r="AM186" s="180"/>
      <c r="AN186" s="180">
        <v>0</v>
      </c>
      <c r="AO186" s="180"/>
      <c r="AP186" s="180">
        <v>0</v>
      </c>
      <c r="AQ186" s="180">
        <v>0</v>
      </c>
      <c r="AR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c r="BS186" s="180">
        <v>0</v>
      </c>
      <c r="BT186" s="180"/>
      <c r="BU186" s="180">
        <v>0</v>
      </c>
      <c r="BV186" s="180">
        <v>0</v>
      </c>
      <c r="BW186" s="180">
        <v>0</v>
      </c>
      <c r="BX186" s="180">
        <v>0</v>
      </c>
      <c r="BY186" s="180"/>
      <c r="BZ186" s="180">
        <v>0</v>
      </c>
      <c r="CA186" s="180">
        <v>0</v>
      </c>
      <c r="CB186" s="180">
        <v>0</v>
      </c>
      <c r="CC186" s="180">
        <v>0</v>
      </c>
      <c r="CD186" s="180">
        <v>0</v>
      </c>
      <c r="CE186" s="180"/>
      <c r="CF186" s="180">
        <v>0</v>
      </c>
      <c r="CG186" s="180">
        <v>0</v>
      </c>
      <c r="CH186" s="180">
        <v>0</v>
      </c>
      <c r="CI186" s="180">
        <v>0</v>
      </c>
      <c r="CJ186" s="180"/>
      <c r="CK186" s="180">
        <v>0</v>
      </c>
      <c r="CL186" s="180"/>
      <c r="CM186" s="180"/>
      <c r="CN186" s="180"/>
      <c r="CO186" s="180"/>
      <c r="CP186" s="180"/>
      <c r="CQ186" s="180"/>
      <c r="CR186" s="180"/>
      <c r="CS186" s="180"/>
      <c r="CT186" s="180"/>
      <c r="CU186" s="180"/>
    </row>
    <row r="187" spans="1:99" x14ac:dyDescent="0.3">
      <c r="A187" s="155">
        <v>643</v>
      </c>
      <c r="B187" s="180" t="s">
        <v>1717</v>
      </c>
      <c r="C187" s="180"/>
      <c r="D187" s="180">
        <v>0</v>
      </c>
      <c r="E187" s="180">
        <v>0</v>
      </c>
      <c r="F187" s="180">
        <v>0</v>
      </c>
      <c r="G187" s="180">
        <v>0</v>
      </c>
      <c r="H187" s="180"/>
      <c r="I187" s="180">
        <v>0</v>
      </c>
      <c r="J187" s="180">
        <v>0</v>
      </c>
      <c r="K187" s="180">
        <v>0</v>
      </c>
      <c r="L187" s="180">
        <v>0</v>
      </c>
      <c r="M187" s="180">
        <v>0</v>
      </c>
      <c r="N187" s="180"/>
      <c r="O187" s="180">
        <v>0</v>
      </c>
      <c r="P187" s="180">
        <v>0</v>
      </c>
      <c r="Q187" s="180">
        <v>0</v>
      </c>
      <c r="R187" s="180">
        <v>0</v>
      </c>
      <c r="S187" s="180">
        <v>0</v>
      </c>
      <c r="T187" s="180">
        <v>0</v>
      </c>
      <c r="U187" s="180">
        <v>0</v>
      </c>
      <c r="V187" s="180">
        <v>0</v>
      </c>
      <c r="W187" s="180">
        <v>0</v>
      </c>
      <c r="X187" s="180">
        <v>0</v>
      </c>
      <c r="Y187" s="180">
        <v>0</v>
      </c>
      <c r="Z187" s="180">
        <v>150338</v>
      </c>
      <c r="AA187" s="180">
        <v>0</v>
      </c>
      <c r="AB187" s="180">
        <v>0</v>
      </c>
      <c r="AC187" s="180"/>
      <c r="AD187" s="180">
        <v>0</v>
      </c>
      <c r="AE187" s="180">
        <v>0</v>
      </c>
      <c r="AF187" s="180">
        <v>0</v>
      </c>
      <c r="AG187" s="180">
        <v>0</v>
      </c>
      <c r="AH187" s="180">
        <v>0</v>
      </c>
      <c r="AI187" s="180">
        <v>0</v>
      </c>
      <c r="AJ187" s="180">
        <v>0</v>
      </c>
      <c r="AK187" s="180">
        <v>0</v>
      </c>
      <c r="AL187" s="180">
        <v>0</v>
      </c>
      <c r="AM187" s="180"/>
      <c r="AN187" s="180">
        <v>0</v>
      </c>
      <c r="AO187" s="180"/>
      <c r="AP187" s="180">
        <v>0</v>
      </c>
      <c r="AQ187" s="180">
        <v>0</v>
      </c>
      <c r="AR187" s="180">
        <v>0</v>
      </c>
      <c r="AS187" s="180">
        <v>0</v>
      </c>
      <c r="AT187" s="180">
        <v>0</v>
      </c>
      <c r="AU187" s="180">
        <v>0</v>
      </c>
      <c r="AV187" s="180">
        <v>0</v>
      </c>
      <c r="AW187" s="180">
        <v>160454</v>
      </c>
      <c r="AX187" s="180">
        <v>0</v>
      </c>
      <c r="AY187" s="180">
        <v>0</v>
      </c>
      <c r="AZ187" s="180">
        <v>0</v>
      </c>
      <c r="BA187" s="180">
        <v>0</v>
      </c>
      <c r="BB187" s="180">
        <v>0</v>
      </c>
      <c r="BC187" s="180">
        <v>209184</v>
      </c>
      <c r="BD187" s="180">
        <v>0</v>
      </c>
      <c r="BE187" s="180">
        <v>0</v>
      </c>
      <c r="BF187" s="180">
        <v>0</v>
      </c>
      <c r="BG187" s="180">
        <v>0</v>
      </c>
      <c r="BH187" s="180">
        <v>0</v>
      </c>
      <c r="BI187" s="180">
        <v>0</v>
      </c>
      <c r="BJ187" s="180">
        <v>0</v>
      </c>
      <c r="BK187" s="180">
        <v>0</v>
      </c>
      <c r="BL187" s="180">
        <v>0</v>
      </c>
      <c r="BM187" s="180">
        <v>0</v>
      </c>
      <c r="BN187" s="180">
        <v>0</v>
      </c>
      <c r="BO187" s="180">
        <v>0</v>
      </c>
      <c r="BP187" s="180">
        <v>0</v>
      </c>
      <c r="BQ187" s="180">
        <v>0</v>
      </c>
      <c r="BR187" s="180"/>
      <c r="BS187" s="180">
        <v>0</v>
      </c>
      <c r="BT187" s="180"/>
      <c r="BU187" s="180">
        <v>0</v>
      </c>
      <c r="BV187" s="180">
        <v>0</v>
      </c>
      <c r="BW187" s="180">
        <v>0</v>
      </c>
      <c r="BX187" s="180">
        <v>0</v>
      </c>
      <c r="BY187" s="180"/>
      <c r="BZ187" s="180">
        <v>0</v>
      </c>
      <c r="CA187" s="180">
        <v>0</v>
      </c>
      <c r="CB187" s="180">
        <v>0</v>
      </c>
      <c r="CC187" s="180">
        <v>0</v>
      </c>
      <c r="CD187" s="180">
        <v>0</v>
      </c>
      <c r="CE187" s="180"/>
      <c r="CF187" s="180">
        <v>0</v>
      </c>
      <c r="CG187" s="180">
        <v>0</v>
      </c>
      <c r="CH187" s="180">
        <v>102645</v>
      </c>
      <c r="CI187" s="180">
        <v>0</v>
      </c>
      <c r="CJ187" s="180"/>
      <c r="CK187" s="180">
        <v>0</v>
      </c>
      <c r="CL187" s="180"/>
      <c r="CM187" s="180"/>
      <c r="CN187" s="180"/>
      <c r="CO187" s="180"/>
      <c r="CP187" s="180"/>
      <c r="CQ187" s="180"/>
      <c r="CR187" s="180"/>
      <c r="CS187" s="180"/>
      <c r="CT187" s="180"/>
      <c r="CU187" s="180"/>
    </row>
    <row r="188" spans="1:99" x14ac:dyDescent="0.3">
      <c r="A188" s="155">
        <v>644</v>
      </c>
      <c r="B188" s="180" t="s">
        <v>1718</v>
      </c>
      <c r="C188" s="180"/>
      <c r="D188" s="180">
        <v>0</v>
      </c>
      <c r="E188" s="180">
        <v>0</v>
      </c>
      <c r="F188" s="180">
        <v>0</v>
      </c>
      <c r="G188" s="180">
        <v>0</v>
      </c>
      <c r="H188" s="180"/>
      <c r="I188" s="180">
        <v>0</v>
      </c>
      <c r="J188" s="180">
        <v>0</v>
      </c>
      <c r="K188" s="180">
        <v>0</v>
      </c>
      <c r="L188" s="180">
        <v>0</v>
      </c>
      <c r="M188" s="180">
        <v>0</v>
      </c>
      <c r="N188" s="180"/>
      <c r="O188" s="180">
        <v>0</v>
      </c>
      <c r="P188" s="180">
        <v>0</v>
      </c>
      <c r="Q188" s="180">
        <v>0</v>
      </c>
      <c r="R188" s="180">
        <v>0</v>
      </c>
      <c r="S188" s="180">
        <v>0</v>
      </c>
      <c r="T188" s="180">
        <v>0</v>
      </c>
      <c r="U188" s="180">
        <v>0</v>
      </c>
      <c r="V188" s="180">
        <v>0</v>
      </c>
      <c r="W188" s="180">
        <v>0</v>
      </c>
      <c r="X188" s="180">
        <v>0</v>
      </c>
      <c r="Y188" s="180">
        <v>0</v>
      </c>
      <c r="Z188" s="180">
        <v>0</v>
      </c>
      <c r="AA188" s="180">
        <v>0</v>
      </c>
      <c r="AB188" s="180">
        <v>0</v>
      </c>
      <c r="AC188" s="180"/>
      <c r="AD188" s="180">
        <v>0</v>
      </c>
      <c r="AE188" s="180">
        <v>0</v>
      </c>
      <c r="AF188" s="180">
        <v>0</v>
      </c>
      <c r="AG188" s="180">
        <v>0</v>
      </c>
      <c r="AH188" s="180">
        <v>0</v>
      </c>
      <c r="AI188" s="180">
        <v>0</v>
      </c>
      <c r="AJ188" s="180">
        <v>0</v>
      </c>
      <c r="AK188" s="180">
        <v>0</v>
      </c>
      <c r="AL188" s="180">
        <v>0</v>
      </c>
      <c r="AM188" s="180"/>
      <c r="AN188" s="180">
        <v>0</v>
      </c>
      <c r="AO188" s="180"/>
      <c r="AP188" s="180">
        <v>0</v>
      </c>
      <c r="AQ188" s="180">
        <v>0</v>
      </c>
      <c r="AR188" s="180">
        <v>0</v>
      </c>
      <c r="AS188" s="180">
        <v>0</v>
      </c>
      <c r="AT188" s="180">
        <v>0</v>
      </c>
      <c r="AU188" s="180">
        <v>0</v>
      </c>
      <c r="AV188" s="180">
        <v>0</v>
      </c>
      <c r="AW188" s="180">
        <v>0</v>
      </c>
      <c r="AX188" s="180">
        <v>0</v>
      </c>
      <c r="AY188" s="180">
        <v>0</v>
      </c>
      <c r="AZ188" s="180">
        <v>0</v>
      </c>
      <c r="BA188" s="180">
        <v>0</v>
      </c>
      <c r="BB188" s="180">
        <v>0</v>
      </c>
      <c r="BC188" s="180">
        <v>0</v>
      </c>
      <c r="BD188" s="180">
        <v>0</v>
      </c>
      <c r="BE188" s="180">
        <v>0</v>
      </c>
      <c r="BF188" s="180">
        <v>0</v>
      </c>
      <c r="BG188" s="180">
        <v>0</v>
      </c>
      <c r="BH188" s="180">
        <v>0</v>
      </c>
      <c r="BI188" s="180">
        <v>0</v>
      </c>
      <c r="BJ188" s="180">
        <v>0</v>
      </c>
      <c r="BK188" s="180">
        <v>0</v>
      </c>
      <c r="BL188" s="180">
        <v>0</v>
      </c>
      <c r="BM188" s="180">
        <v>0</v>
      </c>
      <c r="BN188" s="180">
        <v>0</v>
      </c>
      <c r="BO188" s="180">
        <v>0</v>
      </c>
      <c r="BP188" s="180">
        <v>0</v>
      </c>
      <c r="BQ188" s="180">
        <v>0</v>
      </c>
      <c r="BR188" s="180"/>
      <c r="BS188" s="180">
        <v>0</v>
      </c>
      <c r="BT188" s="180"/>
      <c r="BU188" s="180">
        <v>0</v>
      </c>
      <c r="BV188" s="180">
        <v>0</v>
      </c>
      <c r="BW188" s="180">
        <v>0</v>
      </c>
      <c r="BX188" s="180">
        <v>0</v>
      </c>
      <c r="BY188" s="180"/>
      <c r="BZ188" s="180">
        <v>0</v>
      </c>
      <c r="CA188" s="180">
        <v>0</v>
      </c>
      <c r="CB188" s="180">
        <v>0</v>
      </c>
      <c r="CC188" s="180">
        <v>0</v>
      </c>
      <c r="CD188" s="180">
        <v>0</v>
      </c>
      <c r="CE188" s="180"/>
      <c r="CF188" s="180">
        <v>0</v>
      </c>
      <c r="CG188" s="180">
        <v>0</v>
      </c>
      <c r="CH188" s="180">
        <v>0</v>
      </c>
      <c r="CI188" s="180">
        <v>0</v>
      </c>
      <c r="CJ188" s="180"/>
      <c r="CK188" s="180">
        <v>0</v>
      </c>
      <c r="CL188" s="180"/>
      <c r="CM188" s="180"/>
      <c r="CN188" s="180"/>
      <c r="CO188" s="180"/>
      <c r="CP188" s="180"/>
      <c r="CQ188" s="180"/>
      <c r="CR188" s="180"/>
      <c r="CS188" s="180"/>
      <c r="CT188" s="180"/>
      <c r="CU188" s="180"/>
    </row>
    <row r="189" spans="1:99" s="561" customFormat="1" x14ac:dyDescent="0.3">
      <c r="A189" s="560">
        <v>645</v>
      </c>
      <c r="B189" s="561" t="s">
        <v>386</v>
      </c>
      <c r="D189" s="561">
        <v>73084</v>
      </c>
      <c r="E189" s="561">
        <v>0</v>
      </c>
      <c r="F189" s="561">
        <v>0</v>
      </c>
      <c r="G189" s="561">
        <v>0</v>
      </c>
      <c r="I189" s="561">
        <v>453793</v>
      </c>
      <c r="J189" s="561">
        <v>0</v>
      </c>
      <c r="K189" s="561">
        <v>0</v>
      </c>
      <c r="L189" s="561">
        <v>291400</v>
      </c>
      <c r="M189" s="561">
        <v>2984722</v>
      </c>
      <c r="O189" s="561">
        <v>43540138</v>
      </c>
      <c r="P189" s="561">
        <v>0</v>
      </c>
      <c r="Q189" s="561">
        <v>0</v>
      </c>
      <c r="R189" s="561">
        <v>0</v>
      </c>
      <c r="S189" s="561">
        <v>78837</v>
      </c>
      <c r="T189" s="561">
        <v>0</v>
      </c>
      <c r="U189" s="561">
        <v>29821</v>
      </c>
      <c r="V189" s="561">
        <v>0</v>
      </c>
      <c r="W189" s="561">
        <v>300364</v>
      </c>
      <c r="X189" s="561">
        <v>2980156</v>
      </c>
      <c r="Y189" s="561">
        <v>0</v>
      </c>
      <c r="Z189" s="561">
        <v>0</v>
      </c>
      <c r="AA189" s="561">
        <v>0</v>
      </c>
      <c r="AB189" s="561">
        <v>0</v>
      </c>
      <c r="AD189" s="561">
        <v>222396</v>
      </c>
      <c r="AE189" s="561">
        <v>0</v>
      </c>
      <c r="AF189" s="561">
        <v>9371041</v>
      </c>
      <c r="AG189" s="561">
        <v>1852027</v>
      </c>
      <c r="AH189" s="561">
        <v>459043</v>
      </c>
      <c r="AI189" s="561">
        <v>554189</v>
      </c>
      <c r="AJ189" s="561">
        <v>211993</v>
      </c>
      <c r="AK189" s="561">
        <v>0</v>
      </c>
      <c r="AL189" s="561">
        <v>415440</v>
      </c>
      <c r="AN189" s="561">
        <v>0</v>
      </c>
      <c r="AP189" s="561">
        <v>0</v>
      </c>
      <c r="AQ189" s="561">
        <v>0</v>
      </c>
      <c r="AR189" s="561">
        <v>0</v>
      </c>
      <c r="AS189" s="561">
        <v>389377</v>
      </c>
      <c r="AT189" s="561">
        <v>498304</v>
      </c>
      <c r="AU189" s="561">
        <v>126586</v>
      </c>
      <c r="AV189" s="561">
        <v>35921</v>
      </c>
      <c r="AW189" s="561">
        <v>786592</v>
      </c>
      <c r="AX189" s="561">
        <v>0</v>
      </c>
      <c r="AY189" s="561">
        <v>143157</v>
      </c>
      <c r="AZ189" s="561">
        <v>926178</v>
      </c>
      <c r="BA189" s="561">
        <v>3986</v>
      </c>
      <c r="BB189" s="561">
        <v>137994</v>
      </c>
      <c r="BC189" s="561">
        <v>487104</v>
      </c>
      <c r="BD189" s="561">
        <v>0</v>
      </c>
      <c r="BE189" s="561">
        <v>4123642</v>
      </c>
      <c r="BF189" s="561">
        <v>0</v>
      </c>
      <c r="BG189" s="561">
        <v>0</v>
      </c>
      <c r="BH189" s="561">
        <v>12443</v>
      </c>
      <c r="BI189" s="561">
        <v>0</v>
      </c>
      <c r="BJ189" s="561">
        <v>0</v>
      </c>
      <c r="BK189" s="561">
        <v>0</v>
      </c>
      <c r="BL189" s="561">
        <v>0</v>
      </c>
      <c r="BM189" s="561">
        <v>160272</v>
      </c>
      <c r="BN189" s="561">
        <v>120000</v>
      </c>
      <c r="BO189" s="561">
        <v>360000</v>
      </c>
      <c r="BP189" s="561">
        <v>0</v>
      </c>
      <c r="BQ189" s="561">
        <v>0</v>
      </c>
      <c r="BS189" s="561">
        <v>0</v>
      </c>
      <c r="BU189" s="561">
        <v>0</v>
      </c>
      <c r="BV189" s="561">
        <v>0</v>
      </c>
      <c r="BW189" s="561">
        <v>1000000</v>
      </c>
      <c r="BX189" s="561">
        <v>0</v>
      </c>
      <c r="BZ189" s="561">
        <v>223471</v>
      </c>
      <c r="CA189" s="561">
        <v>0</v>
      </c>
      <c r="CB189" s="561">
        <v>557254</v>
      </c>
      <c r="CC189" s="561">
        <v>391900</v>
      </c>
      <c r="CD189" s="561">
        <v>0</v>
      </c>
      <c r="CF189" s="561">
        <v>112249</v>
      </c>
      <c r="CG189" s="561">
        <v>0</v>
      </c>
      <c r="CH189" s="561">
        <v>125632</v>
      </c>
      <c r="CI189" s="561">
        <v>0</v>
      </c>
      <c r="CK189" s="561">
        <v>0</v>
      </c>
    </row>
    <row r="190" spans="1:99" s="561" customFormat="1" x14ac:dyDescent="0.3">
      <c r="A190" s="560">
        <v>646</v>
      </c>
      <c r="B190" s="561" t="s">
        <v>361</v>
      </c>
      <c r="D190" s="561">
        <v>3232783</v>
      </c>
      <c r="E190" s="561">
        <v>1901289</v>
      </c>
      <c r="F190" s="561">
        <v>903076</v>
      </c>
      <c r="G190" s="561">
        <v>615266</v>
      </c>
      <c r="I190" s="561">
        <v>2231307</v>
      </c>
      <c r="J190" s="561">
        <v>2013425</v>
      </c>
      <c r="K190" s="561">
        <v>6971378</v>
      </c>
      <c r="L190" s="561">
        <v>4568566</v>
      </c>
      <c r="M190" s="561">
        <v>8365416</v>
      </c>
      <c r="O190" s="561">
        <v>12414568</v>
      </c>
      <c r="P190" s="561">
        <v>84477</v>
      </c>
      <c r="Q190" s="561">
        <v>284901</v>
      </c>
      <c r="R190" s="561">
        <v>1067714</v>
      </c>
      <c r="S190" s="561">
        <v>1061810</v>
      </c>
      <c r="T190" s="561">
        <v>1250255</v>
      </c>
      <c r="U190" s="561">
        <v>265143</v>
      </c>
      <c r="V190" s="561">
        <v>296530</v>
      </c>
      <c r="W190" s="561">
        <v>1792513</v>
      </c>
      <c r="X190" s="561">
        <v>22241270</v>
      </c>
      <c r="Y190" s="561">
        <v>125568000</v>
      </c>
      <c r="Z190" s="561">
        <v>1220861</v>
      </c>
      <c r="AA190" s="561">
        <v>296898</v>
      </c>
      <c r="AB190" s="561">
        <v>2403992</v>
      </c>
      <c r="AD190" s="561">
        <v>3989005</v>
      </c>
      <c r="AE190" s="561">
        <v>2419777</v>
      </c>
      <c r="AF190" s="561">
        <v>11110765</v>
      </c>
      <c r="AG190" s="561">
        <v>5414532</v>
      </c>
      <c r="AH190" s="561">
        <v>2696585</v>
      </c>
      <c r="AI190" s="561">
        <v>33818293</v>
      </c>
      <c r="AJ190" s="561">
        <v>1045943</v>
      </c>
      <c r="AK190" s="561">
        <v>1653073</v>
      </c>
      <c r="AL190" s="561">
        <v>314223</v>
      </c>
      <c r="AN190" s="561">
        <v>982488</v>
      </c>
      <c r="AP190" s="561">
        <v>81287</v>
      </c>
      <c r="AQ190" s="561">
        <v>62388124</v>
      </c>
      <c r="AR190" s="561">
        <v>311096</v>
      </c>
      <c r="AS190" s="561">
        <v>1679257</v>
      </c>
      <c r="AT190" s="561">
        <v>8730605</v>
      </c>
      <c r="AU190" s="561">
        <v>368083</v>
      </c>
      <c r="AV190" s="561">
        <v>1065685</v>
      </c>
      <c r="AW190" s="561">
        <v>20103990</v>
      </c>
      <c r="AX190" s="561">
        <v>123019</v>
      </c>
      <c r="AY190" s="561">
        <v>3067236</v>
      </c>
      <c r="AZ190" s="561">
        <v>7942087</v>
      </c>
      <c r="BA190" s="561">
        <v>483642</v>
      </c>
      <c r="BB190" s="561">
        <v>147235</v>
      </c>
      <c r="BC190" s="561">
        <v>2672633</v>
      </c>
      <c r="BD190" s="561">
        <v>0</v>
      </c>
      <c r="BE190" s="561">
        <v>77875056</v>
      </c>
      <c r="BF190" s="561">
        <v>2333565</v>
      </c>
      <c r="BG190" s="561">
        <v>834567</v>
      </c>
      <c r="BH190" s="561">
        <v>504016</v>
      </c>
      <c r="BI190" s="561">
        <v>1425815</v>
      </c>
      <c r="BJ190" s="561">
        <v>3040823</v>
      </c>
      <c r="BK190" s="561">
        <v>14255</v>
      </c>
      <c r="BL190" s="561">
        <v>1976954</v>
      </c>
      <c r="BM190" s="561">
        <v>774857</v>
      </c>
      <c r="BN190" s="561">
        <v>7549154</v>
      </c>
      <c r="BO190" s="561">
        <v>3441740</v>
      </c>
      <c r="BP190" s="561">
        <v>73275508</v>
      </c>
      <c r="BQ190" s="561">
        <v>59793</v>
      </c>
      <c r="BS190" s="561">
        <v>869511</v>
      </c>
      <c r="BU190" s="561">
        <v>1198224</v>
      </c>
      <c r="BV190" s="561">
        <v>6426789</v>
      </c>
      <c r="BW190" s="561">
        <v>8720082</v>
      </c>
      <c r="BX190" s="561">
        <v>2750581</v>
      </c>
      <c r="BZ190" s="561">
        <v>939125</v>
      </c>
      <c r="CA190" s="561">
        <v>666558</v>
      </c>
      <c r="CB190" s="561">
        <v>4643012</v>
      </c>
      <c r="CC190" s="561">
        <v>430588</v>
      </c>
      <c r="CD190" s="561">
        <v>291880</v>
      </c>
      <c r="CF190" s="561">
        <v>8229084</v>
      </c>
      <c r="CG190" s="561">
        <v>2469853</v>
      </c>
      <c r="CH190" s="561">
        <v>-97226</v>
      </c>
      <c r="CI190" s="561">
        <v>3312119</v>
      </c>
      <c r="CK190" s="561">
        <v>60792</v>
      </c>
    </row>
    <row r="191" spans="1:99" x14ac:dyDescent="0.3">
      <c r="A191" s="155">
        <v>647</v>
      </c>
      <c r="B191" s="180" t="s">
        <v>968</v>
      </c>
      <c r="C191" s="180"/>
      <c r="D191" s="180">
        <v>0</v>
      </c>
      <c r="E191" s="180">
        <v>0</v>
      </c>
      <c r="F191" s="180">
        <v>0</v>
      </c>
      <c r="G191" s="180">
        <v>0</v>
      </c>
      <c r="H191" s="180"/>
      <c r="I191" s="180">
        <v>0</v>
      </c>
      <c r="J191" s="180">
        <v>0</v>
      </c>
      <c r="K191" s="180">
        <v>0</v>
      </c>
      <c r="L191" s="180">
        <v>0</v>
      </c>
      <c r="M191" s="180">
        <v>0</v>
      </c>
      <c r="N191" s="180"/>
      <c r="O191" s="180">
        <v>0</v>
      </c>
      <c r="P191" s="180">
        <v>0</v>
      </c>
      <c r="Q191" s="180">
        <v>0</v>
      </c>
      <c r="R191" s="180">
        <v>0</v>
      </c>
      <c r="S191" s="180">
        <v>0</v>
      </c>
      <c r="T191" s="180">
        <v>0</v>
      </c>
      <c r="U191" s="180">
        <v>0</v>
      </c>
      <c r="V191" s="180">
        <v>0</v>
      </c>
      <c r="W191" s="180">
        <v>0</v>
      </c>
      <c r="X191" s="180">
        <v>10910172</v>
      </c>
      <c r="Y191" s="180">
        <v>202009000</v>
      </c>
      <c r="Z191" s="180">
        <v>0</v>
      </c>
      <c r="AA191" s="180">
        <v>0</v>
      </c>
      <c r="AB191" s="180">
        <v>0</v>
      </c>
      <c r="AC191" s="180"/>
      <c r="AD191" s="180">
        <v>0</v>
      </c>
      <c r="AE191" s="180">
        <v>0</v>
      </c>
      <c r="AF191" s="180">
        <v>0</v>
      </c>
      <c r="AG191" s="180">
        <v>0</v>
      </c>
      <c r="AH191" s="180">
        <v>0</v>
      </c>
      <c r="AI191" s="180">
        <v>0</v>
      </c>
      <c r="AJ191" s="180">
        <v>0</v>
      </c>
      <c r="AK191" s="180">
        <v>0</v>
      </c>
      <c r="AL191" s="180">
        <v>0</v>
      </c>
      <c r="AM191" s="180"/>
      <c r="AN191" s="180">
        <v>0</v>
      </c>
      <c r="AO191" s="180"/>
      <c r="AP191" s="180">
        <v>0</v>
      </c>
      <c r="AQ191" s="180">
        <v>0</v>
      </c>
      <c r="AR191" s="180">
        <v>0</v>
      </c>
      <c r="AS191" s="180">
        <v>0</v>
      </c>
      <c r="AT191" s="180">
        <v>0</v>
      </c>
      <c r="AU191" s="180">
        <v>0</v>
      </c>
      <c r="AV191" s="180">
        <v>0</v>
      </c>
      <c r="AW191" s="180">
        <v>0</v>
      </c>
      <c r="AX191" s="180">
        <v>0</v>
      </c>
      <c r="AY191" s="180">
        <v>0</v>
      </c>
      <c r="AZ191" s="180">
        <v>0</v>
      </c>
      <c r="BA191" s="180">
        <v>0</v>
      </c>
      <c r="BB191" s="180">
        <v>0</v>
      </c>
      <c r="BC191" s="180">
        <v>0</v>
      </c>
      <c r="BD191" s="180">
        <v>0</v>
      </c>
      <c r="BE191" s="180">
        <v>0</v>
      </c>
      <c r="BF191" s="180">
        <v>0</v>
      </c>
      <c r="BG191" s="180">
        <v>0</v>
      </c>
      <c r="BH191" s="180">
        <v>0</v>
      </c>
      <c r="BI191" s="180">
        <v>0</v>
      </c>
      <c r="BJ191" s="180">
        <v>0</v>
      </c>
      <c r="BK191" s="180">
        <v>0</v>
      </c>
      <c r="BL191" s="180">
        <v>0</v>
      </c>
      <c r="BM191" s="180">
        <v>0</v>
      </c>
      <c r="BN191" s="180">
        <v>0</v>
      </c>
      <c r="BO191" s="180">
        <v>0</v>
      </c>
      <c r="BP191" s="180">
        <v>43497203</v>
      </c>
      <c r="BQ191" s="180">
        <v>0</v>
      </c>
      <c r="BR191" s="180"/>
      <c r="BS191" s="180">
        <v>0</v>
      </c>
      <c r="BT191" s="180"/>
      <c r="BU191" s="180">
        <v>0</v>
      </c>
      <c r="BV191" s="180">
        <v>0</v>
      </c>
      <c r="BW191" s="180">
        <v>0</v>
      </c>
      <c r="BX191" s="180">
        <v>0</v>
      </c>
      <c r="BY191" s="180"/>
      <c r="BZ191" s="180">
        <v>0</v>
      </c>
      <c r="CA191" s="180">
        <v>0</v>
      </c>
      <c r="CB191" s="180">
        <v>0</v>
      </c>
      <c r="CC191" s="180">
        <v>0</v>
      </c>
      <c r="CD191" s="180">
        <v>0</v>
      </c>
      <c r="CE191" s="180"/>
      <c r="CF191" s="180">
        <v>0</v>
      </c>
      <c r="CG191" s="180">
        <v>0</v>
      </c>
      <c r="CH191" s="180">
        <v>0</v>
      </c>
      <c r="CI191" s="180">
        <v>0</v>
      </c>
      <c r="CJ191" s="180"/>
      <c r="CK191" s="180">
        <v>0</v>
      </c>
      <c r="CL191" s="180"/>
      <c r="CM191" s="180"/>
      <c r="CN191" s="180"/>
      <c r="CO191" s="180"/>
      <c r="CP191" s="180"/>
      <c r="CQ191" s="180"/>
      <c r="CR191" s="180"/>
      <c r="CS191" s="180"/>
      <c r="CT191" s="180"/>
      <c r="CU191" s="180"/>
    </row>
    <row r="192" spans="1:99" x14ac:dyDescent="0.3">
      <c r="A192" s="155">
        <v>648</v>
      </c>
      <c r="B192" s="180" t="s">
        <v>608</v>
      </c>
      <c r="C192" s="180"/>
      <c r="D192" s="180">
        <v>0</v>
      </c>
      <c r="E192" s="180">
        <v>8.7499999999999994E-2</v>
      </c>
      <c r="F192" s="180">
        <v>0.47</v>
      </c>
      <c r="G192" s="180">
        <v>57.5</v>
      </c>
      <c r="H192" s="180"/>
      <c r="I192" s="180">
        <v>0.54</v>
      </c>
      <c r="J192" s="180">
        <v>0.21249999999999999</v>
      </c>
      <c r="K192" s="180">
        <v>0.215</v>
      </c>
      <c r="L192" s="180">
        <v>0.1016</v>
      </c>
      <c r="M192" s="180">
        <v>0.60440000000000005</v>
      </c>
      <c r="N192" s="180"/>
      <c r="O192" s="180">
        <v>0.34499999999999997</v>
      </c>
      <c r="P192" s="180">
        <v>0.05</v>
      </c>
      <c r="Q192" s="180">
        <v>0.32</v>
      </c>
      <c r="R192" s="180">
        <v>0</v>
      </c>
      <c r="S192" s="180">
        <v>0.57999999999999996</v>
      </c>
      <c r="T192" s="180">
        <v>0.14749999999999999</v>
      </c>
      <c r="U192" s="180">
        <v>0.2</v>
      </c>
      <c r="V192" s="180">
        <v>0</v>
      </c>
      <c r="W192" s="180">
        <v>0.62</v>
      </c>
      <c r="X192" s="180">
        <v>0.52200000000000002</v>
      </c>
      <c r="Y192" s="180">
        <v>0</v>
      </c>
      <c r="Z192" s="180">
        <v>0.52</v>
      </c>
      <c r="AA192" s="180">
        <v>0.14000000000000001</v>
      </c>
      <c r="AB192" s="180">
        <v>0.54</v>
      </c>
      <c r="AC192" s="180"/>
      <c r="AD192" s="180">
        <v>0.49</v>
      </c>
      <c r="AE192" s="180">
        <v>0.61</v>
      </c>
      <c r="AF192" s="180">
        <v>0.57999999999999996</v>
      </c>
      <c r="AG192" s="180">
        <v>0.15</v>
      </c>
      <c r="AH192" s="180">
        <v>0.28000000000000003</v>
      </c>
      <c r="AI192" s="180">
        <v>0.4</v>
      </c>
      <c r="AJ192" s="180">
        <v>0.43</v>
      </c>
      <c r="AK192" s="180">
        <v>0.59</v>
      </c>
      <c r="AL192" s="180">
        <v>0.45</v>
      </c>
      <c r="AM192" s="180"/>
      <c r="AN192" s="180">
        <v>0.60099999999999998</v>
      </c>
      <c r="AO192" s="180"/>
      <c r="AP192" s="180">
        <v>0.3</v>
      </c>
      <c r="AQ192" s="180">
        <v>0.48</v>
      </c>
      <c r="AR192" s="180">
        <v>0.19</v>
      </c>
      <c r="AS192" s="180">
        <v>0.05</v>
      </c>
      <c r="AT192" s="180">
        <v>0.5</v>
      </c>
      <c r="AU192" s="180">
        <v>0.47</v>
      </c>
      <c r="AV192" s="180">
        <v>0</v>
      </c>
      <c r="AW192" s="180">
        <v>0.222</v>
      </c>
      <c r="AX192" s="180">
        <v>0.27</v>
      </c>
      <c r="AY192" s="180">
        <v>0.47499999999999998</v>
      </c>
      <c r="AZ192" s="180">
        <v>0.61499999999999999</v>
      </c>
      <c r="BA192" s="180">
        <v>0.5</v>
      </c>
      <c r="BB192" s="180">
        <v>0</v>
      </c>
      <c r="BC192" s="180">
        <v>0.42</v>
      </c>
      <c r="BD192" s="180">
        <v>0.27</v>
      </c>
      <c r="BE192" s="180">
        <v>0.28999999999999998</v>
      </c>
      <c r="BF192" s="180">
        <v>0.6</v>
      </c>
      <c r="BG192" s="180">
        <v>0.21</v>
      </c>
      <c r="BH192" s="180">
        <v>0.6</v>
      </c>
      <c r="BI192" s="180">
        <v>0.43</v>
      </c>
      <c r="BJ192" s="180">
        <v>0</v>
      </c>
      <c r="BK192" s="180">
        <v>0.28999999999999998</v>
      </c>
      <c r="BL192" s="180">
        <v>0.38</v>
      </c>
      <c r="BM192" s="180">
        <v>0.49</v>
      </c>
      <c r="BN192" s="180">
        <v>0.22</v>
      </c>
      <c r="BO192" s="180">
        <v>0.5</v>
      </c>
      <c r="BP192" s="180">
        <v>0.55769999999999997</v>
      </c>
      <c r="BQ192" s="180">
        <v>0.18</v>
      </c>
      <c r="BR192" s="180"/>
      <c r="BS192" s="180">
        <v>0.5</v>
      </c>
      <c r="BT192" s="180"/>
      <c r="BU192" s="180">
        <v>0.66</v>
      </c>
      <c r="BV192" s="180">
        <v>0.21</v>
      </c>
      <c r="BW192" s="180">
        <v>0</v>
      </c>
      <c r="BX192" s="180">
        <v>0.4</v>
      </c>
      <c r="BY192" s="180"/>
      <c r="BZ192" s="180">
        <v>0.61499999999999999</v>
      </c>
      <c r="CA192" s="180">
        <v>0.3</v>
      </c>
      <c r="CB192" s="180">
        <v>5.4999999999999997E-3</v>
      </c>
      <c r="CC192" s="180">
        <v>0.22</v>
      </c>
      <c r="CD192" s="180">
        <v>0.7</v>
      </c>
      <c r="CE192" s="180"/>
      <c r="CF192" s="180">
        <v>0.45</v>
      </c>
      <c r="CG192" s="180">
        <v>0.155</v>
      </c>
      <c r="CH192" s="180">
        <v>0.92700000000000005</v>
      </c>
      <c r="CI192" s="180">
        <v>0</v>
      </c>
      <c r="CJ192" s="180"/>
      <c r="CK192" s="180">
        <v>0.6</v>
      </c>
      <c r="CL192" s="180"/>
      <c r="CM192" s="180"/>
      <c r="CN192" s="180"/>
      <c r="CO192" s="180"/>
      <c r="CP192" s="180"/>
      <c r="CQ192" s="180"/>
      <c r="CR192" s="180"/>
      <c r="CS192" s="180"/>
      <c r="CT192" s="180"/>
      <c r="CU192" s="180"/>
    </row>
    <row r="193" spans="1:99" x14ac:dyDescent="0.3">
      <c r="A193" s="155">
        <v>654</v>
      </c>
      <c r="B193" s="180" t="s">
        <v>416</v>
      </c>
      <c r="C193" s="180"/>
      <c r="D193" s="180">
        <v>173425</v>
      </c>
      <c r="E193" s="180">
        <v>0</v>
      </c>
      <c r="F193" s="180">
        <v>1241763</v>
      </c>
      <c r="G193" s="180">
        <v>398560</v>
      </c>
      <c r="H193" s="180"/>
      <c r="I193" s="180">
        <v>5479242</v>
      </c>
      <c r="J193" s="180">
        <v>0</v>
      </c>
      <c r="K193" s="180">
        <v>8858304</v>
      </c>
      <c r="L193" s="180">
        <v>0</v>
      </c>
      <c r="M193" s="180">
        <v>0</v>
      </c>
      <c r="N193" s="180"/>
      <c r="O193" s="180">
        <v>280922160</v>
      </c>
      <c r="P193" s="180">
        <v>0</v>
      </c>
      <c r="Q193" s="180">
        <v>0</v>
      </c>
      <c r="R193" s="180">
        <v>0</v>
      </c>
      <c r="S193" s="180">
        <v>0</v>
      </c>
      <c r="T193" s="180">
        <v>0</v>
      </c>
      <c r="U193" s="180">
        <v>0</v>
      </c>
      <c r="V193" s="180">
        <v>190432</v>
      </c>
      <c r="W193" s="180">
        <v>2276053</v>
      </c>
      <c r="X193" s="180">
        <v>0</v>
      </c>
      <c r="Y193" s="180">
        <v>296522000</v>
      </c>
      <c r="Z193" s="180">
        <v>5190194</v>
      </c>
      <c r="AA193" s="180">
        <v>269879</v>
      </c>
      <c r="AB193" s="180">
        <v>0</v>
      </c>
      <c r="AC193" s="180"/>
      <c r="AD193" s="180">
        <v>4639806</v>
      </c>
      <c r="AE193" s="180">
        <v>785291</v>
      </c>
      <c r="AF193" s="180">
        <v>23707860</v>
      </c>
      <c r="AG193" s="180">
        <v>0</v>
      </c>
      <c r="AH193" s="180">
        <v>2938520</v>
      </c>
      <c r="AI193" s="180">
        <v>7490598</v>
      </c>
      <c r="AJ193" s="180">
        <v>1360478</v>
      </c>
      <c r="AK193" s="180">
        <v>976788</v>
      </c>
      <c r="AL193" s="180">
        <v>553024</v>
      </c>
      <c r="AM193" s="180"/>
      <c r="AN193" s="180">
        <v>3009829</v>
      </c>
      <c r="AO193" s="180"/>
      <c r="AP193" s="180">
        <v>0</v>
      </c>
      <c r="AQ193" s="180">
        <v>101345216</v>
      </c>
      <c r="AR193" s="180">
        <v>0</v>
      </c>
      <c r="AS193" s="180">
        <v>67946</v>
      </c>
      <c r="AT193" s="180">
        <v>10519852</v>
      </c>
      <c r="AU193" s="180">
        <v>1194770</v>
      </c>
      <c r="AV193" s="180">
        <v>0</v>
      </c>
      <c r="AW193" s="180">
        <v>0</v>
      </c>
      <c r="AX193" s="180">
        <v>132495</v>
      </c>
      <c r="AY193" s="180">
        <v>0</v>
      </c>
      <c r="AZ193" s="180">
        <v>0</v>
      </c>
      <c r="BA193" s="180">
        <v>416093</v>
      </c>
      <c r="BB193" s="180">
        <v>65210</v>
      </c>
      <c r="BC193" s="180">
        <v>3262153</v>
      </c>
      <c r="BD193" s="180">
        <v>0</v>
      </c>
      <c r="BE193" s="180">
        <v>0</v>
      </c>
      <c r="BF193" s="180">
        <v>1180784</v>
      </c>
      <c r="BG193" s="180">
        <v>0</v>
      </c>
      <c r="BH193" s="180">
        <v>0</v>
      </c>
      <c r="BI193" s="180">
        <v>1283021</v>
      </c>
      <c r="BJ193" s="180">
        <v>0</v>
      </c>
      <c r="BK193" s="180">
        <v>142995</v>
      </c>
      <c r="BL193" s="180">
        <v>2814352</v>
      </c>
      <c r="BM193" s="180">
        <v>438644</v>
      </c>
      <c r="BN193" s="180">
        <v>0</v>
      </c>
      <c r="BO193" s="180">
        <v>3776403</v>
      </c>
      <c r="BP193" s="180">
        <v>157523961</v>
      </c>
      <c r="BQ193" s="180">
        <v>0</v>
      </c>
      <c r="BR193" s="180"/>
      <c r="BS193" s="180">
        <v>539792</v>
      </c>
      <c r="BT193" s="180"/>
      <c r="BU193" s="180">
        <v>340430</v>
      </c>
      <c r="BV193" s="180">
        <v>0</v>
      </c>
      <c r="BW193" s="180">
        <v>6435062</v>
      </c>
      <c r="BX193" s="180">
        <v>993938</v>
      </c>
      <c r="BY193" s="180"/>
      <c r="BZ193" s="180">
        <v>3625715</v>
      </c>
      <c r="CA193" s="180">
        <v>217900</v>
      </c>
      <c r="CB193" s="180">
        <v>3007684</v>
      </c>
      <c r="CC193" s="180">
        <v>1367016</v>
      </c>
      <c r="CD193" s="180">
        <v>164364</v>
      </c>
      <c r="CE193" s="180"/>
      <c r="CF193" s="180">
        <v>6207234</v>
      </c>
      <c r="CG193" s="180">
        <v>0</v>
      </c>
      <c r="CH193" s="180">
        <v>1128442</v>
      </c>
      <c r="CI193" s="180">
        <v>0</v>
      </c>
      <c r="CJ193" s="180"/>
      <c r="CK193" s="180">
        <v>47531</v>
      </c>
      <c r="CL193" s="180"/>
      <c r="CM193" s="180"/>
      <c r="CN193" s="180"/>
      <c r="CO193" s="180"/>
      <c r="CP193" s="180"/>
      <c r="CQ193" s="180"/>
      <c r="CR193" s="180"/>
      <c r="CS193" s="180"/>
      <c r="CT193" s="180"/>
      <c r="CU193" s="180"/>
    </row>
    <row r="194" spans="1:99" x14ac:dyDescent="0.3">
      <c r="A194" s="155">
        <v>655</v>
      </c>
      <c r="B194" s="180" t="s">
        <v>969</v>
      </c>
      <c r="C194" s="180"/>
      <c r="D194" s="180">
        <v>0</v>
      </c>
      <c r="E194" s="180">
        <v>0</v>
      </c>
      <c r="F194" s="180">
        <v>28830</v>
      </c>
      <c r="G194" s="180">
        <v>130115</v>
      </c>
      <c r="H194" s="180"/>
      <c r="I194" s="180">
        <v>6335</v>
      </c>
      <c r="J194" s="180">
        <v>0</v>
      </c>
      <c r="K194" s="180">
        <v>3459705</v>
      </c>
      <c r="L194" s="180">
        <v>0</v>
      </c>
      <c r="M194" s="180">
        <v>0</v>
      </c>
      <c r="N194" s="180"/>
      <c r="O194" s="180">
        <v>2079846</v>
      </c>
      <c r="P194" s="180">
        <v>0</v>
      </c>
      <c r="Q194" s="180">
        <v>0</v>
      </c>
      <c r="R194" s="180">
        <v>0</v>
      </c>
      <c r="S194" s="180">
        <v>0</v>
      </c>
      <c r="T194" s="180">
        <v>0</v>
      </c>
      <c r="U194" s="180">
        <v>0</v>
      </c>
      <c r="V194" s="180">
        <v>3480</v>
      </c>
      <c r="W194" s="180">
        <v>85054</v>
      </c>
      <c r="X194" s="180">
        <v>0</v>
      </c>
      <c r="Y194" s="180">
        <v>208000</v>
      </c>
      <c r="Z194" s="180">
        <v>2726267</v>
      </c>
      <c r="AA194" s="180">
        <v>0</v>
      </c>
      <c r="AB194" s="180">
        <v>0</v>
      </c>
      <c r="AC194" s="180"/>
      <c r="AD194" s="180">
        <v>298754</v>
      </c>
      <c r="AE194" s="180">
        <v>120959</v>
      </c>
      <c r="AF194" s="180">
        <v>10235468</v>
      </c>
      <c r="AG194" s="180">
        <v>0</v>
      </c>
      <c r="AH194" s="180">
        <v>12550</v>
      </c>
      <c r="AI194" s="180">
        <v>258728</v>
      </c>
      <c r="AJ194" s="180">
        <v>249821</v>
      </c>
      <c r="AK194" s="180">
        <v>62876</v>
      </c>
      <c r="AL194" s="180">
        <v>3350</v>
      </c>
      <c r="AM194" s="180"/>
      <c r="AN194" s="180">
        <v>112881</v>
      </c>
      <c r="AO194" s="180"/>
      <c r="AP194" s="180">
        <v>0</v>
      </c>
      <c r="AQ194" s="180">
        <v>0</v>
      </c>
      <c r="AR194" s="180">
        <v>0</v>
      </c>
      <c r="AS194" s="180">
        <v>0</v>
      </c>
      <c r="AT194" s="180">
        <v>140380</v>
      </c>
      <c r="AU194" s="180">
        <v>0</v>
      </c>
      <c r="AV194" s="180">
        <v>0</v>
      </c>
      <c r="AW194" s="180">
        <v>0</v>
      </c>
      <c r="AX194" s="180">
        <v>17749</v>
      </c>
      <c r="AY194" s="180">
        <v>0</v>
      </c>
      <c r="AZ194" s="180">
        <v>0</v>
      </c>
      <c r="BA194" s="180">
        <v>44188</v>
      </c>
      <c r="BB194" s="180">
        <v>4750</v>
      </c>
      <c r="BC194" s="180">
        <v>77254</v>
      </c>
      <c r="BD194" s="180">
        <v>0</v>
      </c>
      <c r="BE194" s="180">
        <v>0</v>
      </c>
      <c r="BF194" s="180">
        <v>98930</v>
      </c>
      <c r="BG194" s="180">
        <v>0</v>
      </c>
      <c r="BH194" s="180">
        <v>0</v>
      </c>
      <c r="BI194" s="180">
        <v>41067</v>
      </c>
      <c r="BJ194" s="180">
        <v>0</v>
      </c>
      <c r="BK194" s="180">
        <v>20837</v>
      </c>
      <c r="BL194" s="180">
        <v>0</v>
      </c>
      <c r="BM194" s="180">
        <v>22800</v>
      </c>
      <c r="BN194" s="180">
        <v>0</v>
      </c>
      <c r="BO194" s="180">
        <v>140736</v>
      </c>
      <c r="BP194" s="180">
        <v>0</v>
      </c>
      <c r="BQ194" s="180">
        <v>0</v>
      </c>
      <c r="BR194" s="180"/>
      <c r="BS194" s="180">
        <v>11640</v>
      </c>
      <c r="BT194" s="180"/>
      <c r="BU194" s="180">
        <v>52500</v>
      </c>
      <c r="BV194" s="180">
        <v>0</v>
      </c>
      <c r="BW194" s="180">
        <v>366045</v>
      </c>
      <c r="BX194" s="180">
        <v>0</v>
      </c>
      <c r="BY194" s="180"/>
      <c r="BZ194" s="180">
        <v>195290</v>
      </c>
      <c r="CA194" s="180">
        <v>26515</v>
      </c>
      <c r="CB194" s="180">
        <v>41605</v>
      </c>
      <c r="CC194" s="180">
        <v>186057</v>
      </c>
      <c r="CD194" s="180">
        <v>44036</v>
      </c>
      <c r="CE194" s="180"/>
      <c r="CF194" s="180">
        <v>292808</v>
      </c>
      <c r="CG194" s="180">
        <v>0</v>
      </c>
      <c r="CH194" s="180">
        <v>43145</v>
      </c>
      <c r="CI194" s="180">
        <v>0</v>
      </c>
      <c r="CJ194" s="180"/>
      <c r="CK194" s="180">
        <v>8186</v>
      </c>
      <c r="CL194" s="180"/>
      <c r="CM194" s="180"/>
      <c r="CN194" s="180"/>
      <c r="CO194" s="180"/>
      <c r="CP194" s="180"/>
      <c r="CQ194" s="180"/>
      <c r="CR194" s="180"/>
      <c r="CS194" s="180"/>
      <c r="CT194" s="180"/>
      <c r="CU194" s="180"/>
    </row>
    <row r="195" spans="1:99" x14ac:dyDescent="0.3">
      <c r="A195" s="155">
        <v>656</v>
      </c>
      <c r="B195" s="180" t="s">
        <v>422</v>
      </c>
      <c r="C195" s="180"/>
      <c r="D195" s="180">
        <v>2</v>
      </c>
      <c r="E195" s="180">
        <v>0</v>
      </c>
      <c r="F195" s="180">
        <v>2</v>
      </c>
      <c r="G195" s="180">
        <v>0</v>
      </c>
      <c r="H195" s="180"/>
      <c r="I195" s="180">
        <v>0</v>
      </c>
      <c r="J195" s="180">
        <v>2</v>
      </c>
      <c r="K195" s="180">
        <v>2</v>
      </c>
      <c r="L195" s="180">
        <v>2</v>
      </c>
      <c r="M195" s="180">
        <v>2</v>
      </c>
      <c r="N195" s="180"/>
      <c r="O195" s="180">
        <v>0</v>
      </c>
      <c r="P195" s="180">
        <v>0</v>
      </c>
      <c r="Q195" s="180">
        <v>0</v>
      </c>
      <c r="R195" s="180">
        <v>0</v>
      </c>
      <c r="S195" s="180">
        <v>0</v>
      </c>
      <c r="T195" s="180">
        <v>2</v>
      </c>
      <c r="U195" s="180">
        <v>2</v>
      </c>
      <c r="V195" s="180">
        <v>0</v>
      </c>
      <c r="W195" s="180">
        <v>2</v>
      </c>
      <c r="X195" s="180">
        <v>2</v>
      </c>
      <c r="Y195" s="180">
        <v>2</v>
      </c>
      <c r="Z195" s="180">
        <v>2</v>
      </c>
      <c r="AA195" s="180">
        <v>0</v>
      </c>
      <c r="AB195" s="180">
        <v>0</v>
      </c>
      <c r="AC195" s="180"/>
      <c r="AD195" s="180">
        <v>2</v>
      </c>
      <c r="AE195" s="180">
        <v>2</v>
      </c>
      <c r="AF195" s="180">
        <v>2</v>
      </c>
      <c r="AG195" s="180">
        <v>0</v>
      </c>
      <c r="AH195" s="180">
        <v>2</v>
      </c>
      <c r="AI195" s="180">
        <v>2</v>
      </c>
      <c r="AJ195" s="180">
        <v>0</v>
      </c>
      <c r="AK195" s="180">
        <v>2</v>
      </c>
      <c r="AL195" s="180">
        <v>2</v>
      </c>
      <c r="AM195" s="180"/>
      <c r="AN195" s="180">
        <v>0</v>
      </c>
      <c r="AO195" s="180"/>
      <c r="AP195" s="180">
        <v>0</v>
      </c>
      <c r="AQ195" s="180">
        <v>2</v>
      </c>
      <c r="AR195" s="180">
        <v>2</v>
      </c>
      <c r="AS195" s="180">
        <v>2</v>
      </c>
      <c r="AT195" s="180">
        <v>2</v>
      </c>
      <c r="AU195" s="180">
        <v>0</v>
      </c>
      <c r="AV195" s="180">
        <v>2</v>
      </c>
      <c r="AW195" s="180">
        <v>2</v>
      </c>
      <c r="AX195" s="180">
        <v>2</v>
      </c>
      <c r="AY195" s="180">
        <v>2</v>
      </c>
      <c r="AZ195" s="180">
        <v>2</v>
      </c>
      <c r="BA195" s="180">
        <v>0</v>
      </c>
      <c r="BB195" s="180">
        <v>2</v>
      </c>
      <c r="BC195" s="180">
        <v>2</v>
      </c>
      <c r="BD195" s="180">
        <v>2</v>
      </c>
      <c r="BE195" s="180">
        <v>0</v>
      </c>
      <c r="BF195" s="180">
        <v>2</v>
      </c>
      <c r="BG195" s="180">
        <v>2</v>
      </c>
      <c r="BH195" s="180">
        <v>2</v>
      </c>
      <c r="BI195" s="180">
        <v>2</v>
      </c>
      <c r="BJ195" s="180">
        <v>0</v>
      </c>
      <c r="BK195" s="180">
        <v>2</v>
      </c>
      <c r="BL195" s="180">
        <v>2</v>
      </c>
      <c r="BM195" s="180">
        <v>2</v>
      </c>
      <c r="BN195" s="180">
        <v>0</v>
      </c>
      <c r="BO195" s="180">
        <v>2</v>
      </c>
      <c r="BP195" s="180">
        <v>2</v>
      </c>
      <c r="BQ195" s="180">
        <v>0</v>
      </c>
      <c r="BR195" s="180"/>
      <c r="BS195" s="180">
        <v>0</v>
      </c>
      <c r="BT195" s="180"/>
      <c r="BU195" s="180">
        <v>2</v>
      </c>
      <c r="BV195" s="180">
        <v>2</v>
      </c>
      <c r="BW195" s="180">
        <v>2</v>
      </c>
      <c r="BX195" s="180">
        <v>2</v>
      </c>
      <c r="BY195" s="180"/>
      <c r="BZ195" s="180">
        <v>2</v>
      </c>
      <c r="CA195" s="180">
        <v>2</v>
      </c>
      <c r="CB195" s="180">
        <v>2</v>
      </c>
      <c r="CC195" s="180">
        <v>0</v>
      </c>
      <c r="CD195" s="180">
        <v>2</v>
      </c>
      <c r="CE195" s="180"/>
      <c r="CF195" s="180">
        <v>2</v>
      </c>
      <c r="CG195" s="180">
        <v>2</v>
      </c>
      <c r="CH195" s="180">
        <v>0</v>
      </c>
      <c r="CI195" s="180">
        <v>2</v>
      </c>
      <c r="CJ195" s="180"/>
      <c r="CK195" s="180">
        <v>2</v>
      </c>
      <c r="CL195" s="180"/>
      <c r="CM195" s="180"/>
      <c r="CN195" s="180"/>
      <c r="CO195" s="180"/>
      <c r="CP195" s="180"/>
      <c r="CQ195" s="180"/>
      <c r="CR195" s="180"/>
      <c r="CS195" s="180"/>
      <c r="CT195" s="180"/>
      <c r="CU195" s="180"/>
    </row>
    <row r="196" spans="1:99" x14ac:dyDescent="0.3">
      <c r="A196" s="155">
        <v>657</v>
      </c>
      <c r="B196" s="180" t="s">
        <v>970</v>
      </c>
      <c r="C196" s="180"/>
      <c r="D196" s="180">
        <v>0</v>
      </c>
      <c r="E196" s="180">
        <v>0</v>
      </c>
      <c r="F196" s="180">
        <v>0</v>
      </c>
      <c r="G196" s="180">
        <v>0</v>
      </c>
      <c r="H196" s="180"/>
      <c r="I196" s="180">
        <v>0</v>
      </c>
      <c r="J196" s="180">
        <v>0</v>
      </c>
      <c r="K196" s="180">
        <v>0</v>
      </c>
      <c r="L196" s="180">
        <v>0</v>
      </c>
      <c r="M196" s="180">
        <v>0</v>
      </c>
      <c r="N196" s="180"/>
      <c r="O196" s="180">
        <v>0</v>
      </c>
      <c r="P196" s="180">
        <v>0</v>
      </c>
      <c r="Q196" s="180">
        <v>0</v>
      </c>
      <c r="R196" s="180">
        <v>0</v>
      </c>
      <c r="S196" s="180">
        <v>0</v>
      </c>
      <c r="T196" s="180">
        <v>0</v>
      </c>
      <c r="U196" s="180">
        <v>0</v>
      </c>
      <c r="V196" s="180">
        <v>0</v>
      </c>
      <c r="W196" s="180">
        <v>0</v>
      </c>
      <c r="X196" s="180">
        <v>0</v>
      </c>
      <c r="Y196" s="180">
        <v>0</v>
      </c>
      <c r="Z196" s="180">
        <v>5068687</v>
      </c>
      <c r="AA196" s="180">
        <v>0</v>
      </c>
      <c r="AB196" s="180">
        <v>0</v>
      </c>
      <c r="AC196" s="180"/>
      <c r="AD196" s="180">
        <v>0</v>
      </c>
      <c r="AE196" s="180">
        <v>0</v>
      </c>
      <c r="AF196" s="180">
        <v>8449949</v>
      </c>
      <c r="AG196" s="180">
        <v>0</v>
      </c>
      <c r="AH196" s="180">
        <v>0</v>
      </c>
      <c r="AI196" s="180">
        <v>0</v>
      </c>
      <c r="AJ196" s="180">
        <v>0</v>
      </c>
      <c r="AK196" s="180">
        <v>0</v>
      </c>
      <c r="AL196" s="180">
        <v>0</v>
      </c>
      <c r="AM196" s="180"/>
      <c r="AN196" s="180">
        <v>0</v>
      </c>
      <c r="AO196" s="180"/>
      <c r="AP196" s="180">
        <v>0</v>
      </c>
      <c r="AQ196" s="180">
        <v>107991281</v>
      </c>
      <c r="AR196" s="180">
        <v>0</v>
      </c>
      <c r="AS196" s="180">
        <v>0</v>
      </c>
      <c r="AT196" s="180">
        <v>0</v>
      </c>
      <c r="AU196" s="180">
        <v>0</v>
      </c>
      <c r="AV196" s="180">
        <v>0</v>
      </c>
      <c r="AW196" s="180">
        <v>6749720</v>
      </c>
      <c r="AX196" s="180">
        <v>0</v>
      </c>
      <c r="AY196" s="180">
        <v>0</v>
      </c>
      <c r="AZ196" s="180">
        <v>0</v>
      </c>
      <c r="BA196" s="180">
        <v>0</v>
      </c>
      <c r="BB196" s="180">
        <v>0</v>
      </c>
      <c r="BC196" s="180">
        <v>6277180</v>
      </c>
      <c r="BD196" s="180">
        <v>0</v>
      </c>
      <c r="BE196" s="180">
        <v>0</v>
      </c>
      <c r="BF196" s="180">
        <v>0</v>
      </c>
      <c r="BG196" s="180">
        <v>0</v>
      </c>
      <c r="BH196" s="180">
        <v>0</v>
      </c>
      <c r="BI196" s="180">
        <v>0</v>
      </c>
      <c r="BJ196" s="180">
        <v>0</v>
      </c>
      <c r="BK196" s="180">
        <v>0</v>
      </c>
      <c r="BL196" s="180">
        <v>4321892</v>
      </c>
      <c r="BM196" s="180">
        <v>0</v>
      </c>
      <c r="BN196" s="180">
        <v>0</v>
      </c>
      <c r="BO196" s="180">
        <v>0</v>
      </c>
      <c r="BP196" s="180">
        <v>0</v>
      </c>
      <c r="BQ196" s="180">
        <v>0</v>
      </c>
      <c r="BR196" s="180"/>
      <c r="BS196" s="180">
        <v>0</v>
      </c>
      <c r="BT196" s="180"/>
      <c r="BU196" s="180">
        <v>0</v>
      </c>
      <c r="BV196" s="180">
        <v>0</v>
      </c>
      <c r="BW196" s="180">
        <v>0</v>
      </c>
      <c r="BX196" s="180">
        <v>2830935</v>
      </c>
      <c r="BY196" s="180"/>
      <c r="BZ196" s="180">
        <v>0</v>
      </c>
      <c r="CA196" s="180">
        <v>0</v>
      </c>
      <c r="CB196" s="180">
        <v>0</v>
      </c>
      <c r="CC196" s="180">
        <v>0</v>
      </c>
      <c r="CD196" s="180">
        <v>0</v>
      </c>
      <c r="CE196" s="180"/>
      <c r="CF196" s="180">
        <v>0</v>
      </c>
      <c r="CG196" s="180">
        <v>0</v>
      </c>
      <c r="CH196" s="180">
        <v>8214767</v>
      </c>
      <c r="CI196" s="180">
        <v>0</v>
      </c>
      <c r="CJ196" s="180"/>
      <c r="CK196" s="180">
        <v>0</v>
      </c>
      <c r="CL196" s="180"/>
      <c r="CM196" s="180"/>
      <c r="CN196" s="180"/>
      <c r="CO196" s="180"/>
      <c r="CP196" s="180"/>
      <c r="CQ196" s="180"/>
      <c r="CR196" s="180"/>
      <c r="CS196" s="180"/>
      <c r="CT196" s="180"/>
      <c r="CU196" s="180"/>
    </row>
    <row r="197" spans="1:99" x14ac:dyDescent="0.3">
      <c r="A197" s="155">
        <v>658</v>
      </c>
      <c r="B197" s="180" t="s">
        <v>971</v>
      </c>
      <c r="C197" s="180"/>
      <c r="D197" s="180">
        <v>0</v>
      </c>
      <c r="E197" s="180">
        <v>0</v>
      </c>
      <c r="F197" s="180">
        <v>0</v>
      </c>
      <c r="G197" s="180">
        <v>0</v>
      </c>
      <c r="H197" s="180"/>
      <c r="I197" s="180">
        <v>0</v>
      </c>
      <c r="J197" s="180">
        <v>0</v>
      </c>
      <c r="K197" s="180">
        <v>0</v>
      </c>
      <c r="L197" s="180">
        <v>0</v>
      </c>
      <c r="M197" s="180">
        <v>0</v>
      </c>
      <c r="N197" s="180"/>
      <c r="O197" s="180">
        <v>0</v>
      </c>
      <c r="P197" s="180">
        <v>0</v>
      </c>
      <c r="Q197" s="180">
        <v>0</v>
      </c>
      <c r="R197" s="180">
        <v>0</v>
      </c>
      <c r="S197" s="180">
        <v>0</v>
      </c>
      <c r="T197" s="180">
        <v>0</v>
      </c>
      <c r="U197" s="180">
        <v>0</v>
      </c>
      <c r="V197" s="180">
        <v>0</v>
      </c>
      <c r="W197" s="180">
        <v>0</v>
      </c>
      <c r="X197" s="180">
        <v>0</v>
      </c>
      <c r="Y197" s="180">
        <v>0</v>
      </c>
      <c r="Z197" s="180">
        <v>187877</v>
      </c>
      <c r="AA197" s="180">
        <v>0</v>
      </c>
      <c r="AB197" s="180">
        <v>0</v>
      </c>
      <c r="AC197" s="180"/>
      <c r="AD197" s="180">
        <v>0</v>
      </c>
      <c r="AE197" s="180">
        <v>0</v>
      </c>
      <c r="AF197" s="180">
        <v>0</v>
      </c>
      <c r="AG197" s="180">
        <v>0</v>
      </c>
      <c r="AH197" s="180">
        <v>0</v>
      </c>
      <c r="AI197" s="180">
        <v>0</v>
      </c>
      <c r="AJ197" s="180">
        <v>0</v>
      </c>
      <c r="AK197" s="180">
        <v>0</v>
      </c>
      <c r="AL197" s="180">
        <v>0</v>
      </c>
      <c r="AM197" s="180"/>
      <c r="AN197" s="180">
        <v>0</v>
      </c>
      <c r="AO197" s="180"/>
      <c r="AP197" s="180">
        <v>0</v>
      </c>
      <c r="AQ197" s="180">
        <v>0</v>
      </c>
      <c r="AR197" s="180">
        <v>0</v>
      </c>
      <c r="AS197" s="180">
        <v>0</v>
      </c>
      <c r="AT197" s="180">
        <v>0</v>
      </c>
      <c r="AU197" s="180">
        <v>0</v>
      </c>
      <c r="AV197" s="180">
        <v>0</v>
      </c>
      <c r="AW197" s="180">
        <v>160454</v>
      </c>
      <c r="AX197" s="180">
        <v>0</v>
      </c>
      <c r="AY197" s="180">
        <v>0</v>
      </c>
      <c r="AZ197" s="180">
        <v>0</v>
      </c>
      <c r="BA197" s="180">
        <v>0</v>
      </c>
      <c r="BB197" s="180">
        <v>0</v>
      </c>
      <c r="BC197" s="180">
        <v>209190</v>
      </c>
      <c r="BD197" s="180">
        <v>0</v>
      </c>
      <c r="BE197" s="180">
        <v>0</v>
      </c>
      <c r="BF197" s="180">
        <v>0</v>
      </c>
      <c r="BG197" s="180">
        <v>0</v>
      </c>
      <c r="BH197" s="180">
        <v>0</v>
      </c>
      <c r="BI197" s="180">
        <v>0</v>
      </c>
      <c r="BJ197" s="180">
        <v>0</v>
      </c>
      <c r="BK197" s="180">
        <v>0</v>
      </c>
      <c r="BL197" s="180">
        <v>0</v>
      </c>
      <c r="BM197" s="180">
        <v>0</v>
      </c>
      <c r="BN197" s="180">
        <v>0</v>
      </c>
      <c r="BO197" s="180">
        <v>0</v>
      </c>
      <c r="BP197" s="180">
        <v>0</v>
      </c>
      <c r="BQ197" s="180">
        <v>0</v>
      </c>
      <c r="BR197" s="180"/>
      <c r="BS197" s="180">
        <v>0</v>
      </c>
      <c r="BT197" s="180"/>
      <c r="BU197" s="180">
        <v>0</v>
      </c>
      <c r="BV197" s="180">
        <v>0</v>
      </c>
      <c r="BW197" s="180">
        <v>0</v>
      </c>
      <c r="BX197" s="180">
        <v>0</v>
      </c>
      <c r="BY197" s="180"/>
      <c r="BZ197" s="180">
        <v>0</v>
      </c>
      <c r="CA197" s="180">
        <v>0</v>
      </c>
      <c r="CB197" s="180">
        <v>0</v>
      </c>
      <c r="CC197" s="180">
        <v>0</v>
      </c>
      <c r="CD197" s="180">
        <v>0</v>
      </c>
      <c r="CE197" s="180"/>
      <c r="CF197" s="180">
        <v>0</v>
      </c>
      <c r="CG197" s="180">
        <v>0</v>
      </c>
      <c r="CH197" s="180">
        <v>102645</v>
      </c>
      <c r="CI197" s="180">
        <v>0</v>
      </c>
      <c r="CJ197" s="180"/>
      <c r="CK197" s="180">
        <v>0</v>
      </c>
      <c r="CL197" s="180"/>
      <c r="CM197" s="180"/>
      <c r="CN197" s="180"/>
      <c r="CO197" s="180"/>
      <c r="CP197" s="180"/>
      <c r="CQ197" s="180"/>
      <c r="CR197" s="180"/>
      <c r="CS197" s="180"/>
      <c r="CT197" s="180"/>
      <c r="CU197" s="180"/>
    </row>
    <row r="198" spans="1:99" x14ac:dyDescent="0.3">
      <c r="A198" s="155">
        <v>659</v>
      </c>
      <c r="B198" s="180" t="s">
        <v>972</v>
      </c>
      <c r="C198" s="180"/>
      <c r="D198" s="180">
        <v>0</v>
      </c>
      <c r="E198" s="180">
        <v>0</v>
      </c>
      <c r="F198" s="180">
        <v>0</v>
      </c>
      <c r="G198" s="180">
        <v>0</v>
      </c>
      <c r="H198" s="180"/>
      <c r="I198" s="180">
        <v>0</v>
      </c>
      <c r="J198" s="180">
        <v>0</v>
      </c>
      <c r="K198" s="180">
        <v>10494305</v>
      </c>
      <c r="L198" s="180">
        <v>609440</v>
      </c>
      <c r="M198" s="180">
        <v>19922078</v>
      </c>
      <c r="N198" s="180"/>
      <c r="O198" s="180">
        <v>163722875</v>
      </c>
      <c r="P198" s="180">
        <v>0</v>
      </c>
      <c r="Q198" s="180">
        <v>0</v>
      </c>
      <c r="R198" s="180">
        <v>0</v>
      </c>
      <c r="S198" s="180">
        <v>250422</v>
      </c>
      <c r="T198" s="180">
        <v>0</v>
      </c>
      <c r="U198" s="180">
        <v>0</v>
      </c>
      <c r="V198" s="180">
        <v>0</v>
      </c>
      <c r="W198" s="180">
        <v>17822</v>
      </c>
      <c r="X198" s="180">
        <v>32856852</v>
      </c>
      <c r="Y198" s="180">
        <v>463295000</v>
      </c>
      <c r="Z198" s="180">
        <v>2454351</v>
      </c>
      <c r="AA198" s="180">
        <v>0</v>
      </c>
      <c r="AB198" s="180">
        <v>0</v>
      </c>
      <c r="AC198" s="180"/>
      <c r="AD198" s="180">
        <v>134988</v>
      </c>
      <c r="AE198" s="180">
        <v>0</v>
      </c>
      <c r="AF198" s="180">
        <v>1378008</v>
      </c>
      <c r="AG198" s="180">
        <v>0</v>
      </c>
      <c r="AH198" s="180">
        <v>0</v>
      </c>
      <c r="AI198" s="180">
        <v>3586228</v>
      </c>
      <c r="AJ198" s="180">
        <v>425716</v>
      </c>
      <c r="AK198" s="180">
        <v>0</v>
      </c>
      <c r="AL198" s="180">
        <v>0</v>
      </c>
      <c r="AM198" s="180"/>
      <c r="AN198" s="180">
        <v>831347</v>
      </c>
      <c r="AO198" s="180"/>
      <c r="AP198" s="180">
        <v>0</v>
      </c>
      <c r="AQ198" s="180">
        <v>47196295</v>
      </c>
      <c r="AR198" s="180">
        <v>0</v>
      </c>
      <c r="AS198" s="180">
        <v>0</v>
      </c>
      <c r="AT198" s="180">
        <v>0</v>
      </c>
      <c r="AU198" s="180">
        <v>0</v>
      </c>
      <c r="AV198" s="180">
        <v>0</v>
      </c>
      <c r="AW198" s="180">
        <v>2536874</v>
      </c>
      <c r="AX198" s="180">
        <v>0</v>
      </c>
      <c r="AY198" s="180">
        <v>800943</v>
      </c>
      <c r="AZ198" s="180">
        <v>2812872</v>
      </c>
      <c r="BA198" s="180">
        <v>0</v>
      </c>
      <c r="BB198" s="180">
        <v>0</v>
      </c>
      <c r="BC198" s="180">
        <v>283133</v>
      </c>
      <c r="BD198" s="180">
        <v>0</v>
      </c>
      <c r="BE198" s="180">
        <v>0</v>
      </c>
      <c r="BF198" s="180">
        <v>0</v>
      </c>
      <c r="BG198" s="180">
        <v>0</v>
      </c>
      <c r="BH198" s="180">
        <v>0</v>
      </c>
      <c r="BI198" s="180">
        <v>231334</v>
      </c>
      <c r="BJ198" s="180">
        <v>0</v>
      </c>
      <c r="BK198" s="180">
        <v>0</v>
      </c>
      <c r="BL198" s="180">
        <v>0</v>
      </c>
      <c r="BM198" s="180">
        <v>0</v>
      </c>
      <c r="BN198" s="180">
        <v>0</v>
      </c>
      <c r="BO198" s="180">
        <v>6438560</v>
      </c>
      <c r="BP198" s="180">
        <v>161244533</v>
      </c>
      <c r="BQ198" s="180">
        <v>0</v>
      </c>
      <c r="BR198" s="180"/>
      <c r="BS198" s="180">
        <v>0</v>
      </c>
      <c r="BT198" s="180"/>
      <c r="BU198" s="180">
        <v>0</v>
      </c>
      <c r="BV198" s="180">
        <v>19987</v>
      </c>
      <c r="BW198" s="180">
        <v>13584772</v>
      </c>
      <c r="BX198" s="180">
        <v>2125794</v>
      </c>
      <c r="BY198" s="180"/>
      <c r="BZ198" s="180">
        <v>0</v>
      </c>
      <c r="CA198" s="180">
        <v>507708</v>
      </c>
      <c r="CB198" s="180">
        <v>37999</v>
      </c>
      <c r="CC198" s="180">
        <v>0</v>
      </c>
      <c r="CD198" s="180">
        <v>147791</v>
      </c>
      <c r="CE198" s="180"/>
      <c r="CF198" s="180">
        <v>0</v>
      </c>
      <c r="CG198" s="180">
        <v>0</v>
      </c>
      <c r="CH198" s="180">
        <v>0</v>
      </c>
      <c r="CI198" s="180">
        <v>722616</v>
      </c>
      <c r="CJ198" s="180"/>
      <c r="CK198" s="180">
        <v>0</v>
      </c>
      <c r="CL198" s="180"/>
      <c r="CM198" s="180"/>
      <c r="CN198" s="180"/>
      <c r="CO198" s="180"/>
      <c r="CP198" s="180"/>
      <c r="CQ198" s="180"/>
      <c r="CR198" s="180"/>
      <c r="CS198" s="180"/>
      <c r="CT198" s="180"/>
      <c r="CU198" s="180"/>
    </row>
    <row r="199" spans="1:99" x14ac:dyDescent="0.3">
      <c r="A199" s="155">
        <v>660</v>
      </c>
      <c r="B199" s="180" t="s">
        <v>973</v>
      </c>
      <c r="C199" s="180"/>
      <c r="D199" s="180">
        <v>0</v>
      </c>
      <c r="E199" s="180">
        <v>0</v>
      </c>
      <c r="F199" s="180">
        <v>0</v>
      </c>
      <c r="G199" s="180">
        <v>0</v>
      </c>
      <c r="H199" s="180"/>
      <c r="I199" s="180">
        <v>0</v>
      </c>
      <c r="J199" s="180">
        <v>0</v>
      </c>
      <c r="K199" s="180">
        <v>0</v>
      </c>
      <c r="L199" s="180">
        <v>0</v>
      </c>
      <c r="M199" s="180">
        <v>0</v>
      </c>
      <c r="N199" s="180"/>
      <c r="O199" s="180">
        <v>0</v>
      </c>
      <c r="P199" s="180">
        <v>0</v>
      </c>
      <c r="Q199" s="180">
        <v>0</v>
      </c>
      <c r="R199" s="180">
        <v>0</v>
      </c>
      <c r="S199" s="180">
        <v>0</v>
      </c>
      <c r="T199" s="180">
        <v>0</v>
      </c>
      <c r="U199" s="180">
        <v>0</v>
      </c>
      <c r="V199" s="180">
        <v>0</v>
      </c>
      <c r="W199" s="180">
        <v>0</v>
      </c>
      <c r="X199" s="180">
        <v>7029969</v>
      </c>
      <c r="Y199" s="180">
        <v>131184000</v>
      </c>
      <c r="Z199" s="180">
        <v>0</v>
      </c>
      <c r="AA199" s="180">
        <v>0</v>
      </c>
      <c r="AB199" s="180">
        <v>0</v>
      </c>
      <c r="AC199" s="180"/>
      <c r="AD199" s="180">
        <v>0</v>
      </c>
      <c r="AE199" s="180">
        <v>0</v>
      </c>
      <c r="AF199" s="180">
        <v>0</v>
      </c>
      <c r="AG199" s="180">
        <v>0</v>
      </c>
      <c r="AH199" s="180">
        <v>0</v>
      </c>
      <c r="AI199" s="180">
        <v>0</v>
      </c>
      <c r="AJ199" s="180">
        <v>0</v>
      </c>
      <c r="AK199" s="180">
        <v>0</v>
      </c>
      <c r="AL199" s="180">
        <v>0</v>
      </c>
      <c r="AM199" s="180"/>
      <c r="AN199" s="180">
        <v>0</v>
      </c>
      <c r="AO199" s="180"/>
      <c r="AP199" s="180">
        <v>0</v>
      </c>
      <c r="AQ199" s="180">
        <v>15159753</v>
      </c>
      <c r="AR199" s="180">
        <v>0</v>
      </c>
      <c r="AS199" s="180">
        <v>0</v>
      </c>
      <c r="AT199" s="180">
        <v>0</v>
      </c>
      <c r="AU199" s="180">
        <v>0</v>
      </c>
      <c r="AV199" s="180">
        <v>0</v>
      </c>
      <c r="AW199" s="180">
        <v>460413</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c r="BS199" s="180">
        <v>0</v>
      </c>
      <c r="BT199" s="180"/>
      <c r="BU199" s="180">
        <v>0</v>
      </c>
      <c r="BV199" s="180">
        <v>0</v>
      </c>
      <c r="BW199" s="180">
        <v>0</v>
      </c>
      <c r="BX199" s="180">
        <v>0</v>
      </c>
      <c r="BY199" s="180"/>
      <c r="BZ199" s="180">
        <v>0</v>
      </c>
      <c r="CA199" s="180">
        <v>0</v>
      </c>
      <c r="CB199" s="180">
        <v>0</v>
      </c>
      <c r="CC199" s="180">
        <v>0</v>
      </c>
      <c r="CD199" s="180">
        <v>0</v>
      </c>
      <c r="CE199" s="180"/>
      <c r="CF199" s="180">
        <v>0</v>
      </c>
      <c r="CG199" s="180">
        <v>0</v>
      </c>
      <c r="CH199" s="180">
        <v>0</v>
      </c>
      <c r="CI199" s="180">
        <v>0</v>
      </c>
      <c r="CJ199" s="180"/>
      <c r="CK199" s="180">
        <v>0</v>
      </c>
      <c r="CL199" s="180"/>
      <c r="CM199" s="180"/>
      <c r="CN199" s="180"/>
      <c r="CO199" s="180"/>
      <c r="CP199" s="180"/>
      <c r="CQ199" s="180"/>
      <c r="CR199" s="180"/>
      <c r="CS199" s="180"/>
      <c r="CT199" s="180"/>
      <c r="CU199" s="180"/>
    </row>
    <row r="200" spans="1:99" s="561" customFormat="1" x14ac:dyDescent="0.3">
      <c r="A200" s="560">
        <v>661</v>
      </c>
      <c r="B200" s="561" t="s">
        <v>421</v>
      </c>
      <c r="D200" s="561">
        <v>0</v>
      </c>
      <c r="E200" s="561">
        <v>0</v>
      </c>
      <c r="F200" s="561">
        <v>0</v>
      </c>
      <c r="G200" s="561">
        <v>0</v>
      </c>
      <c r="I200" s="561">
        <v>0</v>
      </c>
      <c r="J200" s="561">
        <v>0</v>
      </c>
      <c r="K200" s="561">
        <v>0</v>
      </c>
      <c r="L200" s="561">
        <v>0</v>
      </c>
      <c r="M200" s="561">
        <v>0</v>
      </c>
      <c r="O200" s="561">
        <v>0</v>
      </c>
      <c r="P200" s="561">
        <v>0</v>
      </c>
      <c r="Q200" s="561">
        <v>0</v>
      </c>
      <c r="R200" s="561">
        <v>0</v>
      </c>
      <c r="S200" s="561">
        <v>0</v>
      </c>
      <c r="T200" s="561">
        <v>0</v>
      </c>
      <c r="U200" s="561">
        <v>0</v>
      </c>
      <c r="V200" s="561">
        <v>0</v>
      </c>
      <c r="W200" s="561">
        <v>0</v>
      </c>
      <c r="X200" s="561">
        <v>21.4</v>
      </c>
      <c r="Y200" s="561">
        <v>28.3</v>
      </c>
      <c r="Z200" s="561">
        <v>0</v>
      </c>
      <c r="AA200" s="561">
        <v>0</v>
      </c>
      <c r="AB200" s="561">
        <v>0</v>
      </c>
      <c r="AD200" s="561">
        <v>0</v>
      </c>
      <c r="AE200" s="561">
        <v>0</v>
      </c>
      <c r="AF200" s="561">
        <v>0</v>
      </c>
      <c r="AG200" s="561">
        <v>0</v>
      </c>
      <c r="AH200" s="561">
        <v>0</v>
      </c>
      <c r="AI200" s="561">
        <v>0</v>
      </c>
      <c r="AJ200" s="561">
        <v>0</v>
      </c>
      <c r="AK200" s="561">
        <v>0</v>
      </c>
      <c r="AL200" s="561">
        <v>0</v>
      </c>
      <c r="AN200" s="561">
        <v>0</v>
      </c>
      <c r="AP200" s="561">
        <v>0</v>
      </c>
      <c r="AQ200" s="561">
        <v>32.1</v>
      </c>
      <c r="AR200" s="561">
        <v>0</v>
      </c>
      <c r="AS200" s="561">
        <v>0</v>
      </c>
      <c r="AT200" s="561">
        <v>0</v>
      </c>
      <c r="AU200" s="561">
        <v>0</v>
      </c>
      <c r="AV200" s="561">
        <v>0</v>
      </c>
      <c r="AW200" s="561">
        <v>18.100000000000001</v>
      </c>
      <c r="AX200" s="561">
        <v>0</v>
      </c>
      <c r="AY200" s="561">
        <v>0</v>
      </c>
      <c r="AZ200" s="561">
        <v>0</v>
      </c>
      <c r="BA200" s="561">
        <v>0</v>
      </c>
      <c r="BB200" s="561">
        <v>0</v>
      </c>
      <c r="BC200" s="561">
        <v>0</v>
      </c>
      <c r="BD200" s="561">
        <v>0</v>
      </c>
      <c r="BE200" s="561">
        <v>0</v>
      </c>
      <c r="BF200" s="561">
        <v>0</v>
      </c>
      <c r="BG200" s="561">
        <v>0</v>
      </c>
      <c r="BH200" s="561">
        <v>0</v>
      </c>
      <c r="BI200" s="561">
        <v>0</v>
      </c>
      <c r="BJ200" s="561">
        <v>0</v>
      </c>
      <c r="BK200" s="561">
        <v>0</v>
      </c>
      <c r="BL200" s="561">
        <v>0</v>
      </c>
      <c r="BM200" s="561">
        <v>0</v>
      </c>
      <c r="BN200" s="561">
        <v>0</v>
      </c>
      <c r="BO200" s="561">
        <v>0</v>
      </c>
      <c r="BP200" s="561">
        <v>0</v>
      </c>
      <c r="BQ200" s="561">
        <v>0</v>
      </c>
      <c r="BS200" s="561">
        <v>0</v>
      </c>
      <c r="BU200" s="561">
        <v>0</v>
      </c>
      <c r="BV200" s="561">
        <v>0</v>
      </c>
      <c r="BW200" s="561">
        <v>0</v>
      </c>
      <c r="BX200" s="561">
        <v>0</v>
      </c>
      <c r="BZ200" s="561">
        <v>0</v>
      </c>
      <c r="CA200" s="561">
        <v>0</v>
      </c>
      <c r="CB200" s="561">
        <v>0</v>
      </c>
      <c r="CC200" s="561">
        <v>0</v>
      </c>
      <c r="CD200" s="561">
        <v>0</v>
      </c>
      <c r="CF200" s="561">
        <v>0</v>
      </c>
      <c r="CG200" s="561">
        <v>0</v>
      </c>
      <c r="CH200" s="561">
        <v>0</v>
      </c>
      <c r="CI200" s="561">
        <v>0</v>
      </c>
      <c r="CK200" s="561">
        <v>0</v>
      </c>
    </row>
    <row r="201" spans="1:99" s="554" customFormat="1" x14ac:dyDescent="0.3">
      <c r="A201" s="557">
        <v>662</v>
      </c>
      <c r="B201" s="554" t="s">
        <v>451</v>
      </c>
      <c r="I201" s="554">
        <v>0</v>
      </c>
      <c r="J201" s="554">
        <v>63838</v>
      </c>
      <c r="M201" s="554">
        <v>0</v>
      </c>
      <c r="O201" s="554">
        <v>0</v>
      </c>
      <c r="T201" s="554">
        <v>25000</v>
      </c>
      <c r="X201" s="554">
        <v>3916</v>
      </c>
      <c r="Y201" s="554">
        <v>720538</v>
      </c>
      <c r="Z201" s="554">
        <v>0</v>
      </c>
      <c r="AG201" s="554">
        <v>0</v>
      </c>
      <c r="AQ201" s="554">
        <v>0</v>
      </c>
      <c r="AT201" s="554">
        <v>0</v>
      </c>
      <c r="AW201" s="554">
        <v>0</v>
      </c>
      <c r="BO201" s="554">
        <v>0</v>
      </c>
      <c r="BP201" s="554">
        <v>391076</v>
      </c>
      <c r="BW201" s="554">
        <v>0</v>
      </c>
      <c r="BX201" s="554">
        <v>0</v>
      </c>
      <c r="BZ201" s="554">
        <v>0</v>
      </c>
      <c r="CB201" s="554">
        <v>0</v>
      </c>
      <c r="CG201" s="554">
        <v>0</v>
      </c>
      <c r="CH201" s="554">
        <v>0</v>
      </c>
    </row>
    <row r="202" spans="1:99" s="554" customFormat="1" x14ac:dyDescent="0.3">
      <c r="A202" s="557">
        <v>663</v>
      </c>
      <c r="B202" s="554" t="s">
        <v>974</v>
      </c>
      <c r="I202" s="554">
        <v>0</v>
      </c>
      <c r="J202" s="554">
        <v>0</v>
      </c>
      <c r="M202" s="554">
        <v>703066</v>
      </c>
      <c r="O202" s="554">
        <v>1943047</v>
      </c>
      <c r="T202" s="554">
        <v>0</v>
      </c>
      <c r="X202" s="554">
        <v>8861696</v>
      </c>
      <c r="Y202" s="554">
        <v>158541027</v>
      </c>
      <c r="Z202" s="554">
        <v>0</v>
      </c>
      <c r="AG202" s="554">
        <v>0</v>
      </c>
      <c r="AQ202" s="554">
        <v>2452851</v>
      </c>
      <c r="AT202" s="554">
        <v>426500</v>
      </c>
      <c r="AW202" s="554">
        <v>0</v>
      </c>
      <c r="BO202" s="554">
        <v>0</v>
      </c>
      <c r="BP202" s="554">
        <v>27753815</v>
      </c>
      <c r="BW202" s="554">
        <v>0</v>
      </c>
      <c r="BX202" s="554">
        <v>0</v>
      </c>
      <c r="BZ202" s="554">
        <v>0</v>
      </c>
      <c r="CB202" s="554">
        <v>25737</v>
      </c>
      <c r="CG202" s="554">
        <v>0</v>
      </c>
      <c r="CH202" s="554">
        <v>0</v>
      </c>
    </row>
    <row r="203" spans="1:99" s="556" customFormat="1" x14ac:dyDescent="0.3">
      <c r="A203" s="555">
        <v>906</v>
      </c>
      <c r="B203" s="556" t="s">
        <v>975</v>
      </c>
      <c r="D203" s="556">
        <v>1</v>
      </c>
      <c r="E203" s="556">
        <v>1</v>
      </c>
      <c r="F203" s="556">
        <v>1</v>
      </c>
      <c r="G203" s="556">
        <v>1</v>
      </c>
      <c r="I203" s="556">
        <v>1</v>
      </c>
      <c r="J203" s="556">
        <v>1</v>
      </c>
      <c r="K203" s="556">
        <v>1</v>
      </c>
      <c r="L203" s="556">
        <v>1</v>
      </c>
      <c r="M203" s="556">
        <v>1</v>
      </c>
      <c r="O203" s="556">
        <v>1</v>
      </c>
      <c r="P203" s="556">
        <v>1</v>
      </c>
      <c r="Q203" s="556">
        <v>1</v>
      </c>
      <c r="R203" s="556">
        <v>1</v>
      </c>
      <c r="S203" s="556">
        <v>1</v>
      </c>
      <c r="T203" s="556">
        <v>1</v>
      </c>
      <c r="U203" s="556">
        <v>1</v>
      </c>
      <c r="V203" s="556">
        <v>1</v>
      </c>
      <c r="W203" s="556">
        <v>1</v>
      </c>
      <c r="X203" s="556">
        <v>1</v>
      </c>
      <c r="Y203" s="556">
        <v>1</v>
      </c>
      <c r="Z203" s="556">
        <v>1</v>
      </c>
      <c r="AA203" s="556">
        <v>1</v>
      </c>
      <c r="AB203" s="556">
        <v>1</v>
      </c>
      <c r="AD203" s="556">
        <v>1</v>
      </c>
      <c r="AE203" s="556">
        <v>1</v>
      </c>
      <c r="AF203" s="556">
        <v>1</v>
      </c>
      <c r="AG203" s="556">
        <v>1</v>
      </c>
      <c r="AH203" s="556">
        <v>1</v>
      </c>
      <c r="AI203" s="556">
        <v>1</v>
      </c>
      <c r="AJ203" s="556">
        <v>1</v>
      </c>
      <c r="AK203" s="556">
        <v>1</v>
      </c>
      <c r="AL203" s="556">
        <v>1</v>
      </c>
      <c r="AN203" s="556">
        <v>1</v>
      </c>
      <c r="AP203" s="556">
        <v>1</v>
      </c>
      <c r="AQ203" s="556">
        <v>1</v>
      </c>
      <c r="AR203" s="556">
        <v>1</v>
      </c>
      <c r="AS203" s="556">
        <v>1</v>
      </c>
      <c r="AT203" s="556">
        <v>1</v>
      </c>
      <c r="AU203" s="556">
        <v>1</v>
      </c>
      <c r="AV203" s="556">
        <v>1</v>
      </c>
      <c r="AW203" s="556">
        <v>1</v>
      </c>
      <c r="AX203" s="556">
        <v>1</v>
      </c>
      <c r="AY203" s="556">
        <v>1</v>
      </c>
      <c r="AZ203" s="556">
        <v>1</v>
      </c>
      <c r="BA203" s="556">
        <v>1</v>
      </c>
      <c r="BB203" s="556">
        <v>1</v>
      </c>
      <c r="BC203" s="556">
        <v>1</v>
      </c>
      <c r="BD203" s="556">
        <v>1</v>
      </c>
      <c r="BE203" s="556">
        <v>1</v>
      </c>
      <c r="BF203" s="556">
        <v>1</v>
      </c>
      <c r="BG203" s="556">
        <v>1</v>
      </c>
      <c r="BH203" s="556">
        <v>1</v>
      </c>
      <c r="BI203" s="556">
        <v>1</v>
      </c>
      <c r="BJ203" s="556">
        <v>1</v>
      </c>
      <c r="BK203" s="556">
        <v>1</v>
      </c>
      <c r="BL203" s="556">
        <v>1</v>
      </c>
      <c r="BM203" s="556">
        <v>1</v>
      </c>
      <c r="BN203" s="556">
        <v>1</v>
      </c>
      <c r="BO203" s="556">
        <v>1</v>
      </c>
      <c r="BP203" s="556">
        <v>1</v>
      </c>
      <c r="BQ203" s="556">
        <v>1</v>
      </c>
      <c r="BS203" s="556">
        <v>1</v>
      </c>
      <c r="BU203" s="556">
        <v>1</v>
      </c>
      <c r="BV203" s="556">
        <v>1</v>
      </c>
      <c r="BW203" s="556">
        <v>1</v>
      </c>
      <c r="BX203" s="556">
        <v>1</v>
      </c>
      <c r="BZ203" s="556">
        <v>1</v>
      </c>
      <c r="CA203" s="556">
        <v>1</v>
      </c>
      <c r="CB203" s="556">
        <v>1</v>
      </c>
      <c r="CC203" s="556">
        <v>1</v>
      </c>
      <c r="CD203" s="556">
        <v>1</v>
      </c>
      <c r="CF203" s="556">
        <v>1</v>
      </c>
      <c r="CG203" s="556">
        <v>1</v>
      </c>
      <c r="CH203" s="556">
        <v>1</v>
      </c>
      <c r="CI203" s="556">
        <v>1</v>
      </c>
      <c r="CK203" s="556">
        <v>1</v>
      </c>
    </row>
    <row r="204" spans="1:99" s="556" customFormat="1" x14ac:dyDescent="0.3">
      <c r="A204" s="555">
        <v>907</v>
      </c>
      <c r="B204" s="556" t="s">
        <v>976</v>
      </c>
      <c r="D204" s="556">
        <v>1</v>
      </c>
      <c r="E204" s="556">
        <v>1</v>
      </c>
      <c r="F204" s="556">
        <v>1</v>
      </c>
      <c r="G204" s="556">
        <v>1</v>
      </c>
      <c r="I204" s="556">
        <v>2</v>
      </c>
      <c r="J204" s="556">
        <v>1</v>
      </c>
      <c r="K204" s="556">
        <v>2</v>
      </c>
      <c r="L204" s="556">
        <v>2</v>
      </c>
      <c r="M204" s="556">
        <v>2</v>
      </c>
      <c r="O204" s="556">
        <v>2</v>
      </c>
      <c r="P204" s="556">
        <v>1</v>
      </c>
      <c r="Q204" s="556">
        <v>1</v>
      </c>
      <c r="R204" s="556">
        <v>1</v>
      </c>
      <c r="S204" s="556">
        <v>2</v>
      </c>
      <c r="T204" s="556">
        <v>2</v>
      </c>
      <c r="U204" s="556">
        <v>2</v>
      </c>
      <c r="V204" s="556">
        <v>1</v>
      </c>
      <c r="W204" s="556">
        <v>2</v>
      </c>
      <c r="X204" s="556">
        <v>2</v>
      </c>
      <c r="Y204" s="556">
        <v>2</v>
      </c>
      <c r="Z204" s="556">
        <v>2</v>
      </c>
      <c r="AA204" s="556">
        <v>2</v>
      </c>
      <c r="AB204" s="556">
        <v>2</v>
      </c>
      <c r="AD204" s="556">
        <v>2</v>
      </c>
      <c r="AE204" s="556">
        <v>1</v>
      </c>
      <c r="AF204" s="556">
        <v>2</v>
      </c>
      <c r="AG204" s="556">
        <v>1</v>
      </c>
      <c r="AH204" s="556">
        <v>2</v>
      </c>
      <c r="AI204" s="556">
        <v>2</v>
      </c>
      <c r="AJ204" s="556">
        <v>2</v>
      </c>
      <c r="AK204" s="556">
        <v>1</v>
      </c>
      <c r="AL204" s="556">
        <v>2</v>
      </c>
      <c r="AN204" s="556">
        <v>1</v>
      </c>
      <c r="AP204" s="556">
        <v>2</v>
      </c>
      <c r="AQ204" s="556">
        <v>1</v>
      </c>
      <c r="AR204" s="556">
        <v>1</v>
      </c>
      <c r="AS204" s="556">
        <v>1</v>
      </c>
      <c r="AT204" s="556">
        <v>2</v>
      </c>
      <c r="AU204" s="556">
        <v>1</v>
      </c>
      <c r="AV204" s="556">
        <v>1</v>
      </c>
      <c r="AW204" s="556">
        <v>2</v>
      </c>
      <c r="AX204" s="556">
        <v>1</v>
      </c>
      <c r="AY204" s="556">
        <v>2</v>
      </c>
      <c r="AZ204" s="556">
        <v>2</v>
      </c>
      <c r="BA204" s="556">
        <v>2</v>
      </c>
      <c r="BB204" s="556">
        <v>2</v>
      </c>
      <c r="BC204" s="556">
        <v>2</v>
      </c>
      <c r="BD204" s="556">
        <v>1</v>
      </c>
      <c r="BE204" s="556">
        <v>2</v>
      </c>
      <c r="BF204" s="556">
        <v>2</v>
      </c>
      <c r="BG204" s="556">
        <v>1</v>
      </c>
      <c r="BH204" s="556">
        <v>1</v>
      </c>
      <c r="BI204" s="556">
        <v>2</v>
      </c>
      <c r="BJ204" s="556">
        <v>2</v>
      </c>
      <c r="BK204" s="556">
        <v>1</v>
      </c>
      <c r="BL204" s="556">
        <v>2</v>
      </c>
      <c r="BM204" s="556">
        <v>1</v>
      </c>
      <c r="BN204" s="556">
        <v>2</v>
      </c>
      <c r="BO204" s="556">
        <v>2</v>
      </c>
      <c r="BP204" s="556">
        <v>2</v>
      </c>
      <c r="BQ204" s="556">
        <v>1</v>
      </c>
      <c r="BS204" s="556">
        <v>2</v>
      </c>
      <c r="BU204" s="556">
        <v>2</v>
      </c>
      <c r="BV204" s="556">
        <v>1</v>
      </c>
      <c r="BW204" s="556">
        <v>2</v>
      </c>
      <c r="BX204" s="556">
        <v>2</v>
      </c>
      <c r="BZ204" s="556">
        <v>1</v>
      </c>
      <c r="CA204" s="556">
        <v>2</v>
      </c>
      <c r="CB204" s="556">
        <v>2</v>
      </c>
      <c r="CC204" s="556">
        <v>1</v>
      </c>
      <c r="CD204" s="556">
        <v>1</v>
      </c>
      <c r="CF204" s="556">
        <v>2</v>
      </c>
      <c r="CG204" s="556">
        <v>2</v>
      </c>
      <c r="CH204" s="556">
        <v>2</v>
      </c>
      <c r="CI204" s="556">
        <v>1</v>
      </c>
      <c r="CK204" s="556">
        <v>1</v>
      </c>
    </row>
    <row r="205" spans="1:99" x14ac:dyDescent="0.3">
      <c r="A205" s="155">
        <v>947</v>
      </c>
      <c r="B205" s="180" t="s">
        <v>977</v>
      </c>
      <c r="C205" s="180"/>
      <c r="D205" s="180" t="s">
        <v>979</v>
      </c>
      <c r="E205" s="180" t="s">
        <v>2062</v>
      </c>
      <c r="F205" s="180" t="s">
        <v>2578</v>
      </c>
      <c r="G205" s="180" t="s">
        <v>1645</v>
      </c>
      <c r="H205" s="180"/>
      <c r="I205" s="180" t="s">
        <v>2065</v>
      </c>
      <c r="J205" s="180" t="s">
        <v>2066</v>
      </c>
      <c r="K205" s="180" t="s">
        <v>2067</v>
      </c>
      <c r="L205" s="180" t="s">
        <v>1644</v>
      </c>
      <c r="M205" s="180" t="s">
        <v>2068</v>
      </c>
      <c r="N205" s="180"/>
      <c r="O205" s="180" t="s">
        <v>2579</v>
      </c>
      <c r="P205" s="180" t="s">
        <v>2071</v>
      </c>
      <c r="Q205" s="180" t="s">
        <v>2072</v>
      </c>
      <c r="R205" s="180" t="s">
        <v>2580</v>
      </c>
      <c r="S205" s="180" t="s">
        <v>2581</v>
      </c>
      <c r="T205" s="180" t="s">
        <v>1719</v>
      </c>
      <c r="U205" s="180" t="s">
        <v>2582</v>
      </c>
      <c r="V205" s="180" t="s">
        <v>2075</v>
      </c>
      <c r="W205" s="180" t="s">
        <v>2076</v>
      </c>
      <c r="X205" s="180" t="s">
        <v>978</v>
      </c>
      <c r="Y205" s="180" t="s">
        <v>2077</v>
      </c>
      <c r="Z205" s="180" t="s">
        <v>2078</v>
      </c>
      <c r="AA205" s="180" t="s">
        <v>2079</v>
      </c>
      <c r="AB205" s="180" t="s">
        <v>2080</v>
      </c>
      <c r="AC205" s="180"/>
      <c r="AD205" s="180" t="s">
        <v>2082</v>
      </c>
      <c r="AE205" s="180" t="s">
        <v>2583</v>
      </c>
      <c r="AF205" s="180" t="s">
        <v>2584</v>
      </c>
      <c r="AG205" s="180" t="s">
        <v>2085</v>
      </c>
      <c r="AH205" s="180" t="s">
        <v>2086</v>
      </c>
      <c r="AI205" s="180" t="s">
        <v>2585</v>
      </c>
      <c r="AJ205" s="180" t="s">
        <v>2088</v>
      </c>
      <c r="AK205" s="180" t="s">
        <v>2586</v>
      </c>
      <c r="AL205" s="180" t="s">
        <v>2587</v>
      </c>
      <c r="AM205" s="180"/>
      <c r="AN205" s="180" t="s">
        <v>2588</v>
      </c>
      <c r="AO205" s="180"/>
      <c r="AP205" s="180" t="s">
        <v>980</v>
      </c>
      <c r="AQ205" s="180" t="s">
        <v>2092</v>
      </c>
      <c r="AR205" s="180" t="s">
        <v>2589</v>
      </c>
      <c r="AS205" s="180" t="s">
        <v>1155</v>
      </c>
      <c r="AT205" s="180" t="s">
        <v>2094</v>
      </c>
      <c r="AU205" s="180" t="s">
        <v>2095</v>
      </c>
      <c r="AV205" s="180" t="s">
        <v>2096</v>
      </c>
      <c r="AW205" s="180" t="s">
        <v>2097</v>
      </c>
      <c r="AX205" s="180" t="s">
        <v>1650</v>
      </c>
      <c r="AY205" s="180" t="s">
        <v>2590</v>
      </c>
      <c r="AZ205" s="180" t="s">
        <v>2591</v>
      </c>
      <c r="BA205" s="180" t="s">
        <v>2100</v>
      </c>
      <c r="BB205" s="180" t="s">
        <v>2101</v>
      </c>
      <c r="BC205" s="180" t="s">
        <v>2102</v>
      </c>
      <c r="BD205" s="180" t="s">
        <v>2103</v>
      </c>
      <c r="BE205" s="180" t="s">
        <v>2104</v>
      </c>
      <c r="BF205" s="180" t="s">
        <v>2105</v>
      </c>
      <c r="BG205" s="180" t="s">
        <v>2067</v>
      </c>
      <c r="BH205" s="180" t="s">
        <v>1651</v>
      </c>
      <c r="BI205" s="180" t="s">
        <v>2123</v>
      </c>
      <c r="BJ205" s="180" t="s">
        <v>2107</v>
      </c>
      <c r="BK205" s="180" t="s">
        <v>2797</v>
      </c>
      <c r="BL205" s="180" t="s">
        <v>2108</v>
      </c>
      <c r="BM205" s="180" t="s">
        <v>2109</v>
      </c>
      <c r="BN205" s="180" t="s">
        <v>1647</v>
      </c>
      <c r="BO205" s="180" t="s">
        <v>1239</v>
      </c>
      <c r="BP205" s="180" t="s">
        <v>2592</v>
      </c>
      <c r="BQ205" s="180" t="s">
        <v>2112</v>
      </c>
      <c r="BR205" s="180"/>
      <c r="BS205" s="180" t="s">
        <v>2114</v>
      </c>
      <c r="BT205" s="180"/>
      <c r="BU205" s="180" t="s">
        <v>2062</v>
      </c>
      <c r="BV205" s="180" t="s">
        <v>2115</v>
      </c>
      <c r="BW205" s="180" t="s">
        <v>2116</v>
      </c>
      <c r="BX205" s="180" t="s">
        <v>2117</v>
      </c>
      <c r="BY205" s="180"/>
      <c r="BZ205" s="180" t="s">
        <v>2119</v>
      </c>
      <c r="CA205" s="180" t="s">
        <v>2593</v>
      </c>
      <c r="CB205" s="180" t="s">
        <v>2120</v>
      </c>
      <c r="CC205" s="180" t="s">
        <v>2077</v>
      </c>
      <c r="CD205" s="180" t="s">
        <v>2121</v>
      </c>
      <c r="CE205" s="180"/>
      <c r="CF205" s="180" t="s">
        <v>2086</v>
      </c>
      <c r="CG205" s="180" t="s">
        <v>1648</v>
      </c>
      <c r="CH205" s="180" t="s">
        <v>2124</v>
      </c>
      <c r="CI205" s="180" t="s">
        <v>1156</v>
      </c>
      <c r="CJ205" s="180"/>
      <c r="CK205" s="180" t="s">
        <v>2107</v>
      </c>
      <c r="CL205" s="180"/>
      <c r="CM205" s="180"/>
      <c r="CN205" s="180"/>
      <c r="CO205" s="180"/>
      <c r="CP205" s="180"/>
      <c r="CQ205" s="180"/>
      <c r="CR205" s="180"/>
      <c r="CS205" s="180"/>
      <c r="CT205" s="180"/>
      <c r="CU205" s="180"/>
    </row>
    <row r="206" spans="1:99" x14ac:dyDescent="0.3">
      <c r="A206" s="155">
        <v>948</v>
      </c>
      <c r="B206" s="180" t="s">
        <v>981</v>
      </c>
      <c r="C206" s="180"/>
      <c r="D206" s="180" t="s">
        <v>2594</v>
      </c>
      <c r="E206" s="180" t="s">
        <v>2126</v>
      </c>
      <c r="F206" s="180" t="s">
        <v>2595</v>
      </c>
      <c r="G206" s="180" t="s">
        <v>2596</v>
      </c>
      <c r="H206" s="180"/>
      <c r="I206" s="180" t="s">
        <v>1720</v>
      </c>
      <c r="J206" s="180" t="s">
        <v>2129</v>
      </c>
      <c r="K206" s="180" t="s">
        <v>2130</v>
      </c>
      <c r="L206" s="180" t="s">
        <v>2131</v>
      </c>
      <c r="M206" s="180" t="s">
        <v>2132</v>
      </c>
      <c r="N206" s="180"/>
      <c r="O206" s="180" t="s">
        <v>2597</v>
      </c>
      <c r="P206" s="180" t="s">
        <v>2134</v>
      </c>
      <c r="Q206" s="180" t="s">
        <v>2135</v>
      </c>
      <c r="R206" s="180" t="s">
        <v>2598</v>
      </c>
      <c r="S206" s="180" t="s">
        <v>1721</v>
      </c>
      <c r="T206" s="180" t="s">
        <v>2137</v>
      </c>
      <c r="U206" s="180" t="s">
        <v>2599</v>
      </c>
      <c r="V206" s="180" t="s">
        <v>2139</v>
      </c>
      <c r="W206" s="180" t="s">
        <v>2140</v>
      </c>
      <c r="X206" s="180" t="s">
        <v>2141</v>
      </c>
      <c r="Y206" s="180" t="s">
        <v>1652</v>
      </c>
      <c r="Z206" s="180" t="s">
        <v>2142</v>
      </c>
      <c r="AA206" s="180" t="s">
        <v>2143</v>
      </c>
      <c r="AB206" s="180" t="s">
        <v>2600</v>
      </c>
      <c r="AC206" s="180"/>
      <c r="AD206" s="180" t="s">
        <v>2146</v>
      </c>
      <c r="AE206" s="180" t="s">
        <v>2601</v>
      </c>
      <c r="AF206" s="180" t="s">
        <v>2602</v>
      </c>
      <c r="AG206" s="180" t="s">
        <v>2149</v>
      </c>
      <c r="AH206" s="180" t="s">
        <v>2150</v>
      </c>
      <c r="AI206" s="180" t="s">
        <v>2151</v>
      </c>
      <c r="AJ206" s="180" t="s">
        <v>1305</v>
      </c>
      <c r="AK206" s="180" t="s">
        <v>2603</v>
      </c>
      <c r="AL206" s="180" t="s">
        <v>2604</v>
      </c>
      <c r="AM206" s="180"/>
      <c r="AN206" s="180" t="s">
        <v>2605</v>
      </c>
      <c r="AO206" s="180"/>
      <c r="AP206" s="180" t="s">
        <v>2606</v>
      </c>
      <c r="AQ206" s="180" t="s">
        <v>1721</v>
      </c>
      <c r="AR206" s="180" t="s">
        <v>2607</v>
      </c>
      <c r="AS206" s="180" t="s">
        <v>2156</v>
      </c>
      <c r="AT206" s="180" t="s">
        <v>2157</v>
      </c>
      <c r="AU206" s="180" t="s">
        <v>2158</v>
      </c>
      <c r="AV206" s="180" t="s">
        <v>2159</v>
      </c>
      <c r="AW206" s="180" t="s">
        <v>2160</v>
      </c>
      <c r="AX206" s="180" t="s">
        <v>1721</v>
      </c>
      <c r="AY206" s="180" t="s">
        <v>2608</v>
      </c>
      <c r="AZ206" s="180" t="s">
        <v>2609</v>
      </c>
      <c r="BA206" s="180" t="s">
        <v>2163</v>
      </c>
      <c r="BB206" s="180" t="s">
        <v>2164</v>
      </c>
      <c r="BC206" s="180" t="s">
        <v>1430</v>
      </c>
      <c r="BD206" s="180" t="s">
        <v>2165</v>
      </c>
      <c r="BE206" s="180" t="s">
        <v>2166</v>
      </c>
      <c r="BF206" s="180" t="s">
        <v>1654</v>
      </c>
      <c r="BG206" s="180" t="s">
        <v>2167</v>
      </c>
      <c r="BH206" s="180" t="s">
        <v>518</v>
      </c>
      <c r="BI206" s="180" t="s">
        <v>1391</v>
      </c>
      <c r="BJ206" s="180" t="s">
        <v>2169</v>
      </c>
      <c r="BK206" s="180" t="s">
        <v>2798</v>
      </c>
      <c r="BL206" s="180" t="s">
        <v>2171</v>
      </c>
      <c r="BM206" s="180" t="s">
        <v>2172</v>
      </c>
      <c r="BN206" s="180" t="s">
        <v>2173</v>
      </c>
      <c r="BO206" s="180" t="s">
        <v>2610</v>
      </c>
      <c r="BP206" s="180" t="s">
        <v>2611</v>
      </c>
      <c r="BQ206" s="180" t="s">
        <v>2176</v>
      </c>
      <c r="BR206" s="180"/>
      <c r="BS206" s="180" t="s">
        <v>1396</v>
      </c>
      <c r="BT206" s="180"/>
      <c r="BU206" s="180" t="s">
        <v>2177</v>
      </c>
      <c r="BV206" s="180" t="s">
        <v>2178</v>
      </c>
      <c r="BW206" s="180" t="s">
        <v>2179</v>
      </c>
      <c r="BX206" s="180" t="s">
        <v>1652</v>
      </c>
      <c r="BY206" s="180"/>
      <c r="BZ206" s="180" t="s">
        <v>2181</v>
      </c>
      <c r="CA206" s="180" t="s">
        <v>2612</v>
      </c>
      <c r="CB206" s="180" t="s">
        <v>2183</v>
      </c>
      <c r="CC206" s="180" t="s">
        <v>2184</v>
      </c>
      <c r="CD206" s="180" t="s">
        <v>1652</v>
      </c>
      <c r="CE206" s="180"/>
      <c r="CF206" s="180" t="s">
        <v>2613</v>
      </c>
      <c r="CG206" s="180" t="s">
        <v>2187</v>
      </c>
      <c r="CH206" s="180" t="s">
        <v>2188</v>
      </c>
      <c r="CI206" s="180" t="s">
        <v>1653</v>
      </c>
      <c r="CJ206" s="180"/>
      <c r="CK206" s="180" t="s">
        <v>2189</v>
      </c>
      <c r="CL206" s="180"/>
      <c r="CM206" s="180"/>
      <c r="CN206" s="180"/>
      <c r="CO206" s="180"/>
      <c r="CP206" s="180"/>
      <c r="CQ206" s="180"/>
      <c r="CR206" s="180"/>
      <c r="CS206" s="180"/>
      <c r="CT206" s="180"/>
      <c r="CU206" s="180"/>
    </row>
    <row r="207" spans="1:99" x14ac:dyDescent="0.3">
      <c r="A207" s="155">
        <v>949</v>
      </c>
      <c r="B207" s="180" t="s">
        <v>982</v>
      </c>
      <c r="C207" s="180"/>
      <c r="D207" s="180" t="s">
        <v>413</v>
      </c>
      <c r="E207" s="180" t="s">
        <v>413</v>
      </c>
      <c r="F207" s="180" t="s">
        <v>413</v>
      </c>
      <c r="G207" s="180" t="s">
        <v>413</v>
      </c>
      <c r="H207" s="180"/>
      <c r="I207" s="180" t="s">
        <v>413</v>
      </c>
      <c r="J207" s="180" t="s">
        <v>413</v>
      </c>
      <c r="K207" s="180" t="s">
        <v>413</v>
      </c>
      <c r="L207" s="180" t="s">
        <v>413</v>
      </c>
      <c r="M207" s="180" t="s">
        <v>413</v>
      </c>
      <c r="N207" s="180"/>
      <c r="O207" s="180" t="s">
        <v>413</v>
      </c>
      <c r="P207" s="180" t="s">
        <v>413</v>
      </c>
      <c r="Q207" s="180" t="s">
        <v>413</v>
      </c>
      <c r="R207" s="180" t="s">
        <v>413</v>
      </c>
      <c r="S207" s="180" t="s">
        <v>413</v>
      </c>
      <c r="T207" s="180" t="s">
        <v>413</v>
      </c>
      <c r="U207" s="180" t="s">
        <v>413</v>
      </c>
      <c r="V207" s="180" t="s">
        <v>413</v>
      </c>
      <c r="W207" s="180" t="s">
        <v>413</v>
      </c>
      <c r="X207" s="180" t="s">
        <v>413</v>
      </c>
      <c r="Y207" s="180" t="s">
        <v>413</v>
      </c>
      <c r="Z207" s="180" t="s">
        <v>413</v>
      </c>
      <c r="AA207" s="180" t="s">
        <v>413</v>
      </c>
      <c r="AB207" s="180" t="s">
        <v>413</v>
      </c>
      <c r="AC207" s="180"/>
      <c r="AD207" s="180" t="s">
        <v>413</v>
      </c>
      <c r="AE207" s="180" t="s">
        <v>413</v>
      </c>
      <c r="AF207" s="180" t="s">
        <v>413</v>
      </c>
      <c r="AG207" s="180" t="s">
        <v>413</v>
      </c>
      <c r="AH207" s="180" t="s">
        <v>413</v>
      </c>
      <c r="AI207" s="180" t="s">
        <v>413</v>
      </c>
      <c r="AJ207" s="180" t="s">
        <v>413</v>
      </c>
      <c r="AK207" s="180" t="s">
        <v>413</v>
      </c>
      <c r="AL207" s="180" t="s">
        <v>413</v>
      </c>
      <c r="AM207" s="180"/>
      <c r="AN207" s="180" t="s">
        <v>413</v>
      </c>
      <c r="AO207" s="180"/>
      <c r="AP207" s="180" t="s">
        <v>2191</v>
      </c>
      <c r="AQ207" s="180" t="s">
        <v>413</v>
      </c>
      <c r="AR207" s="180" t="s">
        <v>413</v>
      </c>
      <c r="AS207" s="180" t="s">
        <v>413</v>
      </c>
      <c r="AT207" s="180" t="s">
        <v>413</v>
      </c>
      <c r="AU207" s="180" t="s">
        <v>413</v>
      </c>
      <c r="AV207" s="180" t="s">
        <v>413</v>
      </c>
      <c r="AW207" s="180" t="s">
        <v>413</v>
      </c>
      <c r="AX207" s="180" t="s">
        <v>413</v>
      </c>
      <c r="AY207" s="180" t="s">
        <v>413</v>
      </c>
      <c r="AZ207" s="180" t="s">
        <v>413</v>
      </c>
      <c r="BA207" s="180" t="s">
        <v>413</v>
      </c>
      <c r="BB207" s="180" t="s">
        <v>413</v>
      </c>
      <c r="BC207" s="180" t="s">
        <v>413</v>
      </c>
      <c r="BD207" s="180" t="s">
        <v>413</v>
      </c>
      <c r="BE207" s="180" t="s">
        <v>413</v>
      </c>
      <c r="BF207" s="180" t="s">
        <v>413</v>
      </c>
      <c r="BG207" s="180" t="s">
        <v>413</v>
      </c>
      <c r="BH207" s="180" t="s">
        <v>413</v>
      </c>
      <c r="BI207" s="180" t="s">
        <v>413</v>
      </c>
      <c r="BJ207" s="180" t="s">
        <v>413</v>
      </c>
      <c r="BK207" s="180" t="s">
        <v>413</v>
      </c>
      <c r="BL207" s="180" t="s">
        <v>413</v>
      </c>
      <c r="BM207" s="180" t="s">
        <v>413</v>
      </c>
      <c r="BN207" s="180" t="s">
        <v>413</v>
      </c>
      <c r="BO207" s="180" t="s">
        <v>413</v>
      </c>
      <c r="BP207" s="180" t="s">
        <v>413</v>
      </c>
      <c r="BQ207" s="180" t="s">
        <v>413</v>
      </c>
      <c r="BR207" s="180"/>
      <c r="BS207" s="180" t="s">
        <v>413</v>
      </c>
      <c r="BT207" s="180"/>
      <c r="BU207" s="180" t="s">
        <v>413</v>
      </c>
      <c r="BV207" s="180" t="s">
        <v>2191</v>
      </c>
      <c r="BW207" s="180" t="s">
        <v>413</v>
      </c>
      <c r="BX207" s="180" t="s">
        <v>413</v>
      </c>
      <c r="BY207" s="180"/>
      <c r="BZ207" s="180" t="s">
        <v>413</v>
      </c>
      <c r="CA207" s="180" t="s">
        <v>413</v>
      </c>
      <c r="CB207" s="180" t="s">
        <v>413</v>
      </c>
      <c r="CC207" s="180" t="s">
        <v>413</v>
      </c>
      <c r="CD207" s="180" t="s">
        <v>413</v>
      </c>
      <c r="CE207" s="180"/>
      <c r="CF207" s="180" t="s">
        <v>413</v>
      </c>
      <c r="CG207" s="180" t="s">
        <v>413</v>
      </c>
      <c r="CH207" s="180" t="s">
        <v>413</v>
      </c>
      <c r="CI207" s="180" t="s">
        <v>413</v>
      </c>
      <c r="CJ207" s="180"/>
      <c r="CK207" s="180" t="s">
        <v>413</v>
      </c>
      <c r="CL207" s="180"/>
      <c r="CM207" s="180"/>
      <c r="CN207" s="180"/>
      <c r="CO207" s="180"/>
      <c r="CP207" s="180"/>
      <c r="CQ207" s="180"/>
      <c r="CR207" s="180"/>
      <c r="CS207" s="180"/>
      <c r="CT207" s="180"/>
      <c r="CU207" s="180"/>
    </row>
    <row r="208" spans="1:99" x14ac:dyDescent="0.3">
      <c r="A208" s="155">
        <v>950</v>
      </c>
      <c r="B208" s="180" t="s">
        <v>983</v>
      </c>
      <c r="C208" s="180"/>
      <c r="D208" s="180" t="s">
        <v>50</v>
      </c>
      <c r="E208" s="180" t="s">
        <v>50</v>
      </c>
      <c r="F208" s="180" t="s">
        <v>50</v>
      </c>
      <c r="G208" s="180" t="s">
        <v>50</v>
      </c>
      <c r="H208" s="180"/>
      <c r="I208" s="180" t="s">
        <v>50</v>
      </c>
      <c r="J208" s="180" t="s">
        <v>50</v>
      </c>
      <c r="K208" s="180" t="s">
        <v>50</v>
      </c>
      <c r="L208" s="180" t="s">
        <v>50</v>
      </c>
      <c r="M208" s="180" t="s">
        <v>50</v>
      </c>
      <c r="N208" s="180"/>
      <c r="O208" s="180" t="s">
        <v>50</v>
      </c>
      <c r="P208" s="180" t="s">
        <v>50</v>
      </c>
      <c r="Q208" s="180" t="s">
        <v>50</v>
      </c>
      <c r="R208" s="180" t="s">
        <v>50</v>
      </c>
      <c r="S208" s="180" t="s">
        <v>50</v>
      </c>
      <c r="T208" s="180" t="s">
        <v>50</v>
      </c>
      <c r="U208" s="180" t="s">
        <v>50</v>
      </c>
      <c r="V208" s="180" t="s">
        <v>50</v>
      </c>
      <c r="W208" s="180" t="s">
        <v>50</v>
      </c>
      <c r="X208" s="180" t="s">
        <v>50</v>
      </c>
      <c r="Y208" s="180" t="s">
        <v>50</v>
      </c>
      <c r="Z208" s="180" t="s">
        <v>50</v>
      </c>
      <c r="AA208" s="180" t="s">
        <v>50</v>
      </c>
      <c r="AB208" s="180" t="s">
        <v>50</v>
      </c>
      <c r="AC208" s="180"/>
      <c r="AD208" s="180" t="s">
        <v>50</v>
      </c>
      <c r="AE208" s="180" t="s">
        <v>50</v>
      </c>
      <c r="AF208" s="180" t="s">
        <v>50</v>
      </c>
      <c r="AG208" s="180" t="s">
        <v>50</v>
      </c>
      <c r="AH208" s="180" t="s">
        <v>50</v>
      </c>
      <c r="AI208" s="180" t="s">
        <v>50</v>
      </c>
      <c r="AJ208" s="180" t="s">
        <v>50</v>
      </c>
      <c r="AK208" s="180" t="s">
        <v>50</v>
      </c>
      <c r="AL208" s="180" t="s">
        <v>50</v>
      </c>
      <c r="AM208" s="180"/>
      <c r="AN208" s="180" t="s">
        <v>50</v>
      </c>
      <c r="AO208" s="180"/>
      <c r="AP208" s="180" t="s">
        <v>50</v>
      </c>
      <c r="AQ208" s="180" t="s">
        <v>50</v>
      </c>
      <c r="AR208" s="180" t="s">
        <v>50</v>
      </c>
      <c r="AS208" s="180" t="s">
        <v>50</v>
      </c>
      <c r="AT208" s="180" t="s">
        <v>50</v>
      </c>
      <c r="AU208" s="180" t="s">
        <v>50</v>
      </c>
      <c r="AV208" s="180" t="s">
        <v>50</v>
      </c>
      <c r="AW208" s="180" t="s">
        <v>50</v>
      </c>
      <c r="AX208" s="180" t="s">
        <v>50</v>
      </c>
      <c r="AY208" s="180" t="s">
        <v>50</v>
      </c>
      <c r="AZ208" s="180" t="s">
        <v>50</v>
      </c>
      <c r="BA208" s="180" t="s">
        <v>50</v>
      </c>
      <c r="BB208" s="180" t="s">
        <v>50</v>
      </c>
      <c r="BC208" s="180" t="s">
        <v>50</v>
      </c>
      <c r="BD208" s="180" t="s">
        <v>50</v>
      </c>
      <c r="BE208" s="180" t="s">
        <v>50</v>
      </c>
      <c r="BF208" s="180" t="s">
        <v>50</v>
      </c>
      <c r="BG208" s="180" t="s">
        <v>50</v>
      </c>
      <c r="BH208" s="180" t="s">
        <v>50</v>
      </c>
      <c r="BI208" s="180" t="s">
        <v>51</v>
      </c>
      <c r="BJ208" s="180" t="s">
        <v>50</v>
      </c>
      <c r="BK208" s="180" t="s">
        <v>50</v>
      </c>
      <c r="BL208" s="180" t="s">
        <v>50</v>
      </c>
      <c r="BM208" s="180" t="s">
        <v>2245</v>
      </c>
      <c r="BN208" s="180" t="s">
        <v>50</v>
      </c>
      <c r="BO208" s="180" t="s">
        <v>50</v>
      </c>
      <c r="BP208" s="180" t="s">
        <v>50</v>
      </c>
      <c r="BQ208" s="180" t="s">
        <v>50</v>
      </c>
      <c r="BR208" s="180"/>
      <c r="BS208" s="180" t="s">
        <v>50</v>
      </c>
      <c r="BT208" s="180"/>
      <c r="BU208" s="180" t="s">
        <v>50</v>
      </c>
      <c r="BV208" s="180" t="s">
        <v>1725</v>
      </c>
      <c r="BW208" s="180" t="s">
        <v>50</v>
      </c>
      <c r="BX208" s="180" t="s">
        <v>50</v>
      </c>
      <c r="BY208" s="180"/>
      <c r="BZ208" s="180" t="s">
        <v>50</v>
      </c>
      <c r="CA208" s="180" t="s">
        <v>50</v>
      </c>
      <c r="CB208" s="180" t="s">
        <v>50</v>
      </c>
      <c r="CC208" s="180" t="s">
        <v>50</v>
      </c>
      <c r="CD208" s="180" t="s">
        <v>50</v>
      </c>
      <c r="CE208" s="180"/>
      <c r="CF208" s="180" t="s">
        <v>50</v>
      </c>
      <c r="CG208" s="180" t="s">
        <v>50</v>
      </c>
      <c r="CH208" s="180" t="s">
        <v>50</v>
      </c>
      <c r="CI208" s="180" t="s">
        <v>50</v>
      </c>
      <c r="CJ208" s="180"/>
      <c r="CK208" s="180" t="s">
        <v>50</v>
      </c>
      <c r="CL208" s="180"/>
      <c r="CM208" s="180"/>
      <c r="CN208" s="180"/>
      <c r="CO208" s="180"/>
      <c r="CP208" s="180"/>
      <c r="CQ208" s="180"/>
      <c r="CR208" s="180"/>
      <c r="CS208" s="180"/>
      <c r="CT208" s="180"/>
      <c r="CU208" s="180"/>
    </row>
    <row r="209" spans="1:99" s="556" customFormat="1" x14ac:dyDescent="0.3">
      <c r="A209" s="555">
        <v>951</v>
      </c>
      <c r="B209" s="556" t="s">
        <v>984</v>
      </c>
      <c r="D209" s="556">
        <v>2</v>
      </c>
      <c r="E209" s="556">
        <v>2</v>
      </c>
      <c r="F209" s="556">
        <v>2</v>
      </c>
      <c r="G209" s="556">
        <v>1</v>
      </c>
      <c r="I209" s="556">
        <v>2</v>
      </c>
      <c r="J209" s="556">
        <v>2</v>
      </c>
      <c r="K209" s="556">
        <v>2</v>
      </c>
      <c r="L209" s="556">
        <v>2</v>
      </c>
      <c r="M209" s="556">
        <v>2</v>
      </c>
      <c r="O209" s="556">
        <v>2</v>
      </c>
      <c r="P209" s="556">
        <v>1</v>
      </c>
      <c r="Q209" s="556">
        <v>1</v>
      </c>
      <c r="R209" s="556">
        <v>2</v>
      </c>
      <c r="S209" s="556">
        <v>2</v>
      </c>
      <c r="T209" s="556">
        <v>2</v>
      </c>
      <c r="U209" s="556">
        <v>2</v>
      </c>
      <c r="V209" s="556">
        <v>1</v>
      </c>
      <c r="W209" s="556">
        <v>2</v>
      </c>
      <c r="X209" s="556">
        <v>2</v>
      </c>
      <c r="Y209" s="556">
        <v>2</v>
      </c>
      <c r="Z209" s="556">
        <v>2</v>
      </c>
      <c r="AA209" s="556">
        <v>2</v>
      </c>
      <c r="AB209" s="556">
        <v>2</v>
      </c>
      <c r="AD209" s="556">
        <v>2</v>
      </c>
      <c r="AE209" s="556">
        <v>2</v>
      </c>
      <c r="AF209" s="556">
        <v>2</v>
      </c>
      <c r="AG209" s="556">
        <v>2</v>
      </c>
      <c r="AH209" s="556">
        <v>2</v>
      </c>
      <c r="AI209" s="556">
        <v>2</v>
      </c>
      <c r="AJ209" s="556">
        <v>2</v>
      </c>
      <c r="AK209" s="556">
        <v>2</v>
      </c>
      <c r="AL209" s="556">
        <v>2</v>
      </c>
      <c r="AN209" s="556">
        <v>2</v>
      </c>
      <c r="AP209" s="556">
        <v>2</v>
      </c>
      <c r="AQ209" s="556">
        <v>2</v>
      </c>
      <c r="AR209" s="556">
        <v>1</v>
      </c>
      <c r="AS209" s="556">
        <v>2</v>
      </c>
      <c r="AT209" s="556">
        <v>2</v>
      </c>
      <c r="AU209" s="556">
        <v>1</v>
      </c>
      <c r="AV209" s="556">
        <v>2</v>
      </c>
      <c r="AW209" s="556">
        <v>2</v>
      </c>
      <c r="AX209" s="556">
        <v>2</v>
      </c>
      <c r="AY209" s="556">
        <v>2</v>
      </c>
      <c r="AZ209" s="556">
        <v>2</v>
      </c>
      <c r="BA209" s="556">
        <v>2</v>
      </c>
      <c r="BB209" s="556">
        <v>2</v>
      </c>
      <c r="BC209" s="556">
        <v>2</v>
      </c>
      <c r="BD209" s="556">
        <v>2</v>
      </c>
      <c r="BE209" s="556">
        <v>2</v>
      </c>
      <c r="BF209" s="556">
        <v>2</v>
      </c>
      <c r="BG209" s="556">
        <v>2</v>
      </c>
      <c r="BH209" s="556">
        <v>2</v>
      </c>
      <c r="BI209" s="556">
        <v>2</v>
      </c>
      <c r="BJ209" s="556">
        <v>2</v>
      </c>
      <c r="BK209" s="556">
        <v>2</v>
      </c>
      <c r="BL209" s="556">
        <v>2</v>
      </c>
      <c r="BM209" s="556">
        <v>2</v>
      </c>
      <c r="BN209" s="556">
        <v>2</v>
      </c>
      <c r="BO209" s="556">
        <v>2</v>
      </c>
      <c r="BP209" s="556">
        <v>2</v>
      </c>
      <c r="BQ209" s="556">
        <v>1</v>
      </c>
      <c r="BS209" s="556">
        <v>2</v>
      </c>
      <c r="BU209" s="556">
        <v>2</v>
      </c>
      <c r="BV209" s="556">
        <v>2</v>
      </c>
      <c r="BW209" s="556">
        <v>2</v>
      </c>
      <c r="BX209" s="556">
        <v>2</v>
      </c>
      <c r="BZ209" s="556">
        <v>2</v>
      </c>
      <c r="CA209" s="556">
        <v>2</v>
      </c>
      <c r="CB209" s="556">
        <v>2</v>
      </c>
      <c r="CC209" s="556">
        <v>1</v>
      </c>
      <c r="CD209" s="556">
        <v>2</v>
      </c>
      <c r="CF209" s="556">
        <v>2</v>
      </c>
      <c r="CG209" s="556">
        <v>2</v>
      </c>
      <c r="CH209" s="556">
        <v>2</v>
      </c>
      <c r="CI209" s="556">
        <v>2</v>
      </c>
      <c r="CK209" s="556">
        <v>1</v>
      </c>
    </row>
    <row r="210" spans="1:99" s="561" customFormat="1" x14ac:dyDescent="0.3">
      <c r="A210" s="560">
        <v>952</v>
      </c>
      <c r="B210" s="561" t="s">
        <v>985</v>
      </c>
      <c r="D210" s="561" t="s">
        <v>2192</v>
      </c>
      <c r="E210" s="561" t="s">
        <v>2193</v>
      </c>
      <c r="F210" s="561" t="s">
        <v>2194</v>
      </c>
      <c r="G210" s="561" t="s">
        <v>2614</v>
      </c>
      <c r="I210" s="561" t="s">
        <v>2196</v>
      </c>
      <c r="J210" s="561" t="s">
        <v>2615</v>
      </c>
      <c r="K210" s="561" t="s">
        <v>2198</v>
      </c>
      <c r="L210" s="561" t="s">
        <v>988</v>
      </c>
      <c r="M210" s="561" t="s">
        <v>2199</v>
      </c>
      <c r="P210" s="561" t="s">
        <v>2196</v>
      </c>
      <c r="S210" s="561" t="s">
        <v>2202</v>
      </c>
      <c r="V210" s="561" t="s">
        <v>2204</v>
      </c>
      <c r="W210" s="561" t="s">
        <v>2205</v>
      </c>
      <c r="X210" s="561" t="s">
        <v>2206</v>
      </c>
      <c r="Y210" s="561" t="s">
        <v>2207</v>
      </c>
      <c r="Z210" s="561" t="s">
        <v>2208</v>
      </c>
      <c r="AB210" s="561" t="s">
        <v>1663</v>
      </c>
      <c r="AD210" s="561" t="s">
        <v>2616</v>
      </c>
      <c r="AE210" s="561" t="s">
        <v>2211</v>
      </c>
      <c r="AF210" s="561" t="s">
        <v>2228</v>
      </c>
      <c r="AG210" s="561" t="s">
        <v>2212</v>
      </c>
      <c r="AH210" s="561" t="s">
        <v>2195</v>
      </c>
      <c r="AI210" s="561" t="s">
        <v>2213</v>
      </c>
      <c r="AJ210" s="561" t="s">
        <v>987</v>
      </c>
      <c r="AK210" s="561" t="s">
        <v>1027</v>
      </c>
      <c r="AL210" s="561" t="s">
        <v>2617</v>
      </c>
      <c r="AN210" s="561" t="s">
        <v>2560</v>
      </c>
      <c r="AQ210" s="561" t="s">
        <v>2218</v>
      </c>
      <c r="AR210" s="561" t="s">
        <v>2618</v>
      </c>
      <c r="AS210" s="561" t="s">
        <v>2219</v>
      </c>
      <c r="AT210" s="561" t="s">
        <v>2222</v>
      </c>
      <c r="AV210" s="561" t="s">
        <v>986</v>
      </c>
      <c r="AW210" s="561" t="s">
        <v>2221</v>
      </c>
      <c r="AX210" s="561" t="s">
        <v>1655</v>
      </c>
      <c r="AY210" s="561" t="s">
        <v>2619</v>
      </c>
      <c r="AZ210" s="561" t="s">
        <v>2620</v>
      </c>
      <c r="BA210" s="561" t="s">
        <v>2223</v>
      </c>
      <c r="BB210" s="561" t="s">
        <v>2224</v>
      </c>
      <c r="BC210" s="561" t="s">
        <v>2225</v>
      </c>
      <c r="BD210" s="561" t="s">
        <v>2226</v>
      </c>
      <c r="BE210" s="561" t="s">
        <v>2196</v>
      </c>
      <c r="BF210" s="561" t="s">
        <v>990</v>
      </c>
      <c r="BG210" s="561" t="s">
        <v>2227</v>
      </c>
      <c r="BH210" s="561" t="s">
        <v>2228</v>
      </c>
      <c r="BJ210" s="561" t="s">
        <v>2229</v>
      </c>
      <c r="BL210" s="561" t="s">
        <v>2230</v>
      </c>
      <c r="BM210" s="561" t="s">
        <v>2231</v>
      </c>
      <c r="BN210" s="561" t="s">
        <v>2232</v>
      </c>
      <c r="BO210" s="561" t="s">
        <v>2621</v>
      </c>
      <c r="BP210" s="561" t="s">
        <v>2622</v>
      </c>
      <c r="BQ210" s="561" t="s">
        <v>2203</v>
      </c>
      <c r="BS210" s="561" t="s">
        <v>2235</v>
      </c>
      <c r="BU210" s="561" t="s">
        <v>990</v>
      </c>
      <c r="BV210" s="561" t="s">
        <v>2623</v>
      </c>
      <c r="BW210" s="561" t="s">
        <v>2237</v>
      </c>
      <c r="BX210" s="561" t="s">
        <v>2238</v>
      </c>
      <c r="CA210" s="561" t="s">
        <v>1027</v>
      </c>
      <c r="CB210" s="561" t="s">
        <v>990</v>
      </c>
      <c r="CC210" s="561" t="s">
        <v>2240</v>
      </c>
      <c r="CD210" s="561" t="s">
        <v>2228</v>
      </c>
      <c r="CF210" s="561" t="s">
        <v>2624</v>
      </c>
      <c r="CG210" s="561" t="s">
        <v>2241</v>
      </c>
      <c r="CH210" s="561" t="s">
        <v>2242</v>
      </c>
      <c r="CI210" s="561" t="s">
        <v>2243</v>
      </c>
      <c r="CK210" s="561" t="s">
        <v>2244</v>
      </c>
    </row>
    <row r="211" spans="1:99" s="556" customFormat="1" x14ac:dyDescent="0.3">
      <c r="A211" s="555">
        <v>953</v>
      </c>
      <c r="B211" s="556" t="s">
        <v>991</v>
      </c>
      <c r="D211" s="556">
        <v>2</v>
      </c>
      <c r="E211" s="556">
        <v>2</v>
      </c>
      <c r="F211" s="556">
        <v>2</v>
      </c>
      <c r="G211" s="556">
        <v>2</v>
      </c>
      <c r="I211" s="556">
        <v>2</v>
      </c>
      <c r="J211" s="556">
        <v>2</v>
      </c>
      <c r="K211" s="556">
        <v>2</v>
      </c>
      <c r="L211" s="556">
        <v>2</v>
      </c>
      <c r="M211" s="556">
        <v>2</v>
      </c>
      <c r="O211" s="556">
        <v>2</v>
      </c>
      <c r="P211" s="556">
        <v>2</v>
      </c>
      <c r="Q211" s="556">
        <v>2</v>
      </c>
      <c r="R211" s="556">
        <v>2</v>
      </c>
      <c r="S211" s="556">
        <v>2</v>
      </c>
      <c r="T211" s="556">
        <v>2</v>
      </c>
      <c r="U211" s="556">
        <v>2</v>
      </c>
      <c r="V211" s="556">
        <v>2</v>
      </c>
      <c r="W211" s="556">
        <v>2</v>
      </c>
      <c r="X211" s="556">
        <v>2</v>
      </c>
      <c r="Y211" s="556">
        <v>2</v>
      </c>
      <c r="Z211" s="556">
        <v>2</v>
      </c>
      <c r="AA211" s="556">
        <v>2</v>
      </c>
      <c r="AB211" s="556">
        <v>2</v>
      </c>
      <c r="AD211" s="556">
        <v>2</v>
      </c>
      <c r="AE211" s="556">
        <v>2</v>
      </c>
      <c r="AF211" s="556">
        <v>2</v>
      </c>
      <c r="AG211" s="556">
        <v>2</v>
      </c>
      <c r="AH211" s="556">
        <v>2</v>
      </c>
      <c r="AI211" s="556">
        <v>2</v>
      </c>
      <c r="AJ211" s="556">
        <v>2</v>
      </c>
      <c r="AK211" s="556">
        <v>2</v>
      </c>
      <c r="AL211" s="556">
        <v>2</v>
      </c>
      <c r="AN211" s="556">
        <v>2</v>
      </c>
      <c r="AP211" s="556">
        <v>2</v>
      </c>
      <c r="AQ211" s="556">
        <v>2</v>
      </c>
      <c r="AR211" s="556">
        <v>2</v>
      </c>
      <c r="AS211" s="556">
        <v>2</v>
      </c>
      <c r="AT211" s="556">
        <v>2</v>
      </c>
      <c r="AU211" s="556">
        <v>2</v>
      </c>
      <c r="AV211" s="556">
        <v>2</v>
      </c>
      <c r="AW211" s="556">
        <v>2</v>
      </c>
      <c r="AX211" s="556">
        <v>2</v>
      </c>
      <c r="AY211" s="556">
        <v>2</v>
      </c>
      <c r="AZ211" s="556">
        <v>2</v>
      </c>
      <c r="BA211" s="556">
        <v>2</v>
      </c>
      <c r="BB211" s="556">
        <v>2</v>
      </c>
      <c r="BC211" s="556">
        <v>2</v>
      </c>
      <c r="BD211" s="556">
        <v>2</v>
      </c>
      <c r="BE211" s="556">
        <v>2</v>
      </c>
      <c r="BF211" s="556">
        <v>2</v>
      </c>
      <c r="BG211" s="556">
        <v>2</v>
      </c>
      <c r="BH211" s="556">
        <v>2</v>
      </c>
      <c r="BI211" s="556">
        <v>2</v>
      </c>
      <c r="BJ211" s="556">
        <v>2</v>
      </c>
      <c r="BK211" s="556">
        <v>2</v>
      </c>
      <c r="BL211" s="556">
        <v>2</v>
      </c>
      <c r="BM211" s="556">
        <v>2</v>
      </c>
      <c r="BN211" s="556">
        <v>2</v>
      </c>
      <c r="BO211" s="556">
        <v>2</v>
      </c>
      <c r="BP211" s="556">
        <v>2</v>
      </c>
      <c r="BQ211" s="556">
        <v>2</v>
      </c>
      <c r="BS211" s="556">
        <v>2</v>
      </c>
      <c r="BU211" s="556">
        <v>2</v>
      </c>
      <c r="BV211" s="556">
        <v>2</v>
      </c>
      <c r="BW211" s="556">
        <v>2</v>
      </c>
      <c r="BX211" s="556">
        <v>2</v>
      </c>
      <c r="BZ211" s="556">
        <v>2</v>
      </c>
      <c r="CA211" s="556">
        <v>2</v>
      </c>
      <c r="CB211" s="556">
        <v>2</v>
      </c>
      <c r="CC211" s="556">
        <v>2</v>
      </c>
      <c r="CD211" s="556">
        <v>2</v>
      </c>
      <c r="CF211" s="556">
        <v>2</v>
      </c>
      <c r="CG211" s="556">
        <v>2</v>
      </c>
      <c r="CH211" s="556">
        <v>2</v>
      </c>
      <c r="CI211" s="556">
        <v>2</v>
      </c>
      <c r="CK211" s="556">
        <v>2</v>
      </c>
    </row>
    <row r="212" spans="1:99" s="561" customFormat="1" x14ac:dyDescent="0.3">
      <c r="A212" s="560">
        <v>954</v>
      </c>
      <c r="B212" s="561" t="s">
        <v>411</v>
      </c>
      <c r="D212" s="561" t="s">
        <v>50</v>
      </c>
      <c r="E212" s="561" t="s">
        <v>50</v>
      </c>
      <c r="F212" s="561" t="s">
        <v>50</v>
      </c>
      <c r="G212" s="561" t="s">
        <v>50</v>
      </c>
      <c r="I212" s="561" t="s">
        <v>50</v>
      </c>
      <c r="J212" s="561" t="s">
        <v>50</v>
      </c>
      <c r="K212" s="561" t="s">
        <v>50</v>
      </c>
      <c r="L212" s="561" t="s">
        <v>50</v>
      </c>
      <c r="M212" s="561" t="s">
        <v>50</v>
      </c>
      <c r="O212" s="561" t="s">
        <v>50</v>
      </c>
      <c r="P212" s="561" t="s">
        <v>50</v>
      </c>
      <c r="Q212" s="561" t="s">
        <v>50</v>
      </c>
      <c r="R212" s="561" t="s">
        <v>50</v>
      </c>
      <c r="S212" s="561" t="s">
        <v>50</v>
      </c>
      <c r="T212" s="561" t="s">
        <v>50</v>
      </c>
      <c r="U212" s="561" t="s">
        <v>50</v>
      </c>
      <c r="V212" s="561" t="s">
        <v>50</v>
      </c>
      <c r="W212" s="561" t="s">
        <v>50</v>
      </c>
      <c r="X212" s="561" t="s">
        <v>50</v>
      </c>
      <c r="Y212" s="561" t="s">
        <v>50</v>
      </c>
      <c r="Z212" s="561" t="s">
        <v>50</v>
      </c>
      <c r="AA212" s="561" t="s">
        <v>50</v>
      </c>
      <c r="AB212" s="561" t="s">
        <v>50</v>
      </c>
      <c r="AD212" s="561" t="s">
        <v>50</v>
      </c>
      <c r="AE212" s="561" t="s">
        <v>50</v>
      </c>
      <c r="AF212" s="561" t="s">
        <v>50</v>
      </c>
      <c r="AG212" s="561" t="s">
        <v>50</v>
      </c>
      <c r="AH212" s="561" t="s">
        <v>50</v>
      </c>
      <c r="AI212" s="561" t="s">
        <v>50</v>
      </c>
      <c r="AJ212" s="561" t="s">
        <v>50</v>
      </c>
      <c r="AK212" s="561" t="s">
        <v>50</v>
      </c>
      <c r="AL212" s="561" t="s">
        <v>50</v>
      </c>
      <c r="AN212" s="561" t="s">
        <v>50</v>
      </c>
      <c r="AP212" s="561" t="s">
        <v>50</v>
      </c>
      <c r="AQ212" s="561" t="s">
        <v>50</v>
      </c>
      <c r="AR212" s="561" t="s">
        <v>50</v>
      </c>
      <c r="AS212" s="561" t="s">
        <v>50</v>
      </c>
      <c r="AT212" s="561" t="s">
        <v>50</v>
      </c>
      <c r="AU212" s="561" t="s">
        <v>50</v>
      </c>
      <c r="AV212" s="561" t="s">
        <v>50</v>
      </c>
      <c r="AW212" s="561" t="s">
        <v>50</v>
      </c>
      <c r="AX212" s="561" t="s">
        <v>50</v>
      </c>
      <c r="AY212" s="561" t="s">
        <v>50</v>
      </c>
      <c r="AZ212" s="561" t="s">
        <v>50</v>
      </c>
      <c r="BA212" s="561" t="s">
        <v>50</v>
      </c>
      <c r="BB212" s="561" t="s">
        <v>50</v>
      </c>
      <c r="BC212" s="561" t="s">
        <v>50</v>
      </c>
      <c r="BD212" s="561" t="s">
        <v>50</v>
      </c>
      <c r="BE212" s="561" t="s">
        <v>50</v>
      </c>
      <c r="BF212" s="561" t="s">
        <v>50</v>
      </c>
      <c r="BG212" s="561" t="s">
        <v>50</v>
      </c>
      <c r="BH212" s="561" t="s">
        <v>50</v>
      </c>
      <c r="BI212" s="561" t="s">
        <v>50</v>
      </c>
      <c r="BJ212" s="561" t="s">
        <v>50</v>
      </c>
      <c r="BK212" s="561" t="s">
        <v>50</v>
      </c>
      <c r="BL212" s="561" t="s">
        <v>50</v>
      </c>
      <c r="BM212" s="561" t="s">
        <v>50</v>
      </c>
      <c r="BN212" s="561" t="s">
        <v>50</v>
      </c>
      <c r="BO212" s="561" t="s">
        <v>50</v>
      </c>
      <c r="BP212" s="561" t="s">
        <v>50</v>
      </c>
      <c r="BQ212" s="561" t="s">
        <v>50</v>
      </c>
      <c r="BS212" s="561" t="s">
        <v>50</v>
      </c>
      <c r="BU212" s="561" t="s">
        <v>50</v>
      </c>
      <c r="BV212" s="561" t="s">
        <v>50</v>
      </c>
      <c r="BW212" s="561" t="s">
        <v>50</v>
      </c>
      <c r="BX212" s="561" t="s">
        <v>50</v>
      </c>
      <c r="BZ212" s="561" t="s">
        <v>50</v>
      </c>
      <c r="CA212" s="561" t="s">
        <v>50</v>
      </c>
      <c r="CB212" s="561" t="s">
        <v>50</v>
      </c>
      <c r="CC212" s="561" t="s">
        <v>50</v>
      </c>
      <c r="CD212" s="561" t="s">
        <v>50</v>
      </c>
      <c r="CF212" s="561" t="s">
        <v>50</v>
      </c>
      <c r="CG212" s="561" t="s">
        <v>50</v>
      </c>
      <c r="CH212" s="561" t="s">
        <v>50</v>
      </c>
      <c r="CI212" s="561" t="s">
        <v>50</v>
      </c>
      <c r="CK212" s="561" t="s">
        <v>51</v>
      </c>
    </row>
    <row r="213" spans="1:99" s="556" customFormat="1" x14ac:dyDescent="0.3">
      <c r="A213" s="555">
        <v>955</v>
      </c>
      <c r="B213" s="556" t="s">
        <v>992</v>
      </c>
      <c r="D213" s="556">
        <v>2</v>
      </c>
      <c r="E213" s="556">
        <v>0</v>
      </c>
      <c r="F213" s="556">
        <v>1</v>
      </c>
      <c r="G213" s="556">
        <v>1</v>
      </c>
      <c r="I213" s="556">
        <v>0</v>
      </c>
      <c r="J213" s="556">
        <v>0</v>
      </c>
      <c r="K213" s="556">
        <v>0</v>
      </c>
      <c r="L213" s="556">
        <v>0</v>
      </c>
      <c r="M213" s="556">
        <v>0</v>
      </c>
      <c r="O213" s="556">
        <v>0</v>
      </c>
      <c r="P213" s="556">
        <v>0</v>
      </c>
      <c r="Q213" s="556">
        <v>0</v>
      </c>
      <c r="R213" s="556">
        <v>0</v>
      </c>
      <c r="S213" s="556">
        <v>0</v>
      </c>
      <c r="T213" s="556">
        <v>0</v>
      </c>
      <c r="U213" s="556">
        <v>0</v>
      </c>
      <c r="V213" s="556">
        <v>1</v>
      </c>
      <c r="W213" s="556">
        <v>0</v>
      </c>
      <c r="X213" s="556">
        <v>0</v>
      </c>
      <c r="Y213" s="556">
        <v>0</v>
      </c>
      <c r="Z213" s="556">
        <v>0</v>
      </c>
      <c r="AA213" s="556">
        <v>0</v>
      </c>
      <c r="AB213" s="556">
        <v>0</v>
      </c>
      <c r="AD213" s="556">
        <v>0</v>
      </c>
      <c r="AE213" s="556">
        <v>0</v>
      </c>
      <c r="AF213" s="556">
        <v>1</v>
      </c>
      <c r="AG213" s="556">
        <v>0</v>
      </c>
      <c r="AH213" s="556">
        <v>0</v>
      </c>
      <c r="AI213" s="556">
        <v>0</v>
      </c>
      <c r="AJ213" s="556">
        <v>0</v>
      </c>
      <c r="AK213" s="556">
        <v>0</v>
      </c>
      <c r="AL213" s="556">
        <v>2</v>
      </c>
      <c r="AN213" s="556">
        <v>2</v>
      </c>
      <c r="AP213" s="556">
        <v>0</v>
      </c>
      <c r="AQ213" s="556">
        <v>0</v>
      </c>
      <c r="AR213" s="556">
        <v>0</v>
      </c>
      <c r="AS213" s="556">
        <v>2</v>
      </c>
      <c r="AT213" s="556">
        <v>1</v>
      </c>
      <c r="AU213" s="556">
        <v>1</v>
      </c>
      <c r="AV213" s="556">
        <v>0</v>
      </c>
      <c r="AW213" s="556">
        <v>0</v>
      </c>
      <c r="AX213" s="556">
        <v>2</v>
      </c>
      <c r="AY213" s="556">
        <v>0</v>
      </c>
      <c r="AZ213" s="556">
        <v>0</v>
      </c>
      <c r="BA213" s="556">
        <v>0</v>
      </c>
      <c r="BB213" s="556">
        <v>0</v>
      </c>
      <c r="BC213" s="556">
        <v>0</v>
      </c>
      <c r="BD213" s="556">
        <v>0</v>
      </c>
      <c r="BE213" s="556">
        <v>0</v>
      </c>
      <c r="BF213" s="556">
        <v>0</v>
      </c>
      <c r="BG213" s="556">
        <v>1</v>
      </c>
      <c r="BH213" s="556">
        <v>0</v>
      </c>
      <c r="BI213" s="556">
        <v>0</v>
      </c>
      <c r="BJ213" s="556">
        <v>0</v>
      </c>
      <c r="BK213" s="556">
        <v>3</v>
      </c>
      <c r="BL213" s="556">
        <v>1</v>
      </c>
      <c r="BM213" s="556">
        <v>1</v>
      </c>
      <c r="BN213" s="556">
        <v>0</v>
      </c>
      <c r="BO213" s="556">
        <v>0</v>
      </c>
      <c r="BP213" s="556">
        <v>0</v>
      </c>
      <c r="BQ213" s="556">
        <v>0</v>
      </c>
      <c r="BS213" s="556">
        <v>0</v>
      </c>
      <c r="BU213" s="556">
        <v>1</v>
      </c>
      <c r="BV213" s="556">
        <v>1</v>
      </c>
      <c r="BW213" s="556">
        <v>0</v>
      </c>
      <c r="BX213" s="556">
        <v>0</v>
      </c>
      <c r="BZ213" s="556">
        <v>1</v>
      </c>
      <c r="CA213" s="556">
        <v>0</v>
      </c>
      <c r="CB213" s="556">
        <v>0</v>
      </c>
      <c r="CC213" s="556">
        <v>0</v>
      </c>
      <c r="CD213" s="556">
        <v>0</v>
      </c>
      <c r="CF213" s="556">
        <v>0</v>
      </c>
      <c r="CG213" s="556">
        <v>0</v>
      </c>
      <c r="CH213" s="556">
        <v>0</v>
      </c>
      <c r="CI213" s="556">
        <v>0</v>
      </c>
      <c r="CK213" s="556">
        <v>2</v>
      </c>
    </row>
    <row r="214" spans="1:99" s="561" customFormat="1" x14ac:dyDescent="0.3">
      <c r="A214" s="560">
        <v>956</v>
      </c>
      <c r="B214" s="561" t="s">
        <v>412</v>
      </c>
      <c r="D214" s="561" t="s">
        <v>50</v>
      </c>
      <c r="E214" s="561" t="s">
        <v>50</v>
      </c>
      <c r="F214" s="561" t="s">
        <v>50</v>
      </c>
      <c r="G214" s="561" t="s">
        <v>50</v>
      </c>
      <c r="I214" s="561" t="s">
        <v>50</v>
      </c>
      <c r="J214" s="561" t="s">
        <v>50</v>
      </c>
      <c r="K214" s="561" t="s">
        <v>50</v>
      </c>
      <c r="L214" s="561" t="s">
        <v>50</v>
      </c>
      <c r="M214" s="561" t="s">
        <v>50</v>
      </c>
      <c r="O214" s="561" t="s">
        <v>50</v>
      </c>
      <c r="P214" s="561" t="s">
        <v>50</v>
      </c>
      <c r="Q214" s="561" t="s">
        <v>50</v>
      </c>
      <c r="R214" s="561" t="s">
        <v>50</v>
      </c>
      <c r="S214" s="561" t="s">
        <v>50</v>
      </c>
      <c r="T214" s="561" t="s">
        <v>50</v>
      </c>
      <c r="U214" s="561" t="s">
        <v>50</v>
      </c>
      <c r="V214" s="561" t="s">
        <v>50</v>
      </c>
      <c r="W214" s="561" t="s">
        <v>50</v>
      </c>
      <c r="X214" s="561" t="s">
        <v>50</v>
      </c>
      <c r="Y214" s="561" t="s">
        <v>50</v>
      </c>
      <c r="Z214" s="561" t="s">
        <v>50</v>
      </c>
      <c r="AA214" s="561" t="s">
        <v>50</v>
      </c>
      <c r="AB214" s="561" t="s">
        <v>50</v>
      </c>
      <c r="AD214" s="561" t="s">
        <v>50</v>
      </c>
      <c r="AE214" s="561" t="s">
        <v>50</v>
      </c>
      <c r="AF214" s="561" t="s">
        <v>50</v>
      </c>
      <c r="AG214" s="561" t="s">
        <v>50</v>
      </c>
      <c r="AH214" s="561" t="s">
        <v>50</v>
      </c>
      <c r="AI214" s="561" t="s">
        <v>50</v>
      </c>
      <c r="AJ214" s="561" t="s">
        <v>50</v>
      </c>
      <c r="AK214" s="561" t="s">
        <v>50</v>
      </c>
      <c r="AL214" s="561" t="s">
        <v>50</v>
      </c>
      <c r="AN214" s="561" t="s">
        <v>50</v>
      </c>
      <c r="AP214" s="561" t="s">
        <v>50</v>
      </c>
      <c r="AQ214" s="561" t="s">
        <v>50</v>
      </c>
      <c r="AR214" s="561" t="s">
        <v>50</v>
      </c>
      <c r="AS214" s="561" t="s">
        <v>50</v>
      </c>
      <c r="AT214" s="561" t="s">
        <v>50</v>
      </c>
      <c r="AU214" s="561" t="s">
        <v>50</v>
      </c>
      <c r="AV214" s="561" t="s">
        <v>50</v>
      </c>
      <c r="AW214" s="561" t="s">
        <v>50</v>
      </c>
      <c r="AX214" s="561" t="s">
        <v>50</v>
      </c>
      <c r="AY214" s="561" t="s">
        <v>50</v>
      </c>
      <c r="AZ214" s="561" t="s">
        <v>50</v>
      </c>
      <c r="BA214" s="561" t="s">
        <v>50</v>
      </c>
      <c r="BB214" s="561" t="s">
        <v>50</v>
      </c>
      <c r="BC214" s="561" t="s">
        <v>50</v>
      </c>
      <c r="BD214" s="561" t="s">
        <v>50</v>
      </c>
      <c r="BE214" s="561" t="s">
        <v>50</v>
      </c>
      <c r="BF214" s="561" t="s">
        <v>50</v>
      </c>
      <c r="BG214" s="561" t="s">
        <v>50</v>
      </c>
      <c r="BH214" s="561" t="s">
        <v>50</v>
      </c>
      <c r="BI214" s="561" t="s">
        <v>50</v>
      </c>
      <c r="BJ214" s="561" t="s">
        <v>50</v>
      </c>
      <c r="BK214" s="561" t="s">
        <v>50</v>
      </c>
      <c r="BL214" s="561" t="s">
        <v>50</v>
      </c>
      <c r="BM214" s="561" t="s">
        <v>50</v>
      </c>
      <c r="BN214" s="561" t="s">
        <v>50</v>
      </c>
      <c r="BO214" s="561" t="s">
        <v>50</v>
      </c>
      <c r="BP214" s="561" t="s">
        <v>50</v>
      </c>
      <c r="BQ214" s="561" t="s">
        <v>50</v>
      </c>
      <c r="BS214" s="561" t="s">
        <v>50</v>
      </c>
      <c r="BU214" s="561" t="s">
        <v>50</v>
      </c>
      <c r="BV214" s="561" t="s">
        <v>50</v>
      </c>
      <c r="BW214" s="561" t="s">
        <v>50</v>
      </c>
      <c r="BX214" s="561" t="s">
        <v>50</v>
      </c>
      <c r="BZ214" s="561" t="s">
        <v>50</v>
      </c>
      <c r="CA214" s="561" t="s">
        <v>50</v>
      </c>
      <c r="CB214" s="561" t="s">
        <v>50</v>
      </c>
      <c r="CC214" s="561" t="s">
        <v>50</v>
      </c>
      <c r="CD214" s="561" t="s">
        <v>50</v>
      </c>
      <c r="CF214" s="561" t="s">
        <v>50</v>
      </c>
      <c r="CG214" s="561" t="s">
        <v>50</v>
      </c>
      <c r="CH214" s="561" t="s">
        <v>50</v>
      </c>
      <c r="CI214" s="561" t="s">
        <v>50</v>
      </c>
      <c r="CK214" s="561" t="s">
        <v>51</v>
      </c>
    </row>
    <row r="215" spans="1:99" s="556" customFormat="1" x14ac:dyDescent="0.3">
      <c r="A215" s="555">
        <v>957</v>
      </c>
      <c r="B215" s="556" t="s">
        <v>993</v>
      </c>
      <c r="D215" s="556">
        <v>0</v>
      </c>
      <c r="E215" s="556">
        <v>0</v>
      </c>
      <c r="F215" s="556">
        <v>0</v>
      </c>
      <c r="G215" s="556">
        <v>1</v>
      </c>
      <c r="I215" s="556">
        <v>0</v>
      </c>
      <c r="J215" s="556">
        <v>1</v>
      </c>
      <c r="K215" s="556">
        <v>0</v>
      </c>
      <c r="L215" s="556">
        <v>0</v>
      </c>
      <c r="M215" s="556">
        <v>1</v>
      </c>
      <c r="O215" s="556">
        <v>0</v>
      </c>
      <c r="P215" s="556">
        <v>0</v>
      </c>
      <c r="Q215" s="556">
        <v>0</v>
      </c>
      <c r="R215" s="556">
        <v>0</v>
      </c>
      <c r="S215" s="556">
        <v>0</v>
      </c>
      <c r="T215" s="556">
        <v>0</v>
      </c>
      <c r="U215" s="556">
        <v>0</v>
      </c>
      <c r="V215" s="556">
        <v>0</v>
      </c>
      <c r="W215" s="556">
        <v>0</v>
      </c>
      <c r="X215" s="556">
        <v>0</v>
      </c>
      <c r="Y215" s="556">
        <v>1</v>
      </c>
      <c r="Z215" s="556">
        <v>0</v>
      </c>
      <c r="AA215" s="556">
        <v>1</v>
      </c>
      <c r="AB215" s="556">
        <v>0</v>
      </c>
      <c r="AD215" s="556">
        <v>0</v>
      </c>
      <c r="AE215" s="556">
        <v>0</v>
      </c>
      <c r="AF215" s="556">
        <v>0</v>
      </c>
      <c r="AG215" s="556">
        <v>1</v>
      </c>
      <c r="AH215" s="556">
        <v>0</v>
      </c>
      <c r="AI215" s="556">
        <v>0</v>
      </c>
      <c r="AJ215" s="556">
        <v>0</v>
      </c>
      <c r="AK215" s="556">
        <v>1</v>
      </c>
      <c r="AL215" s="556">
        <v>4</v>
      </c>
      <c r="AN215" s="556">
        <v>0</v>
      </c>
      <c r="AP215" s="556">
        <v>0</v>
      </c>
      <c r="AQ215" s="556">
        <v>0</v>
      </c>
      <c r="AR215" s="556">
        <v>10</v>
      </c>
      <c r="AS215" s="556">
        <v>0</v>
      </c>
      <c r="AT215" s="556">
        <v>1</v>
      </c>
      <c r="AU215" s="556">
        <v>0</v>
      </c>
      <c r="AV215" s="556">
        <v>0</v>
      </c>
      <c r="AW215" s="556">
        <v>0</v>
      </c>
      <c r="AX215" s="556">
        <v>0</v>
      </c>
      <c r="AY215" s="556">
        <v>0</v>
      </c>
      <c r="AZ215" s="556">
        <v>0</v>
      </c>
      <c r="BA215" s="556">
        <v>3</v>
      </c>
      <c r="BB215" s="556">
        <v>0</v>
      </c>
      <c r="BC215" s="556">
        <v>0</v>
      </c>
      <c r="BD215" s="556">
        <v>0</v>
      </c>
      <c r="BE215" s="556">
        <v>0</v>
      </c>
      <c r="BF215" s="556">
        <v>0</v>
      </c>
      <c r="BG215" s="556">
        <v>0</v>
      </c>
      <c r="BH215" s="556">
        <v>0</v>
      </c>
      <c r="BI215" s="556">
        <v>0</v>
      </c>
      <c r="BJ215" s="556">
        <v>0</v>
      </c>
      <c r="BK215" s="556">
        <v>7</v>
      </c>
      <c r="BL215" s="556">
        <v>0</v>
      </c>
      <c r="BM215" s="556">
        <v>0</v>
      </c>
      <c r="BN215" s="556">
        <v>0</v>
      </c>
      <c r="BO215" s="556">
        <v>2</v>
      </c>
      <c r="BP215" s="556">
        <v>0</v>
      </c>
      <c r="BQ215" s="556">
        <v>0</v>
      </c>
      <c r="BS215" s="556">
        <v>0</v>
      </c>
      <c r="BU215" s="556">
        <v>2</v>
      </c>
      <c r="BV215" s="556">
        <v>0</v>
      </c>
      <c r="BW215" s="556">
        <v>0</v>
      </c>
      <c r="BX215" s="556">
        <v>0</v>
      </c>
      <c r="BZ215" s="556">
        <v>0</v>
      </c>
      <c r="CA215" s="556">
        <v>0</v>
      </c>
      <c r="CB215" s="556">
        <v>0</v>
      </c>
      <c r="CC215" s="556">
        <v>0</v>
      </c>
      <c r="CD215" s="556">
        <v>1</v>
      </c>
      <c r="CF215" s="556">
        <v>0</v>
      </c>
      <c r="CG215" s="556">
        <v>0</v>
      </c>
      <c r="CH215" s="556">
        <v>1</v>
      </c>
      <c r="CI215" s="556">
        <v>0</v>
      </c>
      <c r="CK215" s="556">
        <v>1</v>
      </c>
    </row>
    <row r="216" spans="1:99" s="561" customFormat="1" x14ac:dyDescent="0.3">
      <c r="A216" s="560">
        <v>958</v>
      </c>
      <c r="B216" s="561" t="s">
        <v>994</v>
      </c>
      <c r="D216" s="561" t="s">
        <v>50</v>
      </c>
      <c r="E216" s="561" t="s">
        <v>50</v>
      </c>
      <c r="F216" s="561" t="s">
        <v>50</v>
      </c>
      <c r="G216" s="561" t="s">
        <v>50</v>
      </c>
      <c r="I216" s="561" t="s">
        <v>50</v>
      </c>
      <c r="J216" s="561" t="s">
        <v>50</v>
      </c>
      <c r="K216" s="561" t="s">
        <v>50</v>
      </c>
      <c r="L216" s="561" t="s">
        <v>50</v>
      </c>
      <c r="M216" s="561" t="s">
        <v>50</v>
      </c>
      <c r="O216" s="561" t="s">
        <v>50</v>
      </c>
      <c r="P216" s="561" t="s">
        <v>50</v>
      </c>
      <c r="Q216" s="561" t="s">
        <v>50</v>
      </c>
      <c r="R216" s="561" t="s">
        <v>50</v>
      </c>
      <c r="S216" s="561" t="s">
        <v>50</v>
      </c>
      <c r="T216" s="561" t="s">
        <v>50</v>
      </c>
      <c r="U216" s="561" t="s">
        <v>50</v>
      </c>
      <c r="V216" s="561" t="s">
        <v>50</v>
      </c>
      <c r="W216" s="561" t="s">
        <v>50</v>
      </c>
      <c r="X216" s="561" t="s">
        <v>50</v>
      </c>
      <c r="Y216" s="561" t="s">
        <v>50</v>
      </c>
      <c r="Z216" s="561" t="s">
        <v>50</v>
      </c>
      <c r="AA216" s="561" t="s">
        <v>50</v>
      </c>
      <c r="AB216" s="561" t="s">
        <v>50</v>
      </c>
      <c r="AD216" s="561" t="s">
        <v>50</v>
      </c>
      <c r="AE216" s="561" t="s">
        <v>1725</v>
      </c>
      <c r="AF216" s="561" t="s">
        <v>50</v>
      </c>
      <c r="AG216" s="561" t="s">
        <v>50</v>
      </c>
      <c r="AH216" s="561" t="s">
        <v>50</v>
      </c>
      <c r="AI216" s="561" t="s">
        <v>50</v>
      </c>
      <c r="AJ216" s="561" t="s">
        <v>50</v>
      </c>
      <c r="AK216" s="561" t="s">
        <v>50</v>
      </c>
      <c r="AL216" s="561" t="s">
        <v>50</v>
      </c>
      <c r="AN216" s="561" t="s">
        <v>50</v>
      </c>
      <c r="AP216" s="561" t="s">
        <v>50</v>
      </c>
      <c r="AQ216" s="561" t="s">
        <v>50</v>
      </c>
      <c r="AR216" s="561" t="s">
        <v>51</v>
      </c>
      <c r="AS216" s="561" t="s">
        <v>50</v>
      </c>
      <c r="AT216" s="561" t="s">
        <v>50</v>
      </c>
      <c r="AU216" s="561" t="s">
        <v>50</v>
      </c>
      <c r="AV216" s="561" t="s">
        <v>50</v>
      </c>
      <c r="AW216" s="561" t="s">
        <v>50</v>
      </c>
      <c r="AX216" s="561" t="s">
        <v>50</v>
      </c>
      <c r="AY216" s="561" t="s">
        <v>50</v>
      </c>
      <c r="AZ216" s="561" t="s">
        <v>50</v>
      </c>
      <c r="BA216" s="561" t="s">
        <v>50</v>
      </c>
      <c r="BB216" s="561" t="s">
        <v>50</v>
      </c>
      <c r="BC216" s="561" t="s">
        <v>50</v>
      </c>
      <c r="BD216" s="561" t="s">
        <v>50</v>
      </c>
      <c r="BE216" s="561" t="s">
        <v>50</v>
      </c>
      <c r="BF216" s="561" t="s">
        <v>50</v>
      </c>
      <c r="BG216" s="561" t="s">
        <v>50</v>
      </c>
      <c r="BH216" s="561" t="s">
        <v>50</v>
      </c>
      <c r="BI216" s="561" t="s">
        <v>50</v>
      </c>
      <c r="BJ216" s="561" t="s">
        <v>50</v>
      </c>
      <c r="BK216" s="561" t="s">
        <v>51</v>
      </c>
      <c r="BL216" s="561" t="s">
        <v>50</v>
      </c>
      <c r="BM216" s="561" t="s">
        <v>50</v>
      </c>
      <c r="BN216" s="561" t="s">
        <v>50</v>
      </c>
      <c r="BO216" s="561" t="s">
        <v>50</v>
      </c>
      <c r="BP216" s="561" t="s">
        <v>50</v>
      </c>
      <c r="BQ216" s="561" t="s">
        <v>50</v>
      </c>
      <c r="BS216" s="561" t="s">
        <v>50</v>
      </c>
      <c r="BU216" s="561" t="s">
        <v>50</v>
      </c>
      <c r="BV216" s="561" t="s">
        <v>50</v>
      </c>
      <c r="BW216" s="561" t="s">
        <v>50</v>
      </c>
      <c r="BX216" s="561" t="s">
        <v>50</v>
      </c>
      <c r="BZ216" s="561" t="s">
        <v>50</v>
      </c>
      <c r="CA216" s="561" t="s">
        <v>50</v>
      </c>
      <c r="CB216" s="561" t="s">
        <v>50</v>
      </c>
      <c r="CC216" s="561" t="s">
        <v>50</v>
      </c>
      <c r="CD216" s="561" t="s">
        <v>50</v>
      </c>
      <c r="CF216" s="561" t="s">
        <v>50</v>
      </c>
      <c r="CG216" s="561" t="s">
        <v>50</v>
      </c>
      <c r="CH216" s="561" t="s">
        <v>50</v>
      </c>
      <c r="CI216" s="561" t="s">
        <v>50</v>
      </c>
      <c r="CK216" s="561" t="s">
        <v>51</v>
      </c>
    </row>
    <row r="217" spans="1:99" s="556" customFormat="1" x14ac:dyDescent="0.3">
      <c r="A217" s="555">
        <v>959</v>
      </c>
      <c r="B217" s="556" t="s">
        <v>995</v>
      </c>
      <c r="D217" s="556">
        <v>2</v>
      </c>
      <c r="E217" s="556">
        <v>2</v>
      </c>
      <c r="F217" s="556">
        <v>2</v>
      </c>
      <c r="G217" s="556">
        <v>2</v>
      </c>
      <c r="I217" s="556">
        <v>2</v>
      </c>
      <c r="J217" s="556">
        <v>2</v>
      </c>
      <c r="K217" s="556">
        <v>2</v>
      </c>
      <c r="L217" s="556">
        <v>3</v>
      </c>
      <c r="M217" s="556">
        <v>2</v>
      </c>
      <c r="O217" s="556">
        <v>2</v>
      </c>
      <c r="P217" s="556">
        <v>3</v>
      </c>
      <c r="Q217" s="556">
        <v>3</v>
      </c>
      <c r="R217" s="556">
        <v>3</v>
      </c>
      <c r="S217" s="556">
        <v>3</v>
      </c>
      <c r="T217" s="556">
        <v>2</v>
      </c>
      <c r="U217" s="556">
        <v>2</v>
      </c>
      <c r="V217" s="556">
        <v>2</v>
      </c>
      <c r="W217" s="556">
        <v>2</v>
      </c>
      <c r="X217" s="556">
        <v>2</v>
      </c>
      <c r="Y217" s="556">
        <v>2</v>
      </c>
      <c r="Z217" s="556">
        <v>2</v>
      </c>
      <c r="AA217" s="556">
        <v>2</v>
      </c>
      <c r="AB217" s="556">
        <v>2</v>
      </c>
      <c r="AD217" s="556">
        <v>2</v>
      </c>
      <c r="AE217" s="556">
        <v>3</v>
      </c>
      <c r="AF217" s="556">
        <v>2</v>
      </c>
      <c r="AG217" s="556">
        <v>3</v>
      </c>
      <c r="AH217" s="556">
        <v>2</v>
      </c>
      <c r="AI217" s="556">
        <v>2</v>
      </c>
      <c r="AJ217" s="556">
        <v>2</v>
      </c>
      <c r="AK217" s="556">
        <v>2</v>
      </c>
      <c r="AL217" s="556">
        <v>2</v>
      </c>
      <c r="AN217" s="556">
        <v>2</v>
      </c>
      <c r="AP217" s="556">
        <v>2</v>
      </c>
      <c r="AQ217" s="556">
        <v>3</v>
      </c>
      <c r="AR217" s="556">
        <v>3</v>
      </c>
      <c r="AS217" s="556">
        <v>2</v>
      </c>
      <c r="AT217" s="556">
        <v>2</v>
      </c>
      <c r="AU217" s="556">
        <v>2</v>
      </c>
      <c r="AV217" s="556">
        <v>2</v>
      </c>
      <c r="AW217" s="556">
        <v>2</v>
      </c>
      <c r="AX217" s="556">
        <v>2</v>
      </c>
      <c r="AY217" s="556">
        <v>2</v>
      </c>
      <c r="AZ217" s="556">
        <v>2</v>
      </c>
      <c r="BA217" s="556">
        <v>2</v>
      </c>
      <c r="BB217" s="556">
        <v>2</v>
      </c>
      <c r="BC217" s="556">
        <v>2</v>
      </c>
      <c r="BD217" s="556">
        <v>3</v>
      </c>
      <c r="BE217" s="556">
        <v>2</v>
      </c>
      <c r="BF217" s="556">
        <v>2</v>
      </c>
      <c r="BG217" s="556">
        <v>3</v>
      </c>
      <c r="BH217" s="556">
        <v>2</v>
      </c>
      <c r="BI217" s="556">
        <v>2</v>
      </c>
      <c r="BJ217" s="556">
        <v>3</v>
      </c>
      <c r="BK217" s="556">
        <v>2</v>
      </c>
      <c r="BL217" s="556">
        <v>2</v>
      </c>
      <c r="BM217" s="556">
        <v>2</v>
      </c>
      <c r="BN217" s="556">
        <v>2</v>
      </c>
      <c r="BO217" s="556">
        <v>2</v>
      </c>
      <c r="BP217" s="556">
        <v>2</v>
      </c>
      <c r="BQ217" s="556">
        <v>3</v>
      </c>
      <c r="BS217" s="556">
        <v>2</v>
      </c>
      <c r="BU217" s="556">
        <v>2</v>
      </c>
      <c r="BV217" s="556">
        <v>2</v>
      </c>
      <c r="BW217" s="556">
        <v>2</v>
      </c>
      <c r="BX217" s="556">
        <v>2</v>
      </c>
      <c r="BZ217" s="556">
        <v>2</v>
      </c>
      <c r="CA217" s="556">
        <v>2</v>
      </c>
      <c r="CB217" s="556">
        <v>2</v>
      </c>
      <c r="CC217" s="556">
        <v>3</v>
      </c>
      <c r="CD217" s="556">
        <v>2</v>
      </c>
      <c r="CF217" s="556">
        <v>2</v>
      </c>
      <c r="CG217" s="556">
        <v>2</v>
      </c>
      <c r="CH217" s="556">
        <v>2</v>
      </c>
      <c r="CI217" s="556">
        <v>2</v>
      </c>
      <c r="CK217" s="556">
        <v>3</v>
      </c>
    </row>
    <row r="218" spans="1:99" x14ac:dyDescent="0.3">
      <c r="A218" s="155">
        <v>960</v>
      </c>
      <c r="B218" s="180" t="s">
        <v>996</v>
      </c>
      <c r="C218" s="180"/>
      <c r="D218" s="180" t="s">
        <v>2625</v>
      </c>
      <c r="E218" s="180" t="s">
        <v>2247</v>
      </c>
      <c r="F218" s="180" t="s">
        <v>2626</v>
      </c>
      <c r="G218" s="180" t="s">
        <v>2627</v>
      </c>
      <c r="H218" s="180"/>
      <c r="I218" s="180" t="s">
        <v>2250</v>
      </c>
      <c r="J218" s="180" t="s">
        <v>2251</v>
      </c>
      <c r="K218" s="180" t="s">
        <v>2252</v>
      </c>
      <c r="L218" s="180" t="s">
        <v>2253</v>
      </c>
      <c r="M218" s="180" t="s">
        <v>2254</v>
      </c>
      <c r="N218" s="180"/>
      <c r="O218" s="180" t="s">
        <v>2628</v>
      </c>
      <c r="P218" s="180" t="s">
        <v>2257</v>
      </c>
      <c r="Q218" s="180" t="s">
        <v>2629</v>
      </c>
      <c r="R218" s="180" t="s">
        <v>2630</v>
      </c>
      <c r="S218" s="180" t="s">
        <v>2631</v>
      </c>
      <c r="T218" s="180" t="s">
        <v>2632</v>
      </c>
      <c r="U218" s="180" t="s">
        <v>2633</v>
      </c>
      <c r="V218" s="180" t="s">
        <v>2263</v>
      </c>
      <c r="W218" s="180" t="s">
        <v>2264</v>
      </c>
      <c r="X218" s="180" t="s">
        <v>2265</v>
      </c>
      <c r="Y218" s="180" t="s">
        <v>2266</v>
      </c>
      <c r="Z218" s="180" t="s">
        <v>2267</v>
      </c>
      <c r="AA218" s="180" t="s">
        <v>2268</v>
      </c>
      <c r="AB218" s="180" t="s">
        <v>2634</v>
      </c>
      <c r="AC218" s="180"/>
      <c r="AD218" s="180" t="s">
        <v>2271</v>
      </c>
      <c r="AE218" s="180" t="s">
        <v>2635</v>
      </c>
      <c r="AF218" s="180" t="s">
        <v>2636</v>
      </c>
      <c r="AG218" s="180" t="s">
        <v>2637</v>
      </c>
      <c r="AH218" s="180" t="s">
        <v>2275</v>
      </c>
      <c r="AI218" s="180" t="s">
        <v>2638</v>
      </c>
      <c r="AJ218" s="180" t="s">
        <v>2277</v>
      </c>
      <c r="AK218" s="180" t="s">
        <v>2639</v>
      </c>
      <c r="AL218" s="180" t="s">
        <v>2640</v>
      </c>
      <c r="AM218" s="180"/>
      <c r="AN218" s="180" t="s">
        <v>2641</v>
      </c>
      <c r="AO218" s="180"/>
      <c r="AP218" s="180" t="s">
        <v>2283</v>
      </c>
      <c r="AQ218" s="180" t="s">
        <v>2284</v>
      </c>
      <c r="AR218" s="180" t="s">
        <v>2642</v>
      </c>
      <c r="AS218" s="180" t="s">
        <v>2286</v>
      </c>
      <c r="AT218" s="180" t="s">
        <v>2287</v>
      </c>
      <c r="AU218" s="180" t="s">
        <v>2288</v>
      </c>
      <c r="AV218" s="180" t="s">
        <v>2289</v>
      </c>
      <c r="AW218" s="180" t="s">
        <v>2290</v>
      </c>
      <c r="AX218" s="180" t="s">
        <v>2643</v>
      </c>
      <c r="AY218" s="180" t="s">
        <v>2644</v>
      </c>
      <c r="AZ218" s="180" t="s">
        <v>2645</v>
      </c>
      <c r="BA218" s="180" t="s">
        <v>2294</v>
      </c>
      <c r="BB218" s="180" t="s">
        <v>2295</v>
      </c>
      <c r="BC218" s="180" t="s">
        <v>2296</v>
      </c>
      <c r="BD218" s="180" t="s">
        <v>2297</v>
      </c>
      <c r="BE218" s="180" t="s">
        <v>2646</v>
      </c>
      <c r="BF218" s="180" t="s">
        <v>2299</v>
      </c>
      <c r="BG218" s="180" t="s">
        <v>2300</v>
      </c>
      <c r="BH218" s="180" t="s">
        <v>2301</v>
      </c>
      <c r="BI218" s="180" t="s">
        <v>2647</v>
      </c>
      <c r="BJ218" s="180" t="s">
        <v>2303</v>
      </c>
      <c r="BK218" s="180" t="s">
        <v>2799</v>
      </c>
      <c r="BL218" s="180" t="s">
        <v>2648</v>
      </c>
      <c r="BM218" s="180" t="s">
        <v>2306</v>
      </c>
      <c r="BN218" s="180" t="s">
        <v>1647</v>
      </c>
      <c r="BO218" s="180" t="s">
        <v>2649</v>
      </c>
      <c r="BP218" s="180" t="s">
        <v>2650</v>
      </c>
      <c r="BQ218" s="180" t="s">
        <v>2310</v>
      </c>
      <c r="BR218" s="180"/>
      <c r="BS218" s="180" t="s">
        <v>2312</v>
      </c>
      <c r="BT218" s="180"/>
      <c r="BU218" s="180" t="s">
        <v>2313</v>
      </c>
      <c r="BV218" s="180" t="s">
        <v>2115</v>
      </c>
      <c r="BW218" s="180" t="s">
        <v>2315</v>
      </c>
      <c r="BX218" s="180" t="s">
        <v>2316</v>
      </c>
      <c r="BY218" s="180"/>
      <c r="BZ218" s="180" t="s">
        <v>2651</v>
      </c>
      <c r="CA218" s="180" t="s">
        <v>2652</v>
      </c>
      <c r="CB218" s="180" t="s">
        <v>2320</v>
      </c>
      <c r="CC218" s="180" t="s">
        <v>2321</v>
      </c>
      <c r="CD218" s="180" t="s">
        <v>2322</v>
      </c>
      <c r="CE218" s="180"/>
      <c r="CF218" s="180" t="s">
        <v>2653</v>
      </c>
      <c r="CG218" s="180" t="s">
        <v>2654</v>
      </c>
      <c r="CH218" s="180" t="s">
        <v>2326</v>
      </c>
      <c r="CI218" s="180" t="s">
        <v>2327</v>
      </c>
      <c r="CJ218" s="180"/>
      <c r="CK218" s="180" t="s">
        <v>2328</v>
      </c>
      <c r="CL218" s="180"/>
      <c r="CM218" s="180"/>
      <c r="CN218" s="180"/>
      <c r="CO218" s="180"/>
      <c r="CP218" s="180"/>
      <c r="CQ218" s="180"/>
      <c r="CR218" s="180"/>
      <c r="CS218" s="180"/>
      <c r="CT218" s="180"/>
      <c r="CU218" s="180"/>
    </row>
    <row r="219" spans="1:99" x14ac:dyDescent="0.3">
      <c r="A219" s="155">
        <v>962</v>
      </c>
      <c r="B219" s="180" t="s">
        <v>997</v>
      </c>
      <c r="C219" s="180"/>
      <c r="D219" s="180" t="s">
        <v>999</v>
      </c>
      <c r="E219" s="180" t="s">
        <v>2329</v>
      </c>
      <c r="F219" s="180" t="s">
        <v>1001</v>
      </c>
      <c r="G219" s="180" t="s">
        <v>1000</v>
      </c>
      <c r="H219" s="180"/>
      <c r="I219" s="180" t="s">
        <v>2655</v>
      </c>
      <c r="J219" s="180" t="s">
        <v>999</v>
      </c>
      <c r="K219" s="180" t="s">
        <v>998</v>
      </c>
      <c r="L219" s="180" t="s">
        <v>999</v>
      </c>
      <c r="M219" s="180" t="s">
        <v>998</v>
      </c>
      <c r="N219" s="180"/>
      <c r="O219" s="180" t="s">
        <v>998</v>
      </c>
      <c r="P219" s="180" t="s">
        <v>999</v>
      </c>
      <c r="Q219" s="180" t="s">
        <v>2656</v>
      </c>
      <c r="R219" s="180" t="s">
        <v>999</v>
      </c>
      <c r="S219" s="180" t="s">
        <v>2657</v>
      </c>
      <c r="T219" s="180" t="s">
        <v>1003</v>
      </c>
      <c r="U219" s="180" t="s">
        <v>999</v>
      </c>
      <c r="V219" s="180" t="s">
        <v>1001</v>
      </c>
      <c r="W219" s="180" t="s">
        <v>999</v>
      </c>
      <c r="X219" s="180" t="s">
        <v>2658</v>
      </c>
      <c r="Y219" s="180" t="s">
        <v>2331</v>
      </c>
      <c r="Z219" s="180" t="s">
        <v>999</v>
      </c>
      <c r="AA219" s="180" t="s">
        <v>999</v>
      </c>
      <c r="AB219" s="180" t="s">
        <v>998</v>
      </c>
      <c r="AC219" s="180"/>
      <c r="AD219" s="180" t="s">
        <v>998</v>
      </c>
      <c r="AE219" s="180" t="s">
        <v>999</v>
      </c>
      <c r="AF219" s="180" t="s">
        <v>2659</v>
      </c>
      <c r="AG219" s="180" t="s">
        <v>999</v>
      </c>
      <c r="AH219" s="180" t="s">
        <v>999</v>
      </c>
      <c r="AI219" s="180" t="s">
        <v>999</v>
      </c>
      <c r="AJ219" s="180" t="s">
        <v>1149</v>
      </c>
      <c r="AK219" s="180" t="s">
        <v>998</v>
      </c>
      <c r="AL219" s="180" t="s">
        <v>2660</v>
      </c>
      <c r="AM219" s="180"/>
      <c r="AN219" s="180" t="s">
        <v>1000</v>
      </c>
      <c r="AO219" s="180"/>
      <c r="AP219" s="180" t="s">
        <v>999</v>
      </c>
      <c r="AQ219" s="180" t="s">
        <v>998</v>
      </c>
      <c r="AR219" s="180" t="s">
        <v>999</v>
      </c>
      <c r="AS219" s="180" t="s">
        <v>999</v>
      </c>
      <c r="AT219" s="180" t="s">
        <v>998</v>
      </c>
      <c r="AU219" s="180" t="s">
        <v>1000</v>
      </c>
      <c r="AV219" s="180" t="s">
        <v>999</v>
      </c>
      <c r="AW219" s="180" t="s">
        <v>998</v>
      </c>
      <c r="AX219" s="180" t="s">
        <v>999</v>
      </c>
      <c r="AY219" s="180" t="s">
        <v>998</v>
      </c>
      <c r="AZ219" s="180" t="s">
        <v>998</v>
      </c>
      <c r="BA219" s="180" t="s">
        <v>999</v>
      </c>
      <c r="BB219" s="180" t="s">
        <v>999</v>
      </c>
      <c r="BC219" s="180" t="s">
        <v>998</v>
      </c>
      <c r="BD219" s="180" t="s">
        <v>2339</v>
      </c>
      <c r="BE219" s="180" t="s">
        <v>998</v>
      </c>
      <c r="BF219" s="180" t="s">
        <v>2340</v>
      </c>
      <c r="BG219" s="180" t="s">
        <v>1002</v>
      </c>
      <c r="BH219" s="180" t="s">
        <v>999</v>
      </c>
      <c r="BI219" s="180" t="s">
        <v>2661</v>
      </c>
      <c r="BJ219" s="180" t="s">
        <v>2343</v>
      </c>
      <c r="BK219" s="180" t="s">
        <v>999</v>
      </c>
      <c r="BL219" s="180" t="s">
        <v>999</v>
      </c>
      <c r="BM219" s="180" t="s">
        <v>1000</v>
      </c>
      <c r="BN219" s="180" t="s">
        <v>2173</v>
      </c>
      <c r="BO219" s="180" t="s">
        <v>998</v>
      </c>
      <c r="BP219" s="180" t="s">
        <v>998</v>
      </c>
      <c r="BQ219" s="180" t="s">
        <v>2346</v>
      </c>
      <c r="BR219" s="180"/>
      <c r="BS219" s="180" t="s">
        <v>999</v>
      </c>
      <c r="BT219" s="180"/>
      <c r="BU219" s="180" t="s">
        <v>2804</v>
      </c>
      <c r="BV219" s="180" t="s">
        <v>2178</v>
      </c>
      <c r="BW219" s="180" t="s">
        <v>2347</v>
      </c>
      <c r="BX219" s="180" t="s">
        <v>999</v>
      </c>
      <c r="BY219" s="180"/>
      <c r="BZ219" s="180" t="s">
        <v>1000</v>
      </c>
      <c r="CA219" s="180" t="s">
        <v>999</v>
      </c>
      <c r="CB219" s="180" t="s">
        <v>998</v>
      </c>
      <c r="CC219" s="180" t="s">
        <v>2346</v>
      </c>
      <c r="CD219" s="180" t="s">
        <v>1001</v>
      </c>
      <c r="CE219" s="180"/>
      <c r="CF219" s="180" t="s">
        <v>998</v>
      </c>
      <c r="CG219" s="180" t="s">
        <v>998</v>
      </c>
      <c r="CH219" s="180" t="s">
        <v>998</v>
      </c>
      <c r="CI219" s="180" t="s">
        <v>999</v>
      </c>
      <c r="CJ219" s="180"/>
      <c r="CK219" s="180" t="s">
        <v>1001</v>
      </c>
      <c r="CL219" s="180"/>
      <c r="CM219" s="180"/>
      <c r="CN219" s="180"/>
      <c r="CO219" s="180"/>
      <c r="CP219" s="180"/>
      <c r="CQ219" s="180"/>
      <c r="CR219" s="180"/>
      <c r="CS219" s="180"/>
      <c r="CT219" s="180"/>
      <c r="CU219" s="180"/>
    </row>
    <row r="220" spans="1:99" x14ac:dyDescent="0.3">
      <c r="A220" s="155">
        <v>964</v>
      </c>
      <c r="B220" s="180" t="s">
        <v>1005</v>
      </c>
      <c r="C220" s="180"/>
      <c r="D220" s="180" t="s">
        <v>1737</v>
      </c>
      <c r="E220" s="180" t="s">
        <v>1735</v>
      </c>
      <c r="F220" s="180" t="s">
        <v>1736</v>
      </c>
      <c r="G220" s="180" t="s">
        <v>2662</v>
      </c>
      <c r="H220" s="180"/>
      <c r="I220" s="180" t="s">
        <v>1729</v>
      </c>
      <c r="J220" s="180" t="s">
        <v>2663</v>
      </c>
      <c r="K220" s="180" t="s">
        <v>2664</v>
      </c>
      <c r="L220" s="180" t="s">
        <v>2665</v>
      </c>
      <c r="M220" s="180" t="s">
        <v>2666</v>
      </c>
      <c r="N220" s="180"/>
      <c r="O220" s="180" t="s">
        <v>2667</v>
      </c>
      <c r="P220" s="180" t="s">
        <v>1740</v>
      </c>
      <c r="Q220" s="180" t="s">
        <v>2668</v>
      </c>
      <c r="R220" s="180" t="s">
        <v>1741</v>
      </c>
      <c r="S220" s="180" t="s">
        <v>2669</v>
      </c>
      <c r="T220" s="180" t="s">
        <v>2563</v>
      </c>
      <c r="U220" s="180" t="s">
        <v>2670</v>
      </c>
      <c r="V220" s="180" t="s">
        <v>2563</v>
      </c>
      <c r="W220" s="180" t="s">
        <v>1747</v>
      </c>
      <c r="X220" s="180" t="s">
        <v>1736</v>
      </c>
      <c r="Y220" s="180" t="s">
        <v>1754</v>
      </c>
      <c r="Z220" s="180" t="s">
        <v>1729</v>
      </c>
      <c r="AA220" s="180" t="s">
        <v>2671</v>
      </c>
      <c r="AB220" s="180" t="s">
        <v>2672</v>
      </c>
      <c r="AC220" s="180"/>
      <c r="AD220" s="180" t="s">
        <v>2673</v>
      </c>
      <c r="AE220" s="180" t="s">
        <v>1740</v>
      </c>
      <c r="AF220" s="180" t="s">
        <v>1733</v>
      </c>
      <c r="AG220" s="180" t="s">
        <v>1729</v>
      </c>
      <c r="AH220" s="180" t="s">
        <v>1744</v>
      </c>
      <c r="AI220" s="180" t="s">
        <v>1742</v>
      </c>
      <c r="AJ220" s="180" t="s">
        <v>2674</v>
      </c>
      <c r="AK220" s="180" t="s">
        <v>1724</v>
      </c>
      <c r="AL220" s="180" t="s">
        <v>2675</v>
      </c>
      <c r="AM220" s="180"/>
      <c r="AN220" s="180" t="s">
        <v>2567</v>
      </c>
      <c r="AO220" s="180"/>
      <c r="AP220" s="180" t="s">
        <v>2676</v>
      </c>
      <c r="AQ220" s="180" t="s">
        <v>2677</v>
      </c>
      <c r="AR220" s="180" t="s">
        <v>1743</v>
      </c>
      <c r="AS220" s="180" t="s">
        <v>1744</v>
      </c>
      <c r="AT220" s="180" t="s">
        <v>1741</v>
      </c>
      <c r="AU220" s="180" t="s">
        <v>2678</v>
      </c>
      <c r="AV220" s="180" t="s">
        <v>1738</v>
      </c>
      <c r="AW220" s="180" t="s">
        <v>1730</v>
      </c>
      <c r="AX220" s="180" t="s">
        <v>2675</v>
      </c>
      <c r="AY220" s="180" t="s">
        <v>1753</v>
      </c>
      <c r="AZ220" s="180" t="s">
        <v>2679</v>
      </c>
      <c r="BA220" s="180" t="s">
        <v>1761</v>
      </c>
      <c r="BB220" s="180" t="s">
        <v>1732</v>
      </c>
      <c r="BC220" s="180" t="s">
        <v>1729</v>
      </c>
      <c r="BD220" s="180" t="s">
        <v>2364</v>
      </c>
      <c r="BE220" s="180" t="s">
        <v>1740</v>
      </c>
      <c r="BF220" s="180" t="s">
        <v>1744</v>
      </c>
      <c r="BG220" s="180" t="s">
        <v>1737</v>
      </c>
      <c r="BH220" s="180" t="s">
        <v>2228</v>
      </c>
      <c r="BI220" s="180" t="s">
        <v>2680</v>
      </c>
      <c r="BJ220" s="180" t="s">
        <v>1728</v>
      </c>
      <c r="BK220" s="180" t="s">
        <v>2800</v>
      </c>
      <c r="BL220" s="180" t="s">
        <v>1738</v>
      </c>
      <c r="BM220" s="180" t="s">
        <v>2356</v>
      </c>
      <c r="BN220" s="180" t="s">
        <v>1727</v>
      </c>
      <c r="BO220" s="180" t="s">
        <v>1758</v>
      </c>
      <c r="BP220" s="180" t="s">
        <v>1728</v>
      </c>
      <c r="BQ220" s="180" t="s">
        <v>2681</v>
      </c>
      <c r="BR220" s="180"/>
      <c r="BS220" s="180" t="s">
        <v>1729</v>
      </c>
      <c r="BT220" s="180"/>
      <c r="BU220" s="180" t="s">
        <v>2805</v>
      </c>
      <c r="BV220" s="180" t="s">
        <v>2682</v>
      </c>
      <c r="BW220" s="180" t="s">
        <v>1013</v>
      </c>
      <c r="BX220" s="180" t="s">
        <v>1757</v>
      </c>
      <c r="BY220" s="180"/>
      <c r="BZ220" s="180" t="s">
        <v>2683</v>
      </c>
      <c r="CA220" s="180" t="s">
        <v>1739</v>
      </c>
      <c r="CB220" s="180" t="s">
        <v>2684</v>
      </c>
      <c r="CC220" s="180" t="s">
        <v>2685</v>
      </c>
      <c r="CD220" s="180" t="s">
        <v>2686</v>
      </c>
      <c r="CE220" s="180"/>
      <c r="CF220" s="180" t="s">
        <v>1756</v>
      </c>
      <c r="CG220" s="180" t="s">
        <v>2624</v>
      </c>
      <c r="CH220" s="180" t="s">
        <v>1740</v>
      </c>
      <c r="CI220" s="180" t="s">
        <v>1729</v>
      </c>
      <c r="CJ220" s="180"/>
      <c r="CK220" s="180" t="s">
        <v>2687</v>
      </c>
      <c r="CL220" s="180"/>
      <c r="CM220" s="180"/>
      <c r="CN220" s="180"/>
      <c r="CO220" s="180"/>
      <c r="CP220" s="180"/>
      <c r="CQ220" s="180"/>
      <c r="CR220" s="180"/>
      <c r="CS220" s="180"/>
      <c r="CT220" s="180"/>
      <c r="CU220" s="180"/>
    </row>
    <row r="221" spans="1:99" x14ac:dyDescent="0.3">
      <c r="A221" s="155">
        <v>966</v>
      </c>
      <c r="B221" s="180" t="s">
        <v>1020</v>
      </c>
      <c r="C221" s="180"/>
      <c r="D221" s="180" t="s">
        <v>2374</v>
      </c>
      <c r="E221" s="180" t="s">
        <v>2688</v>
      </c>
      <c r="F221" s="180" t="s">
        <v>2376</v>
      </c>
      <c r="G221" s="180" t="s">
        <v>2377</v>
      </c>
      <c r="H221" s="180"/>
      <c r="I221" s="180" t="s">
        <v>2379</v>
      </c>
      <c r="J221" s="180" t="s">
        <v>2380</v>
      </c>
      <c r="K221" s="180" t="s">
        <v>2381</v>
      </c>
      <c r="L221" s="180" t="s">
        <v>2382</v>
      </c>
      <c r="M221" s="180" t="s">
        <v>2383</v>
      </c>
      <c r="N221" s="180"/>
      <c r="O221" s="180" t="s">
        <v>2689</v>
      </c>
      <c r="P221" s="180" t="s">
        <v>2386</v>
      </c>
      <c r="Q221" s="180" t="s">
        <v>2387</v>
      </c>
      <c r="R221" s="180" t="s">
        <v>2388</v>
      </c>
      <c r="S221" s="180" t="s">
        <v>2389</v>
      </c>
      <c r="T221" s="180" t="s">
        <v>2390</v>
      </c>
      <c r="U221" s="180" t="s">
        <v>2690</v>
      </c>
      <c r="V221" s="180" t="s">
        <v>2392</v>
      </c>
      <c r="W221" s="180" t="s">
        <v>2393</v>
      </c>
      <c r="X221" s="180" t="s">
        <v>2394</v>
      </c>
      <c r="Y221" s="180" t="s">
        <v>2691</v>
      </c>
      <c r="Z221" s="180" t="s">
        <v>2396</v>
      </c>
      <c r="AA221" s="180" t="s">
        <v>2397</v>
      </c>
      <c r="AB221" s="180" t="s">
        <v>2398</v>
      </c>
      <c r="AC221" s="180"/>
      <c r="AD221" s="180" t="s">
        <v>2400</v>
      </c>
      <c r="AE221" s="180" t="s">
        <v>2401</v>
      </c>
      <c r="AF221" s="180" t="s">
        <v>2402</v>
      </c>
      <c r="AG221" s="180" t="s">
        <v>2403</v>
      </c>
      <c r="AH221" s="180" t="s">
        <v>2404</v>
      </c>
      <c r="AI221" s="180" t="s">
        <v>2405</v>
      </c>
      <c r="AJ221" s="180" t="s">
        <v>2406</v>
      </c>
      <c r="AK221" s="180" t="s">
        <v>2407</v>
      </c>
      <c r="AL221" s="180" t="s">
        <v>2408</v>
      </c>
      <c r="AM221" s="180"/>
      <c r="AN221" s="180" t="s">
        <v>2410</v>
      </c>
      <c r="AO221" s="180"/>
      <c r="AP221" s="180" t="s">
        <v>2692</v>
      </c>
      <c r="AQ221" s="180" t="s">
        <v>2413</v>
      </c>
      <c r="AR221" s="180" t="s">
        <v>2414</v>
      </c>
      <c r="AS221" s="180" t="s">
        <v>2415</v>
      </c>
      <c r="AT221" s="180" t="s">
        <v>2693</v>
      </c>
      <c r="AU221" s="180" t="s">
        <v>2417</v>
      </c>
      <c r="AV221" s="180" t="s">
        <v>2418</v>
      </c>
      <c r="AW221" s="180" t="s">
        <v>2694</v>
      </c>
      <c r="AX221" s="180" t="s">
        <v>2420</v>
      </c>
      <c r="AY221" s="180" t="s">
        <v>2421</v>
      </c>
      <c r="AZ221" s="180" t="s">
        <v>2422</v>
      </c>
      <c r="BA221" s="180" t="s">
        <v>2423</v>
      </c>
      <c r="BB221" s="180" t="s">
        <v>2424</v>
      </c>
      <c r="BC221" s="180" t="s">
        <v>2695</v>
      </c>
      <c r="BD221" s="180" t="s">
        <v>2426</v>
      </c>
      <c r="BE221" s="180" t="s">
        <v>2427</v>
      </c>
      <c r="BF221" s="180" t="s">
        <v>2428</v>
      </c>
      <c r="BG221" s="180" t="s">
        <v>2429</v>
      </c>
      <c r="BH221" s="180" t="s">
        <v>2430</v>
      </c>
      <c r="BI221" s="180" t="s">
        <v>2431</v>
      </c>
      <c r="BJ221" s="180" t="s">
        <v>2432</v>
      </c>
      <c r="BK221" s="180" t="s">
        <v>2433</v>
      </c>
      <c r="BL221" s="180" t="s">
        <v>2434</v>
      </c>
      <c r="BM221" s="180" t="s">
        <v>2435</v>
      </c>
      <c r="BN221" s="180" t="s">
        <v>2436</v>
      </c>
      <c r="BO221" s="180" t="s">
        <v>2437</v>
      </c>
      <c r="BP221" s="180" t="s">
        <v>2696</v>
      </c>
      <c r="BQ221" s="180" t="s">
        <v>2439</v>
      </c>
      <c r="BR221" s="180"/>
      <c r="BS221" s="180" t="s">
        <v>2441</v>
      </c>
      <c r="BT221" s="180"/>
      <c r="BU221" s="180" t="s">
        <v>2442</v>
      </c>
      <c r="BV221" s="180" t="s">
        <v>2697</v>
      </c>
      <c r="BW221" s="180" t="s">
        <v>2444</v>
      </c>
      <c r="BX221" s="180" t="s">
        <v>2445</v>
      </c>
      <c r="BY221" s="180"/>
      <c r="BZ221" s="180" t="s">
        <v>2447</v>
      </c>
      <c r="CA221" s="180" t="s">
        <v>2448</v>
      </c>
      <c r="CB221" s="180" t="s">
        <v>2449</v>
      </c>
      <c r="CC221" s="180" t="s">
        <v>2450</v>
      </c>
      <c r="CD221" s="180" t="s">
        <v>2451</v>
      </c>
      <c r="CE221" s="180"/>
      <c r="CF221" s="180" t="s">
        <v>2698</v>
      </c>
      <c r="CG221" s="180" t="s">
        <v>2454</v>
      </c>
      <c r="CH221" s="180" t="s">
        <v>2455</v>
      </c>
      <c r="CI221" s="180" t="s">
        <v>2456</v>
      </c>
      <c r="CJ221" s="180"/>
      <c r="CK221" s="180" t="s">
        <v>2457</v>
      </c>
      <c r="CL221" s="180"/>
      <c r="CM221" s="180"/>
      <c r="CN221" s="180"/>
      <c r="CO221" s="180"/>
      <c r="CP221" s="180"/>
      <c r="CQ221" s="180"/>
      <c r="CR221" s="180"/>
      <c r="CS221" s="180"/>
      <c r="CT221" s="180"/>
      <c r="CU221" s="180"/>
    </row>
    <row r="222" spans="1:99" x14ac:dyDescent="0.3">
      <c r="A222" s="155">
        <v>968</v>
      </c>
      <c r="B222" s="180" t="s">
        <v>1021</v>
      </c>
      <c r="C222" s="180"/>
      <c r="D222" s="180" t="s">
        <v>2458</v>
      </c>
      <c r="E222" s="180" t="s">
        <v>2459</v>
      </c>
      <c r="F222" s="180" t="s">
        <v>2699</v>
      </c>
      <c r="G222" s="180" t="s">
        <v>2461</v>
      </c>
      <c r="H222" s="180"/>
      <c r="I222" s="180" t="s">
        <v>2463</v>
      </c>
      <c r="J222" s="180" t="s">
        <v>2464</v>
      </c>
      <c r="K222" s="180" t="s">
        <v>2465</v>
      </c>
      <c r="L222" s="180" t="s">
        <v>2466</v>
      </c>
      <c r="M222" s="180" t="s">
        <v>2467</v>
      </c>
      <c r="N222" s="180"/>
      <c r="O222" s="180" t="s">
        <v>2700</v>
      </c>
      <c r="P222" s="180" t="s">
        <v>2470</v>
      </c>
      <c r="Q222" s="180" t="s">
        <v>2471</v>
      </c>
      <c r="R222" s="180" t="s">
        <v>2701</v>
      </c>
      <c r="S222" s="180" t="s">
        <v>2702</v>
      </c>
      <c r="T222" s="180" t="s">
        <v>2474</v>
      </c>
      <c r="U222" s="180" t="s">
        <v>2703</v>
      </c>
      <c r="V222" s="180" t="s">
        <v>2476</v>
      </c>
      <c r="W222" s="180" t="s">
        <v>2477</v>
      </c>
      <c r="X222" s="180" t="s">
        <v>2478</v>
      </c>
      <c r="Y222" s="180" t="s">
        <v>2479</v>
      </c>
      <c r="Z222" s="180" t="s">
        <v>2480</v>
      </c>
      <c r="AA222" s="180" t="s">
        <v>2481</v>
      </c>
      <c r="AB222" s="180" t="s">
        <v>2704</v>
      </c>
      <c r="AC222" s="180"/>
      <c r="AD222" s="180" t="s">
        <v>2484</v>
      </c>
      <c r="AE222" s="180" t="s">
        <v>2705</v>
      </c>
      <c r="AF222" s="180" t="s">
        <v>2486</v>
      </c>
      <c r="AG222" s="180" t="s">
        <v>2487</v>
      </c>
      <c r="AH222" s="180" t="s">
        <v>2488</v>
      </c>
      <c r="AI222" s="180" t="s">
        <v>2489</v>
      </c>
      <c r="AJ222" s="180" t="s">
        <v>2490</v>
      </c>
      <c r="AK222" s="180" t="s">
        <v>2706</v>
      </c>
      <c r="AL222" s="180" t="s">
        <v>2707</v>
      </c>
      <c r="AM222" s="180"/>
      <c r="AN222" s="180" t="s">
        <v>2708</v>
      </c>
      <c r="AO222" s="180"/>
      <c r="AP222" s="180" t="s">
        <v>2496</v>
      </c>
      <c r="AQ222" s="180" t="s">
        <v>2497</v>
      </c>
      <c r="AR222" s="180" t="s">
        <v>2498</v>
      </c>
      <c r="AS222" s="180" t="s">
        <v>2709</v>
      </c>
      <c r="AT222" s="180" t="s">
        <v>2710</v>
      </c>
      <c r="AU222" s="180" t="s">
        <v>2711</v>
      </c>
      <c r="AV222" s="180" t="s">
        <v>2502</v>
      </c>
      <c r="AW222" s="180" t="s">
        <v>2503</v>
      </c>
      <c r="AX222" s="180" t="s">
        <v>2504</v>
      </c>
      <c r="AY222" s="180" t="s">
        <v>2712</v>
      </c>
      <c r="AZ222" s="180" t="s">
        <v>2713</v>
      </c>
      <c r="BA222" s="180" t="s">
        <v>2507</v>
      </c>
      <c r="BB222" s="180" t="s">
        <v>2508</v>
      </c>
      <c r="BC222" s="180" t="s">
        <v>2509</v>
      </c>
      <c r="BD222" s="180" t="s">
        <v>2510</v>
      </c>
      <c r="BE222" s="180" t="s">
        <v>2511</v>
      </c>
      <c r="BF222" s="180" t="s">
        <v>2512</v>
      </c>
      <c r="BG222" s="180" t="s">
        <v>2513</v>
      </c>
      <c r="BH222" s="180" t="s">
        <v>2514</v>
      </c>
      <c r="BI222" s="180" t="s">
        <v>2714</v>
      </c>
      <c r="BJ222" s="180" t="s">
        <v>2516</v>
      </c>
      <c r="BK222" s="180" t="s">
        <v>2801</v>
      </c>
      <c r="BL222" s="180" t="s">
        <v>2518</v>
      </c>
      <c r="BM222" s="180" t="s">
        <v>2519</v>
      </c>
      <c r="BN222" s="180" t="s">
        <v>2520</v>
      </c>
      <c r="BO222" s="180" t="s">
        <v>2715</v>
      </c>
      <c r="BP222" s="180" t="s">
        <v>2716</v>
      </c>
      <c r="BQ222" s="180" t="s">
        <v>2523</v>
      </c>
      <c r="BR222" s="180"/>
      <c r="BS222" s="180" t="s">
        <v>2525</v>
      </c>
      <c r="BT222" s="180"/>
      <c r="BU222" s="180" t="s">
        <v>2806</v>
      </c>
      <c r="BV222" s="180" t="s">
        <v>2717</v>
      </c>
      <c r="BW222" s="180" t="s">
        <v>2528</v>
      </c>
      <c r="BX222" s="180" t="s">
        <v>2529</v>
      </c>
      <c r="BY222" s="180"/>
      <c r="BZ222" s="180" t="s">
        <v>2531</v>
      </c>
      <c r="CA222" s="180" t="s">
        <v>2532</v>
      </c>
      <c r="CB222" s="180" t="s">
        <v>2533</v>
      </c>
      <c r="CC222" s="180" t="s">
        <v>2534</v>
      </c>
      <c r="CD222" s="180" t="s">
        <v>2535</v>
      </c>
      <c r="CE222" s="180"/>
      <c r="CF222" s="180" t="s">
        <v>2718</v>
      </c>
      <c r="CG222" s="180" t="s">
        <v>2538</v>
      </c>
      <c r="CH222" s="180" t="s">
        <v>2539</v>
      </c>
      <c r="CI222" s="180" t="s">
        <v>2540</v>
      </c>
      <c r="CJ222" s="180"/>
      <c r="CK222" s="180" t="s">
        <v>2719</v>
      </c>
      <c r="CL222" s="180"/>
      <c r="CM222" s="180"/>
      <c r="CN222" s="180"/>
      <c r="CO222" s="180"/>
      <c r="CP222" s="180"/>
      <c r="CQ222" s="180"/>
      <c r="CR222" s="180"/>
      <c r="CS222" s="180"/>
      <c r="CT222" s="180"/>
      <c r="CU222" s="180"/>
    </row>
    <row r="223" spans="1:99" s="556" customFormat="1" x14ac:dyDescent="0.3">
      <c r="A223" s="555">
        <v>973</v>
      </c>
      <c r="B223" s="556" t="s">
        <v>1748</v>
      </c>
      <c r="D223" s="556">
        <v>0</v>
      </c>
      <c r="E223" s="556">
        <v>0</v>
      </c>
      <c r="F223" s="556">
        <v>0</v>
      </c>
      <c r="G223" s="556">
        <v>0</v>
      </c>
      <c r="I223" s="556">
        <v>0</v>
      </c>
      <c r="J223" s="556">
        <v>0</v>
      </c>
      <c r="K223" s="556">
        <v>0</v>
      </c>
      <c r="L223" s="556">
        <v>0</v>
      </c>
      <c r="M223" s="556">
        <v>0</v>
      </c>
      <c r="O223" s="556">
        <v>0</v>
      </c>
      <c r="P223" s="556">
        <v>0</v>
      </c>
      <c r="Q223" s="556">
        <v>0</v>
      </c>
      <c r="R223" s="556">
        <v>0</v>
      </c>
      <c r="S223" s="556">
        <v>0</v>
      </c>
      <c r="T223" s="556">
        <v>0</v>
      </c>
      <c r="U223" s="556">
        <v>0</v>
      </c>
      <c r="V223" s="556">
        <v>0</v>
      </c>
      <c r="W223" s="556">
        <v>0</v>
      </c>
      <c r="X223" s="556">
        <v>0</v>
      </c>
      <c r="Y223" s="556">
        <v>0</v>
      </c>
      <c r="Z223" s="556">
        <v>0</v>
      </c>
      <c r="AA223" s="556">
        <v>0</v>
      </c>
      <c r="AB223" s="556">
        <v>0</v>
      </c>
      <c r="AD223" s="556">
        <v>0</v>
      </c>
      <c r="AE223" s="556">
        <v>0</v>
      </c>
      <c r="AF223" s="556">
        <v>0</v>
      </c>
      <c r="AG223" s="556">
        <v>0</v>
      </c>
      <c r="AH223" s="556">
        <v>0</v>
      </c>
      <c r="AI223" s="556">
        <v>0</v>
      </c>
      <c r="AJ223" s="556">
        <v>0</v>
      </c>
      <c r="AK223" s="556">
        <v>0</v>
      </c>
      <c r="AL223" s="556">
        <v>0</v>
      </c>
      <c r="AN223" s="556">
        <v>0</v>
      </c>
      <c r="AP223" s="556">
        <v>0</v>
      </c>
      <c r="AQ223" s="556">
        <v>0</v>
      </c>
      <c r="AR223" s="556">
        <v>1</v>
      </c>
      <c r="AS223" s="556">
        <v>0</v>
      </c>
      <c r="AT223" s="556">
        <v>0</v>
      </c>
      <c r="AU223" s="556">
        <v>0</v>
      </c>
      <c r="AV223" s="556">
        <v>0</v>
      </c>
      <c r="AW223" s="556">
        <v>0</v>
      </c>
      <c r="AX223" s="556">
        <v>1</v>
      </c>
      <c r="AY223" s="556">
        <v>0</v>
      </c>
      <c r="AZ223" s="556">
        <v>0</v>
      </c>
      <c r="BA223" s="556">
        <v>0</v>
      </c>
      <c r="BB223" s="556">
        <v>0</v>
      </c>
      <c r="BC223" s="556">
        <v>0</v>
      </c>
      <c r="BD223" s="556">
        <v>0</v>
      </c>
      <c r="BE223" s="556">
        <v>0</v>
      </c>
      <c r="BF223" s="556">
        <v>0</v>
      </c>
      <c r="BG223" s="556">
        <v>0</v>
      </c>
      <c r="BH223" s="556">
        <v>0</v>
      </c>
      <c r="BI223" s="556">
        <v>0</v>
      </c>
      <c r="BJ223" s="556">
        <v>0</v>
      </c>
      <c r="BK223" s="556">
        <v>0</v>
      </c>
      <c r="BL223" s="556">
        <v>0</v>
      </c>
      <c r="BM223" s="556">
        <v>0</v>
      </c>
      <c r="BN223" s="556">
        <v>0</v>
      </c>
      <c r="BO223" s="556">
        <v>0</v>
      </c>
      <c r="BP223" s="556">
        <v>0</v>
      </c>
      <c r="BQ223" s="556">
        <v>0</v>
      </c>
      <c r="BS223" s="556">
        <v>0</v>
      </c>
      <c r="BU223" s="556">
        <v>0</v>
      </c>
      <c r="BV223" s="556">
        <v>0</v>
      </c>
      <c r="BW223" s="556">
        <v>0</v>
      </c>
      <c r="BX223" s="556">
        <v>0</v>
      </c>
      <c r="BZ223" s="556">
        <v>0</v>
      </c>
      <c r="CA223" s="556">
        <v>0</v>
      </c>
      <c r="CB223" s="556">
        <v>0</v>
      </c>
      <c r="CC223" s="556">
        <v>0</v>
      </c>
      <c r="CD223" s="556">
        <v>0</v>
      </c>
      <c r="CF223" s="556">
        <v>0</v>
      </c>
      <c r="CG223" s="556">
        <v>0</v>
      </c>
      <c r="CH223" s="556">
        <v>0</v>
      </c>
      <c r="CI223" s="556">
        <v>0</v>
      </c>
      <c r="CK223" s="556">
        <v>1</v>
      </c>
    </row>
    <row r="224" spans="1:99" s="556" customFormat="1" x14ac:dyDescent="0.3">
      <c r="A224" s="555">
        <v>974</v>
      </c>
      <c r="B224" s="556" t="s">
        <v>1022</v>
      </c>
      <c r="D224" s="556">
        <v>2</v>
      </c>
      <c r="E224" s="556">
        <v>2</v>
      </c>
      <c r="F224" s="556">
        <v>2</v>
      </c>
      <c r="G224" s="556">
        <v>2</v>
      </c>
      <c r="I224" s="556">
        <v>2</v>
      </c>
      <c r="J224" s="556">
        <v>2</v>
      </c>
      <c r="K224" s="556">
        <v>2</v>
      </c>
      <c r="L224" s="556">
        <v>3</v>
      </c>
      <c r="M224" s="556">
        <v>2</v>
      </c>
      <c r="O224" s="556">
        <v>2</v>
      </c>
      <c r="P224" s="556">
        <v>3</v>
      </c>
      <c r="Q224" s="556">
        <v>3</v>
      </c>
      <c r="R224" s="556">
        <v>3</v>
      </c>
      <c r="S224" s="556">
        <v>3</v>
      </c>
      <c r="T224" s="556">
        <v>2</v>
      </c>
      <c r="U224" s="556">
        <v>2</v>
      </c>
      <c r="V224" s="556">
        <v>3</v>
      </c>
      <c r="W224" s="556">
        <v>2</v>
      </c>
      <c r="X224" s="556">
        <v>2</v>
      </c>
      <c r="Y224" s="556">
        <v>2</v>
      </c>
      <c r="Z224" s="556">
        <v>2</v>
      </c>
      <c r="AA224" s="556">
        <v>2</v>
      </c>
      <c r="AB224" s="556">
        <v>2</v>
      </c>
      <c r="AD224" s="556">
        <v>2</v>
      </c>
      <c r="AE224" s="556">
        <v>3</v>
      </c>
      <c r="AF224" s="556">
        <v>2</v>
      </c>
      <c r="AG224" s="556">
        <v>3</v>
      </c>
      <c r="AH224" s="556">
        <v>3</v>
      </c>
      <c r="AI224" s="556">
        <v>2</v>
      </c>
      <c r="AJ224" s="556">
        <v>2</v>
      </c>
      <c r="AK224" s="556">
        <v>2</v>
      </c>
      <c r="AL224" s="556">
        <v>2</v>
      </c>
      <c r="AN224" s="556">
        <v>1</v>
      </c>
      <c r="AP224" s="556">
        <v>2</v>
      </c>
      <c r="AQ224" s="556">
        <v>2</v>
      </c>
      <c r="AR224" s="556">
        <v>3</v>
      </c>
      <c r="AS224" s="556">
        <v>2</v>
      </c>
      <c r="AT224" s="556">
        <v>2</v>
      </c>
      <c r="AU224" s="556">
        <v>2</v>
      </c>
      <c r="AV224" s="556">
        <v>2</v>
      </c>
      <c r="AW224" s="556">
        <v>2</v>
      </c>
      <c r="AX224" s="556">
        <v>2</v>
      </c>
      <c r="AY224" s="556">
        <v>2</v>
      </c>
      <c r="AZ224" s="556">
        <v>2</v>
      </c>
      <c r="BA224" s="556">
        <v>2</v>
      </c>
      <c r="BB224" s="556">
        <v>2</v>
      </c>
      <c r="BC224" s="556">
        <v>3</v>
      </c>
      <c r="BD224" s="556">
        <v>3</v>
      </c>
      <c r="BE224" s="556">
        <v>2</v>
      </c>
      <c r="BF224" s="556">
        <v>2</v>
      </c>
      <c r="BG224" s="556">
        <v>3</v>
      </c>
      <c r="BH224" s="556">
        <v>2</v>
      </c>
      <c r="BI224" s="556">
        <v>2</v>
      </c>
      <c r="BJ224" s="556">
        <v>3</v>
      </c>
      <c r="BK224" s="556">
        <v>2</v>
      </c>
      <c r="BL224" s="556">
        <v>2</v>
      </c>
      <c r="BM224" s="556">
        <v>2</v>
      </c>
      <c r="BN224" s="556">
        <v>2</v>
      </c>
      <c r="BO224" s="556">
        <v>2</v>
      </c>
      <c r="BP224" s="556">
        <v>2</v>
      </c>
      <c r="BQ224" s="556">
        <v>3</v>
      </c>
      <c r="BS224" s="556">
        <v>2</v>
      </c>
      <c r="BU224" s="556">
        <v>2</v>
      </c>
      <c r="BV224" s="556">
        <v>2</v>
      </c>
      <c r="BW224" s="556">
        <v>2</v>
      </c>
      <c r="BX224" s="556">
        <v>2</v>
      </c>
      <c r="BZ224" s="556">
        <v>3</v>
      </c>
      <c r="CA224" s="556">
        <v>2</v>
      </c>
      <c r="CB224" s="556">
        <v>2</v>
      </c>
      <c r="CC224" s="556">
        <v>3</v>
      </c>
      <c r="CD224" s="556">
        <v>1</v>
      </c>
      <c r="CF224" s="556">
        <v>2</v>
      </c>
      <c r="CG224" s="556">
        <v>2</v>
      </c>
      <c r="CH224" s="556">
        <v>2</v>
      </c>
      <c r="CI224" s="556">
        <v>3</v>
      </c>
      <c r="CK224" s="556">
        <v>3</v>
      </c>
    </row>
    <row r="225" spans="1:99" s="556" customFormat="1" x14ac:dyDescent="0.3">
      <c r="A225" s="555">
        <v>975</v>
      </c>
      <c r="B225" s="556" t="s">
        <v>606</v>
      </c>
      <c r="D225" s="556">
        <v>1</v>
      </c>
      <c r="E225" s="556">
        <v>2</v>
      </c>
      <c r="F225" s="556">
        <v>1</v>
      </c>
      <c r="G225" s="556">
        <v>2</v>
      </c>
      <c r="I225" s="556">
        <v>1</v>
      </c>
      <c r="J225" s="556">
        <v>1</v>
      </c>
      <c r="K225" s="556">
        <v>2</v>
      </c>
      <c r="L225" s="556">
        <v>1</v>
      </c>
      <c r="M225" s="556">
        <v>1</v>
      </c>
      <c r="O225" s="556">
        <v>1</v>
      </c>
      <c r="P225" s="556">
        <v>2</v>
      </c>
      <c r="Q225" s="556">
        <v>1</v>
      </c>
      <c r="R225" s="556">
        <v>1</v>
      </c>
      <c r="S225" s="556">
        <v>2</v>
      </c>
      <c r="T225" s="556">
        <v>2</v>
      </c>
      <c r="U225" s="556">
        <v>2</v>
      </c>
      <c r="V225" s="556">
        <v>1</v>
      </c>
      <c r="W225" s="556">
        <v>1</v>
      </c>
      <c r="X225" s="556">
        <v>2</v>
      </c>
      <c r="Y225" s="556">
        <v>1</v>
      </c>
      <c r="Z225" s="556">
        <v>0</v>
      </c>
      <c r="AA225" s="556">
        <v>1</v>
      </c>
      <c r="AB225" s="556">
        <v>1</v>
      </c>
      <c r="AD225" s="556">
        <v>2</v>
      </c>
      <c r="AE225" s="556">
        <v>1</v>
      </c>
      <c r="AF225" s="556">
        <v>1</v>
      </c>
      <c r="AG225" s="556">
        <v>1</v>
      </c>
      <c r="AH225" s="556">
        <v>2</v>
      </c>
      <c r="AI225" s="556">
        <v>0</v>
      </c>
      <c r="AJ225" s="556">
        <v>2</v>
      </c>
      <c r="AK225" s="556">
        <v>1</v>
      </c>
      <c r="AL225" s="556">
        <v>1</v>
      </c>
      <c r="AN225" s="556">
        <v>1</v>
      </c>
      <c r="AP225" s="556">
        <v>1</v>
      </c>
      <c r="AQ225" s="556">
        <v>1</v>
      </c>
      <c r="AR225" s="556">
        <v>1</v>
      </c>
      <c r="AS225" s="556">
        <v>1</v>
      </c>
      <c r="AT225" s="556">
        <v>1</v>
      </c>
      <c r="AU225" s="556">
        <v>1</v>
      </c>
      <c r="AV225" s="556">
        <v>2</v>
      </c>
      <c r="AW225" s="556">
        <v>2</v>
      </c>
      <c r="AX225" s="556">
        <v>1</v>
      </c>
      <c r="AY225" s="556">
        <v>1</v>
      </c>
      <c r="AZ225" s="556">
        <v>1</v>
      </c>
      <c r="BA225" s="556">
        <v>1</v>
      </c>
      <c r="BB225" s="556">
        <v>1</v>
      </c>
      <c r="BC225" s="556">
        <v>1</v>
      </c>
      <c r="BD225" s="556">
        <v>2</v>
      </c>
      <c r="BE225" s="556">
        <v>2</v>
      </c>
      <c r="BF225" s="556">
        <v>2</v>
      </c>
      <c r="BG225" s="556">
        <v>1</v>
      </c>
      <c r="BH225" s="556">
        <v>1</v>
      </c>
      <c r="BI225" s="556">
        <v>1</v>
      </c>
      <c r="BJ225" s="556">
        <v>2</v>
      </c>
      <c r="BK225" s="556">
        <v>1</v>
      </c>
      <c r="BL225" s="556">
        <v>1</v>
      </c>
      <c r="BM225" s="556">
        <v>1</v>
      </c>
      <c r="BN225" s="556">
        <v>2</v>
      </c>
      <c r="BO225" s="556">
        <v>1</v>
      </c>
      <c r="BP225" s="556">
        <v>2</v>
      </c>
      <c r="BQ225" s="556">
        <v>1</v>
      </c>
      <c r="BS225" s="556">
        <v>1</v>
      </c>
      <c r="BU225" s="556">
        <v>1</v>
      </c>
      <c r="BV225" s="556">
        <v>1</v>
      </c>
      <c r="BW225" s="556">
        <v>1</v>
      </c>
      <c r="BX225" s="556">
        <v>1</v>
      </c>
      <c r="BZ225" s="556">
        <v>1</v>
      </c>
      <c r="CA225" s="556">
        <v>1</v>
      </c>
      <c r="CB225" s="556">
        <v>1</v>
      </c>
      <c r="CC225" s="556">
        <v>2</v>
      </c>
      <c r="CD225" s="556">
        <v>1</v>
      </c>
      <c r="CF225" s="556">
        <v>1</v>
      </c>
      <c r="CG225" s="556">
        <v>1</v>
      </c>
      <c r="CH225" s="556">
        <v>1</v>
      </c>
      <c r="CI225" s="556">
        <v>2</v>
      </c>
      <c r="CK225" s="556">
        <v>1</v>
      </c>
    </row>
    <row r="226" spans="1:99" s="556" customFormat="1" x14ac:dyDescent="0.3">
      <c r="A226" s="555">
        <v>979</v>
      </c>
      <c r="B226" s="556" t="s">
        <v>1024</v>
      </c>
      <c r="D226" s="556">
        <v>1</v>
      </c>
      <c r="E226" s="556">
        <v>1</v>
      </c>
      <c r="F226" s="556">
        <v>1</v>
      </c>
      <c r="G226" s="556">
        <v>1</v>
      </c>
      <c r="I226" s="556">
        <v>1</v>
      </c>
      <c r="J226" s="556">
        <v>1</v>
      </c>
      <c r="K226" s="556">
        <v>1</v>
      </c>
      <c r="L226" s="556">
        <v>2</v>
      </c>
      <c r="M226" s="556">
        <v>2</v>
      </c>
      <c r="O226" s="556">
        <v>2</v>
      </c>
      <c r="P226" s="556">
        <v>1</v>
      </c>
      <c r="Q226" s="556">
        <v>2</v>
      </c>
      <c r="R226" s="556">
        <v>1</v>
      </c>
      <c r="S226" s="556">
        <v>1</v>
      </c>
      <c r="T226" s="556">
        <v>1</v>
      </c>
      <c r="U226" s="556">
        <v>1</v>
      </c>
      <c r="V226" s="556">
        <v>1</v>
      </c>
      <c r="W226" s="556">
        <v>2</v>
      </c>
      <c r="X226" s="556">
        <v>1</v>
      </c>
      <c r="Y226" s="556">
        <v>1</v>
      </c>
      <c r="Z226" s="556">
        <v>1</v>
      </c>
      <c r="AA226" s="556">
        <v>2</v>
      </c>
      <c r="AB226" s="556">
        <v>2</v>
      </c>
      <c r="AD226" s="556">
        <v>1</v>
      </c>
      <c r="AE226" s="556">
        <v>1</v>
      </c>
      <c r="AF226" s="556">
        <v>1</v>
      </c>
      <c r="AG226" s="556">
        <v>1</v>
      </c>
      <c r="AH226" s="556">
        <v>1</v>
      </c>
      <c r="AI226" s="556">
        <v>1</v>
      </c>
      <c r="AJ226" s="556">
        <v>1</v>
      </c>
      <c r="AK226" s="556">
        <v>1</v>
      </c>
      <c r="AL226" s="556">
        <v>2</v>
      </c>
      <c r="AN226" s="556">
        <v>2</v>
      </c>
      <c r="AP226" s="556">
        <v>2</v>
      </c>
      <c r="AQ226" s="556">
        <v>1</v>
      </c>
      <c r="AR226" s="556">
        <v>2</v>
      </c>
      <c r="AS226" s="556">
        <v>1</v>
      </c>
      <c r="AT226" s="556">
        <v>1</v>
      </c>
      <c r="AU226" s="556">
        <v>1</v>
      </c>
      <c r="AV226" s="556">
        <v>1</v>
      </c>
      <c r="AW226" s="556">
        <v>1</v>
      </c>
      <c r="AX226" s="556">
        <v>2</v>
      </c>
      <c r="AY226" s="556">
        <v>2</v>
      </c>
      <c r="AZ226" s="556">
        <v>2</v>
      </c>
      <c r="BA226" s="556">
        <v>2</v>
      </c>
      <c r="BB226" s="556">
        <v>1</v>
      </c>
      <c r="BC226" s="556">
        <v>1</v>
      </c>
      <c r="BD226" s="556">
        <v>1</v>
      </c>
      <c r="BE226" s="556">
        <v>1</v>
      </c>
      <c r="BF226" s="556">
        <v>1</v>
      </c>
      <c r="BG226" s="556">
        <v>1</v>
      </c>
      <c r="BH226" s="556">
        <v>1</v>
      </c>
      <c r="BI226" s="556">
        <v>2</v>
      </c>
      <c r="BJ226" s="556">
        <v>1</v>
      </c>
      <c r="BK226" s="556">
        <v>2</v>
      </c>
      <c r="BL226" s="556">
        <v>1</v>
      </c>
      <c r="BM226" s="556">
        <v>1</v>
      </c>
      <c r="BN226" s="556">
        <v>1</v>
      </c>
      <c r="BO226" s="556">
        <v>2</v>
      </c>
      <c r="BP226" s="556">
        <v>1</v>
      </c>
      <c r="BQ226" s="556">
        <v>2</v>
      </c>
      <c r="BS226" s="556">
        <v>1</v>
      </c>
      <c r="BU226" s="556">
        <v>2</v>
      </c>
      <c r="BV226" s="556">
        <v>1</v>
      </c>
      <c r="BW226" s="556">
        <v>1</v>
      </c>
      <c r="BX226" s="556">
        <v>2</v>
      </c>
      <c r="BZ226" s="556">
        <v>1</v>
      </c>
      <c r="CA226" s="556">
        <v>1</v>
      </c>
      <c r="CB226" s="556">
        <v>2</v>
      </c>
      <c r="CC226" s="556">
        <v>1</v>
      </c>
      <c r="CD226" s="556">
        <v>2</v>
      </c>
      <c r="CF226" s="556">
        <v>2</v>
      </c>
      <c r="CG226" s="556">
        <v>1</v>
      </c>
      <c r="CH226" s="556">
        <v>1</v>
      </c>
      <c r="CI226" s="556">
        <v>1</v>
      </c>
      <c r="CK226" s="556">
        <v>2</v>
      </c>
    </row>
    <row r="227" spans="1:99" x14ac:dyDescent="0.3">
      <c r="A227" s="155">
        <v>980</v>
      </c>
      <c r="B227" s="180" t="s">
        <v>592</v>
      </c>
      <c r="C227" s="180"/>
      <c r="D227" s="180" t="s">
        <v>1759</v>
      </c>
      <c r="E227" s="180" t="s">
        <v>1723</v>
      </c>
      <c r="F227" s="180" t="s">
        <v>1734</v>
      </c>
      <c r="G227" s="180" t="s">
        <v>2663</v>
      </c>
      <c r="H227" s="180"/>
      <c r="I227" s="180" t="s">
        <v>2667</v>
      </c>
      <c r="J227" s="180" t="s">
        <v>1728</v>
      </c>
      <c r="K227" s="180" t="s">
        <v>1745</v>
      </c>
      <c r="L227" s="180" t="s">
        <v>2720</v>
      </c>
      <c r="M227" s="180" t="s">
        <v>2671</v>
      </c>
      <c r="N227" s="180"/>
      <c r="O227" s="180" t="s">
        <v>2667</v>
      </c>
      <c r="P227" s="180" t="s">
        <v>1723</v>
      </c>
      <c r="Q227" s="180" t="s">
        <v>1757</v>
      </c>
      <c r="R227" s="180" t="s">
        <v>1736</v>
      </c>
      <c r="S227" s="180" t="s">
        <v>1723</v>
      </c>
      <c r="T227" s="180" t="s">
        <v>2721</v>
      </c>
      <c r="U227" s="180" t="s">
        <v>1723</v>
      </c>
      <c r="V227" s="180" t="s">
        <v>2563</v>
      </c>
      <c r="W227" s="180" t="s">
        <v>2722</v>
      </c>
      <c r="X227" s="180" t="s">
        <v>1723</v>
      </c>
      <c r="Y227" s="180" t="s">
        <v>1759</v>
      </c>
      <c r="Z227" s="180" t="s">
        <v>1723</v>
      </c>
      <c r="AA227" s="180" t="s">
        <v>2671</v>
      </c>
      <c r="AB227" s="180" t="s">
        <v>1762</v>
      </c>
      <c r="AC227" s="180"/>
      <c r="AD227" s="180" t="s">
        <v>1723</v>
      </c>
      <c r="AE227" s="180" t="s">
        <v>1723</v>
      </c>
      <c r="AF227" s="180" t="s">
        <v>1751</v>
      </c>
      <c r="AG227" s="180" t="s">
        <v>2723</v>
      </c>
      <c r="AH227" s="180" t="s">
        <v>2667</v>
      </c>
      <c r="AI227" s="180" t="s">
        <v>1723</v>
      </c>
      <c r="AJ227" s="180" t="s">
        <v>1723</v>
      </c>
      <c r="AK227" s="180" t="s">
        <v>2678</v>
      </c>
      <c r="AL227" s="180" t="s">
        <v>2724</v>
      </c>
      <c r="AM227" s="180"/>
      <c r="AN227" s="180" t="s">
        <v>2722</v>
      </c>
      <c r="AO227" s="180"/>
      <c r="AP227" s="180" t="s">
        <v>2725</v>
      </c>
      <c r="AQ227" s="180" t="s">
        <v>1746</v>
      </c>
      <c r="AR227" s="180" t="s">
        <v>2726</v>
      </c>
      <c r="AS227" s="180" t="s">
        <v>1759</v>
      </c>
      <c r="AT227" s="180" t="s">
        <v>1759</v>
      </c>
      <c r="AU227" s="180" t="s">
        <v>1759</v>
      </c>
      <c r="AV227" s="180" t="s">
        <v>1754</v>
      </c>
      <c r="AW227" s="180" t="s">
        <v>1723</v>
      </c>
      <c r="AX227" s="180" t="s">
        <v>2727</v>
      </c>
      <c r="AY227" s="180" t="s">
        <v>2686</v>
      </c>
      <c r="AZ227" s="180" t="s">
        <v>1752</v>
      </c>
      <c r="BA227" s="180" t="s">
        <v>2617</v>
      </c>
      <c r="BB227" s="180" t="s">
        <v>1760</v>
      </c>
      <c r="BC227" s="180" t="s">
        <v>1753</v>
      </c>
      <c r="BD227" s="180" t="s">
        <v>2728</v>
      </c>
      <c r="BE227" s="180" t="s">
        <v>1751</v>
      </c>
      <c r="BF227" s="180" t="s">
        <v>1734</v>
      </c>
      <c r="BG227" s="180" t="s">
        <v>1755</v>
      </c>
      <c r="BH227" s="180" t="s">
        <v>1751</v>
      </c>
      <c r="BI227" s="180" t="s">
        <v>2729</v>
      </c>
      <c r="BJ227" s="180" t="s">
        <v>1723</v>
      </c>
      <c r="BK227" s="180" t="s">
        <v>2802</v>
      </c>
      <c r="BL227" s="180" t="s">
        <v>2571</v>
      </c>
      <c r="BM227" s="180" t="s">
        <v>1757</v>
      </c>
      <c r="BN227" s="180" t="s">
        <v>1760</v>
      </c>
      <c r="BO227" s="180" t="s">
        <v>2687</v>
      </c>
      <c r="BP227" s="180" t="s">
        <v>1723</v>
      </c>
      <c r="BQ227" s="180" t="s">
        <v>1743</v>
      </c>
      <c r="BR227" s="180"/>
      <c r="BS227" s="180" t="s">
        <v>2684</v>
      </c>
      <c r="BT227" s="180"/>
      <c r="BU227" s="180" t="s">
        <v>2807</v>
      </c>
      <c r="BV227" s="180" t="s">
        <v>2624</v>
      </c>
      <c r="BW227" s="180" t="s">
        <v>1752</v>
      </c>
      <c r="BX227" s="180" t="s">
        <v>1763</v>
      </c>
      <c r="BY227" s="180"/>
      <c r="BZ227" s="180" t="s">
        <v>2684</v>
      </c>
      <c r="CA227" s="180" t="s">
        <v>1759</v>
      </c>
      <c r="CB227" s="180" t="s">
        <v>2617</v>
      </c>
      <c r="CC227" s="180" t="s">
        <v>1723</v>
      </c>
      <c r="CD227" s="180" t="s">
        <v>1750</v>
      </c>
      <c r="CE227" s="180"/>
      <c r="CF227" s="180" t="s">
        <v>1749</v>
      </c>
      <c r="CG227" s="180" t="s">
        <v>1764</v>
      </c>
      <c r="CH227" s="180" t="s">
        <v>2730</v>
      </c>
      <c r="CI227" s="180" t="s">
        <v>1723</v>
      </c>
      <c r="CJ227" s="180"/>
      <c r="CK227" s="180" t="s">
        <v>2731</v>
      </c>
      <c r="CL227" s="180"/>
      <c r="CM227" s="180"/>
      <c r="CN227" s="180"/>
      <c r="CO227" s="180"/>
      <c r="CP227" s="180"/>
      <c r="CQ227" s="180"/>
      <c r="CR227" s="180"/>
      <c r="CS227" s="180"/>
      <c r="CT227" s="180"/>
      <c r="CU227" s="180"/>
    </row>
    <row r="228" spans="1:99" x14ac:dyDescent="0.3">
      <c r="A228" s="155">
        <v>984</v>
      </c>
      <c r="B228" s="180" t="s">
        <v>1037</v>
      </c>
      <c r="C228" s="180"/>
      <c r="D228" s="180">
        <v>0</v>
      </c>
      <c r="E228" s="180">
        <v>303501</v>
      </c>
      <c r="F228" s="180">
        <v>73188</v>
      </c>
      <c r="G228" s="180">
        <v>117228</v>
      </c>
      <c r="H228" s="180"/>
      <c r="I228" s="180">
        <v>3560703</v>
      </c>
      <c r="J228" s="180">
        <v>958064</v>
      </c>
      <c r="K228" s="180">
        <v>6415066</v>
      </c>
      <c r="L228" s="180">
        <v>632855</v>
      </c>
      <c r="M228" s="180">
        <v>15527154</v>
      </c>
      <c r="N228" s="180"/>
      <c r="O228" s="180">
        <v>116938159</v>
      </c>
      <c r="P228" s="180">
        <v>8018</v>
      </c>
      <c r="Q228" s="180">
        <v>36512</v>
      </c>
      <c r="R228" s="180">
        <v>878858</v>
      </c>
      <c r="S228" s="180">
        <v>524370</v>
      </c>
      <c r="T228" s="180">
        <v>650239</v>
      </c>
      <c r="U228" s="180">
        <v>110484</v>
      </c>
      <c r="V228" s="180">
        <v>0</v>
      </c>
      <c r="W228" s="180">
        <v>563232</v>
      </c>
      <c r="X228" s="180">
        <v>35316583</v>
      </c>
      <c r="Y228" s="180">
        <v>412862000</v>
      </c>
      <c r="Z228" s="180">
        <v>2458949</v>
      </c>
      <c r="AA228" s="180">
        <v>86093</v>
      </c>
      <c r="AB228" s="180">
        <v>1925594</v>
      </c>
      <c r="AC228" s="180"/>
      <c r="AD228" s="180">
        <v>2690186</v>
      </c>
      <c r="AE228" s="180">
        <v>382465</v>
      </c>
      <c r="AF228" s="180">
        <v>17277659</v>
      </c>
      <c r="AG228" s="180">
        <v>3970014</v>
      </c>
      <c r="AH228" s="180">
        <v>624614</v>
      </c>
      <c r="AI228" s="180">
        <v>3393701</v>
      </c>
      <c r="AJ228" s="180">
        <v>478155</v>
      </c>
      <c r="AK228" s="180">
        <v>681167</v>
      </c>
      <c r="AL228" s="180">
        <v>141772</v>
      </c>
      <c r="AM228" s="180"/>
      <c r="AN228" s="180">
        <v>331532</v>
      </c>
      <c r="AO228" s="180"/>
      <c r="AP228" s="180">
        <v>18040</v>
      </c>
      <c r="AQ228" s="180">
        <v>71276851</v>
      </c>
      <c r="AR228" s="180">
        <v>22591</v>
      </c>
      <c r="AS228" s="180">
        <v>67257</v>
      </c>
      <c r="AT228" s="180">
        <v>6334827</v>
      </c>
      <c r="AU228" s="180">
        <v>260086</v>
      </c>
      <c r="AV228" s="180">
        <v>175426</v>
      </c>
      <c r="AW228" s="180">
        <v>17279552</v>
      </c>
      <c r="AX228" s="180">
        <v>53040</v>
      </c>
      <c r="AY228" s="180">
        <v>3422352</v>
      </c>
      <c r="AZ228" s="180">
        <v>2259690</v>
      </c>
      <c r="BA228" s="180">
        <v>92904</v>
      </c>
      <c r="BB228" s="180">
        <v>36999</v>
      </c>
      <c r="BC228" s="180">
        <v>1515374</v>
      </c>
      <c r="BD228" s="180">
        <v>36879</v>
      </c>
      <c r="BE228" s="180">
        <v>8455774</v>
      </c>
      <c r="BF228" s="180">
        <v>904201</v>
      </c>
      <c r="BG228" s="180">
        <v>139619</v>
      </c>
      <c r="BH228" s="180">
        <v>147598</v>
      </c>
      <c r="BI228" s="180">
        <v>836181</v>
      </c>
      <c r="BJ228" s="180">
        <v>0</v>
      </c>
      <c r="BK228" s="180">
        <v>58170</v>
      </c>
      <c r="BL228" s="180">
        <v>407237</v>
      </c>
      <c r="BM228" s="180">
        <v>93820</v>
      </c>
      <c r="BN228" s="180">
        <v>5111748</v>
      </c>
      <c r="BO228" s="180">
        <v>4476903</v>
      </c>
      <c r="BP228" s="180">
        <v>121729758</v>
      </c>
      <c r="BQ228" s="180">
        <v>21809</v>
      </c>
      <c r="BR228" s="180"/>
      <c r="BS228" s="180">
        <v>239451</v>
      </c>
      <c r="BT228" s="180"/>
      <c r="BU228" s="180">
        <v>841929</v>
      </c>
      <c r="BV228" s="180">
        <v>735242</v>
      </c>
      <c r="BW228" s="180">
        <v>6431922</v>
      </c>
      <c r="BX228" s="180">
        <v>2174320</v>
      </c>
      <c r="BY228" s="180"/>
      <c r="BZ228" s="180">
        <v>1822417</v>
      </c>
      <c r="CA228" s="180">
        <v>72670</v>
      </c>
      <c r="CB228" s="180">
        <v>2818915</v>
      </c>
      <c r="CC228" s="180">
        <v>73858</v>
      </c>
      <c r="CD228" s="180">
        <v>284822</v>
      </c>
      <c r="CE228" s="180"/>
      <c r="CF228" s="180">
        <v>2960412</v>
      </c>
      <c r="CG228" s="180">
        <v>4857155</v>
      </c>
      <c r="CH228" s="180">
        <v>642933</v>
      </c>
      <c r="CI228" s="180">
        <v>1396178</v>
      </c>
      <c r="CJ228" s="180"/>
      <c r="CK228" s="180">
        <v>44485</v>
      </c>
      <c r="CL228" s="180"/>
      <c r="CM228" s="180"/>
      <c r="CN228" s="180"/>
      <c r="CO228" s="180"/>
      <c r="CP228" s="180"/>
      <c r="CQ228" s="180"/>
      <c r="CR228" s="180"/>
      <c r="CS228" s="180"/>
      <c r="CT228" s="180"/>
      <c r="CU228" s="180"/>
    </row>
    <row r="229" spans="1:99" x14ac:dyDescent="0.3">
      <c r="A229" s="155">
        <v>985</v>
      </c>
      <c r="B229" s="180" t="s">
        <v>1038</v>
      </c>
      <c r="C229" s="180"/>
      <c r="D229" s="180">
        <v>0</v>
      </c>
      <c r="E229" s="180">
        <v>300400</v>
      </c>
      <c r="F229" s="180">
        <v>82800</v>
      </c>
      <c r="G229" s="180">
        <v>109442</v>
      </c>
      <c r="H229" s="180"/>
      <c r="I229" s="180">
        <v>3379000</v>
      </c>
      <c r="J229" s="180">
        <v>904772</v>
      </c>
      <c r="K229" s="180">
        <v>6352970</v>
      </c>
      <c r="L229" s="180">
        <v>570000</v>
      </c>
      <c r="M229" s="180">
        <v>15500000</v>
      </c>
      <c r="N229" s="180"/>
      <c r="O229" s="180">
        <v>116213255</v>
      </c>
      <c r="P229" s="180">
        <v>7372</v>
      </c>
      <c r="Q229" s="180">
        <v>32000</v>
      </c>
      <c r="R229" s="180">
        <v>851350</v>
      </c>
      <c r="S229" s="180">
        <v>478971</v>
      </c>
      <c r="T229" s="180">
        <v>627700</v>
      </c>
      <c r="U229" s="180">
        <v>105369</v>
      </c>
      <c r="V229" s="180">
        <v>0</v>
      </c>
      <c r="W229" s="180">
        <v>491650</v>
      </c>
      <c r="X229" s="180">
        <v>35147500</v>
      </c>
      <c r="Y229" s="180">
        <v>413177000</v>
      </c>
      <c r="Z229" s="180">
        <v>2354065</v>
      </c>
      <c r="AA229" s="180">
        <v>82900</v>
      </c>
      <c r="AB229" s="180">
        <v>1925532</v>
      </c>
      <c r="AC229" s="180"/>
      <c r="AD229" s="180">
        <v>2508800</v>
      </c>
      <c r="AE229" s="180">
        <v>353200</v>
      </c>
      <c r="AF229" s="180">
        <v>17022047</v>
      </c>
      <c r="AG229" s="180">
        <v>3896635</v>
      </c>
      <c r="AH229" s="180">
        <v>617940</v>
      </c>
      <c r="AI229" s="180">
        <v>3357400</v>
      </c>
      <c r="AJ229" s="180">
        <v>439700</v>
      </c>
      <c r="AK229" s="180">
        <v>655745</v>
      </c>
      <c r="AL229" s="180">
        <v>130390</v>
      </c>
      <c r="AM229" s="180"/>
      <c r="AN229" s="180">
        <v>309292</v>
      </c>
      <c r="AO229" s="180"/>
      <c r="AP229" s="180">
        <v>18300</v>
      </c>
      <c r="AQ229" s="180">
        <v>69962889</v>
      </c>
      <c r="AR229" s="180">
        <v>22121</v>
      </c>
      <c r="AS229" s="180">
        <v>58502</v>
      </c>
      <c r="AT229" s="180">
        <v>6255000</v>
      </c>
      <c r="AU229" s="180">
        <v>255890</v>
      </c>
      <c r="AV229" s="180">
        <v>146827</v>
      </c>
      <c r="AW229" s="180">
        <v>16703075</v>
      </c>
      <c r="AX229" s="180">
        <v>49850</v>
      </c>
      <c r="AY229" s="180">
        <v>3193000</v>
      </c>
      <c r="AZ229" s="180">
        <v>2102784</v>
      </c>
      <c r="BA229" s="180">
        <v>90000</v>
      </c>
      <c r="BB229" s="180">
        <v>29100</v>
      </c>
      <c r="BC229" s="180">
        <v>1510089</v>
      </c>
      <c r="BD229" s="180">
        <v>35300</v>
      </c>
      <c r="BE229" s="180">
        <v>8554982</v>
      </c>
      <c r="BF229" s="180">
        <v>794419</v>
      </c>
      <c r="BG229" s="180">
        <v>125232</v>
      </c>
      <c r="BH229" s="180">
        <v>136745</v>
      </c>
      <c r="BI229" s="180">
        <v>849500</v>
      </c>
      <c r="BJ229" s="180">
        <v>0</v>
      </c>
      <c r="BK229" s="180">
        <v>45250</v>
      </c>
      <c r="BL229" s="180">
        <v>403903</v>
      </c>
      <c r="BM229" s="180">
        <v>81700</v>
      </c>
      <c r="BN229" s="180">
        <v>5093275</v>
      </c>
      <c r="BO229" s="180">
        <v>4452000</v>
      </c>
      <c r="BP229" s="180">
        <v>115967363</v>
      </c>
      <c r="BQ229" s="180">
        <v>19000</v>
      </c>
      <c r="BR229" s="180"/>
      <c r="BS229" s="180">
        <v>206880</v>
      </c>
      <c r="BT229" s="180"/>
      <c r="BU229" s="180">
        <v>817900</v>
      </c>
      <c r="BV229" s="180">
        <v>681850</v>
      </c>
      <c r="BW229" s="180">
        <v>6476500</v>
      </c>
      <c r="BX229" s="180">
        <v>2364706</v>
      </c>
      <c r="BY229" s="180"/>
      <c r="BZ229" s="180">
        <v>1781173</v>
      </c>
      <c r="CA229" s="180">
        <v>68600</v>
      </c>
      <c r="CB229" s="180">
        <v>2685389</v>
      </c>
      <c r="CC229" s="180">
        <v>72300</v>
      </c>
      <c r="CD229" s="180">
        <v>298002</v>
      </c>
      <c r="CE229" s="180"/>
      <c r="CF229" s="180">
        <v>2954800</v>
      </c>
      <c r="CG229" s="180">
        <v>4846770</v>
      </c>
      <c r="CH229" s="180">
        <v>703684</v>
      </c>
      <c r="CI229" s="180">
        <v>1349149</v>
      </c>
      <c r="CJ229" s="180"/>
      <c r="CK229" s="180">
        <v>40750</v>
      </c>
      <c r="CL229" s="180"/>
      <c r="CM229" s="180"/>
      <c r="CN229" s="180"/>
      <c r="CO229" s="180"/>
      <c r="CP229" s="180"/>
      <c r="CQ229" s="180"/>
      <c r="CR229" s="180"/>
      <c r="CS229" s="180"/>
      <c r="CT229" s="180"/>
      <c r="CU229" s="180"/>
    </row>
    <row r="230" spans="1:99" x14ac:dyDescent="0.3">
      <c r="A230" s="155">
        <v>986</v>
      </c>
      <c r="B230" s="180" t="s">
        <v>594</v>
      </c>
      <c r="C230" s="180"/>
      <c r="D230" s="180">
        <v>0</v>
      </c>
      <c r="E230" s="180">
        <v>0</v>
      </c>
      <c r="F230" s="180">
        <v>0</v>
      </c>
      <c r="G230" s="180">
        <v>0</v>
      </c>
      <c r="H230" s="180"/>
      <c r="I230" s="180">
        <v>0</v>
      </c>
      <c r="J230" s="180">
        <v>0</v>
      </c>
      <c r="K230" s="180">
        <v>0</v>
      </c>
      <c r="L230" s="180">
        <v>0</v>
      </c>
      <c r="M230" s="180">
        <v>0</v>
      </c>
      <c r="N230" s="180"/>
      <c r="O230" s="180">
        <v>70000</v>
      </c>
      <c r="P230" s="180">
        <v>0</v>
      </c>
      <c r="Q230" s="180">
        <v>0</v>
      </c>
      <c r="R230" s="180">
        <v>0</v>
      </c>
      <c r="S230" s="180">
        <v>0</v>
      </c>
      <c r="T230" s="180">
        <v>0</v>
      </c>
      <c r="U230" s="180">
        <v>0</v>
      </c>
      <c r="V230" s="180">
        <v>0</v>
      </c>
      <c r="W230" s="180">
        <v>0</v>
      </c>
      <c r="X230" s="180">
        <v>0</v>
      </c>
      <c r="Y230" s="180">
        <v>0</v>
      </c>
      <c r="Z230" s="180">
        <v>0</v>
      </c>
      <c r="AA230" s="180">
        <v>0</v>
      </c>
      <c r="AB230" s="180">
        <v>0</v>
      </c>
      <c r="AC230" s="180"/>
      <c r="AD230" s="180">
        <v>0</v>
      </c>
      <c r="AE230" s="180">
        <v>0</v>
      </c>
      <c r="AF230" s="180">
        <v>0</v>
      </c>
      <c r="AG230" s="180">
        <v>0</v>
      </c>
      <c r="AH230" s="180">
        <v>0</v>
      </c>
      <c r="AI230" s="180">
        <v>0</v>
      </c>
      <c r="AJ230" s="180">
        <v>0</v>
      </c>
      <c r="AK230" s="180">
        <v>0</v>
      </c>
      <c r="AL230" s="180">
        <v>0</v>
      </c>
      <c r="AM230" s="180"/>
      <c r="AN230" s="180">
        <v>0</v>
      </c>
      <c r="AO230" s="180"/>
      <c r="AP230" s="180">
        <v>0</v>
      </c>
      <c r="AQ230" s="180">
        <v>0</v>
      </c>
      <c r="AR230" s="180">
        <v>0</v>
      </c>
      <c r="AS230" s="180">
        <v>0</v>
      </c>
      <c r="AT230" s="180">
        <v>0</v>
      </c>
      <c r="AU230" s="180">
        <v>0</v>
      </c>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K230" s="180">
        <v>0</v>
      </c>
      <c r="BL230" s="180">
        <v>0</v>
      </c>
      <c r="BM230" s="180">
        <v>0</v>
      </c>
      <c r="BN230" s="180">
        <v>0</v>
      </c>
      <c r="BO230" s="180">
        <v>0</v>
      </c>
      <c r="BP230" s="180">
        <v>0</v>
      </c>
      <c r="BQ230" s="180">
        <v>0</v>
      </c>
      <c r="BR230" s="180"/>
      <c r="BS230" s="180">
        <v>0</v>
      </c>
      <c r="BT230" s="180"/>
      <c r="BU230" s="180">
        <v>0</v>
      </c>
      <c r="BV230" s="180">
        <v>0</v>
      </c>
      <c r="BW230" s="180">
        <v>134371</v>
      </c>
      <c r="BX230" s="180">
        <v>0</v>
      </c>
      <c r="BY230" s="180"/>
      <c r="BZ230" s="180">
        <v>0</v>
      </c>
      <c r="CA230" s="180">
        <v>35375</v>
      </c>
      <c r="CB230" s="180">
        <v>0</v>
      </c>
      <c r="CC230" s="180">
        <v>0</v>
      </c>
      <c r="CD230" s="180">
        <v>0</v>
      </c>
      <c r="CE230" s="180"/>
      <c r="CF230" s="180">
        <v>0</v>
      </c>
      <c r="CG230" s="180">
        <v>0</v>
      </c>
      <c r="CH230" s="180">
        <v>0</v>
      </c>
      <c r="CI230" s="180">
        <v>0</v>
      </c>
      <c r="CJ230" s="180"/>
      <c r="CK230" s="180">
        <v>0</v>
      </c>
      <c r="CL230" s="180"/>
      <c r="CM230" s="180"/>
      <c r="CN230" s="180"/>
      <c r="CO230" s="180"/>
      <c r="CP230" s="180"/>
      <c r="CQ230" s="180"/>
      <c r="CR230" s="180"/>
      <c r="CS230" s="180"/>
      <c r="CT230" s="180"/>
      <c r="CU230" s="180"/>
    </row>
    <row r="231" spans="1:99" x14ac:dyDescent="0.3">
      <c r="A231" s="155">
        <v>987</v>
      </c>
      <c r="B231" s="180" t="s">
        <v>1039</v>
      </c>
      <c r="C231" s="180"/>
      <c r="D231" s="180">
        <v>0</v>
      </c>
      <c r="E231" s="180">
        <v>0</v>
      </c>
      <c r="F231" s="180">
        <v>0</v>
      </c>
      <c r="G231" s="180">
        <v>0</v>
      </c>
      <c r="H231" s="180"/>
      <c r="I231" s="180">
        <v>0</v>
      </c>
      <c r="J231" s="180">
        <v>0</v>
      </c>
      <c r="K231" s="180">
        <v>0</v>
      </c>
      <c r="L231" s="180">
        <v>0</v>
      </c>
      <c r="M231" s="180">
        <v>0</v>
      </c>
      <c r="N231" s="180"/>
      <c r="O231" s="180">
        <v>0</v>
      </c>
      <c r="P231" s="180">
        <v>0</v>
      </c>
      <c r="Q231" s="180">
        <v>0</v>
      </c>
      <c r="R231" s="180">
        <v>0</v>
      </c>
      <c r="S231" s="180">
        <v>0</v>
      </c>
      <c r="T231" s="180">
        <v>0</v>
      </c>
      <c r="U231" s="180">
        <v>0</v>
      </c>
      <c r="V231" s="180">
        <v>0</v>
      </c>
      <c r="W231" s="180">
        <v>0</v>
      </c>
      <c r="X231" s="180">
        <v>0</v>
      </c>
      <c r="Y231" s="180">
        <v>0</v>
      </c>
      <c r="Z231" s="180">
        <v>0</v>
      </c>
      <c r="AA231" s="180">
        <v>0</v>
      </c>
      <c r="AB231" s="180">
        <v>0</v>
      </c>
      <c r="AC231" s="180"/>
      <c r="AD231" s="180">
        <v>0</v>
      </c>
      <c r="AE231" s="180">
        <v>0</v>
      </c>
      <c r="AF231" s="180">
        <v>0</v>
      </c>
      <c r="AG231" s="180">
        <v>0</v>
      </c>
      <c r="AH231" s="180">
        <v>0</v>
      </c>
      <c r="AI231" s="180">
        <v>0</v>
      </c>
      <c r="AJ231" s="180">
        <v>0</v>
      </c>
      <c r="AK231" s="180">
        <v>0</v>
      </c>
      <c r="AL231" s="180">
        <v>0</v>
      </c>
      <c r="AM231" s="180"/>
      <c r="AN231" s="180">
        <v>0</v>
      </c>
      <c r="AO231" s="180"/>
      <c r="AP231" s="180">
        <v>0</v>
      </c>
      <c r="AQ231" s="180">
        <v>0</v>
      </c>
      <c r="AR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c r="BS231" s="180">
        <v>0</v>
      </c>
      <c r="BT231" s="180"/>
      <c r="BU231" s="180">
        <v>0</v>
      </c>
      <c r="BV231" s="180">
        <v>0</v>
      </c>
      <c r="BW231" s="180">
        <v>0</v>
      </c>
      <c r="BX231" s="180">
        <v>0</v>
      </c>
      <c r="BY231" s="180"/>
      <c r="BZ231" s="180">
        <v>0</v>
      </c>
      <c r="CA231" s="180">
        <v>0</v>
      </c>
      <c r="CB231" s="180">
        <v>0</v>
      </c>
      <c r="CC231" s="180">
        <v>0</v>
      </c>
      <c r="CD231" s="180">
        <v>0</v>
      </c>
      <c r="CE231" s="180"/>
      <c r="CF231" s="180">
        <v>0</v>
      </c>
      <c r="CG231" s="180">
        <v>0</v>
      </c>
      <c r="CH231" s="180">
        <v>0</v>
      </c>
      <c r="CI231" s="180">
        <v>0</v>
      </c>
      <c r="CJ231" s="180"/>
      <c r="CK231" s="180">
        <v>0</v>
      </c>
      <c r="CL231" s="180"/>
      <c r="CM231" s="180"/>
      <c r="CN231" s="180"/>
      <c r="CO231" s="180"/>
      <c r="CP231" s="180"/>
      <c r="CQ231" s="180"/>
      <c r="CR231" s="180"/>
      <c r="CS231" s="180"/>
      <c r="CT231" s="180"/>
      <c r="CU231" s="180"/>
    </row>
    <row r="232" spans="1:99" x14ac:dyDescent="0.3">
      <c r="A232" s="155">
        <v>988</v>
      </c>
      <c r="B232" s="180" t="s">
        <v>1040</v>
      </c>
      <c r="C232" s="180"/>
      <c r="D232" s="180">
        <v>2</v>
      </c>
      <c r="E232" s="180">
        <v>2</v>
      </c>
      <c r="F232" s="180">
        <v>2</v>
      </c>
      <c r="G232" s="180">
        <v>2</v>
      </c>
      <c r="H232" s="180"/>
      <c r="I232" s="180">
        <v>2</v>
      </c>
      <c r="J232" s="180">
        <v>2</v>
      </c>
      <c r="K232" s="180">
        <v>2</v>
      </c>
      <c r="L232" s="180">
        <v>2</v>
      </c>
      <c r="M232" s="180">
        <v>2</v>
      </c>
      <c r="N232" s="180"/>
      <c r="O232" s="180">
        <v>2</v>
      </c>
      <c r="P232" s="180">
        <v>2</v>
      </c>
      <c r="Q232" s="180">
        <v>2</v>
      </c>
      <c r="R232" s="180">
        <v>2</v>
      </c>
      <c r="S232" s="180">
        <v>2</v>
      </c>
      <c r="T232" s="180">
        <v>2</v>
      </c>
      <c r="U232" s="180">
        <v>2</v>
      </c>
      <c r="V232" s="180">
        <v>0</v>
      </c>
      <c r="W232" s="180">
        <v>2</v>
      </c>
      <c r="X232" s="180">
        <v>2</v>
      </c>
      <c r="Y232" s="180">
        <v>2</v>
      </c>
      <c r="Z232" s="180">
        <v>2</v>
      </c>
      <c r="AA232" s="180">
        <v>2</v>
      </c>
      <c r="AB232" s="180">
        <v>2</v>
      </c>
      <c r="AC232" s="180"/>
      <c r="AD232" s="180">
        <v>2</v>
      </c>
      <c r="AE232" s="180">
        <v>2</v>
      </c>
      <c r="AF232" s="180">
        <v>2</v>
      </c>
      <c r="AG232" s="180">
        <v>0</v>
      </c>
      <c r="AH232" s="180">
        <v>2</v>
      </c>
      <c r="AI232" s="180">
        <v>2</v>
      </c>
      <c r="AJ232" s="180">
        <v>2</v>
      </c>
      <c r="AK232" s="180">
        <v>2</v>
      </c>
      <c r="AL232" s="180">
        <v>2</v>
      </c>
      <c r="AM232" s="180"/>
      <c r="AN232" s="180">
        <v>2</v>
      </c>
      <c r="AO232" s="180"/>
      <c r="AP232" s="180">
        <v>2</v>
      </c>
      <c r="AQ232" s="180">
        <v>2</v>
      </c>
      <c r="AR232" s="180">
        <v>2</v>
      </c>
      <c r="AS232" s="180">
        <v>2</v>
      </c>
      <c r="AT232" s="180">
        <v>2</v>
      </c>
      <c r="AU232" s="180">
        <v>2</v>
      </c>
      <c r="AV232" s="180">
        <v>2</v>
      </c>
      <c r="AW232" s="180">
        <v>2</v>
      </c>
      <c r="AX232" s="180">
        <v>2</v>
      </c>
      <c r="AY232" s="180">
        <v>2</v>
      </c>
      <c r="AZ232" s="180">
        <v>2</v>
      </c>
      <c r="BA232" s="180">
        <v>2</v>
      </c>
      <c r="BB232" s="180">
        <v>2</v>
      </c>
      <c r="BC232" s="180">
        <v>2</v>
      </c>
      <c r="BD232" s="180">
        <v>2</v>
      </c>
      <c r="BE232" s="180">
        <v>2</v>
      </c>
      <c r="BF232" s="180">
        <v>2</v>
      </c>
      <c r="BG232" s="180">
        <v>2</v>
      </c>
      <c r="BH232" s="180">
        <v>2</v>
      </c>
      <c r="BI232" s="180">
        <v>2</v>
      </c>
      <c r="BJ232" s="180">
        <v>0</v>
      </c>
      <c r="BK232" s="180">
        <v>2</v>
      </c>
      <c r="BL232" s="180">
        <v>2</v>
      </c>
      <c r="BM232" s="180">
        <v>2</v>
      </c>
      <c r="BN232" s="180">
        <v>2</v>
      </c>
      <c r="BO232" s="180">
        <v>2</v>
      </c>
      <c r="BP232" s="180">
        <v>2</v>
      </c>
      <c r="BQ232" s="180">
        <v>2</v>
      </c>
      <c r="BR232" s="180"/>
      <c r="BS232" s="180">
        <v>2</v>
      </c>
      <c r="BT232" s="180"/>
      <c r="BU232" s="180">
        <v>2</v>
      </c>
      <c r="BV232" s="180">
        <v>2</v>
      </c>
      <c r="BW232" s="180">
        <v>2</v>
      </c>
      <c r="BX232" s="180">
        <v>2</v>
      </c>
      <c r="BY232" s="180"/>
      <c r="BZ232" s="180">
        <v>2</v>
      </c>
      <c r="CA232" s="180">
        <v>2</v>
      </c>
      <c r="CB232" s="180">
        <v>2</v>
      </c>
      <c r="CC232" s="180">
        <v>2</v>
      </c>
      <c r="CD232" s="180">
        <v>2</v>
      </c>
      <c r="CE232" s="180"/>
      <c r="CF232" s="180">
        <v>2</v>
      </c>
      <c r="CG232" s="180">
        <v>2</v>
      </c>
      <c r="CH232" s="180">
        <v>2</v>
      </c>
      <c r="CI232" s="180">
        <v>2</v>
      </c>
      <c r="CJ232" s="180"/>
      <c r="CK232" s="180">
        <v>2</v>
      </c>
      <c r="CL232" s="180"/>
      <c r="CM232" s="180"/>
      <c r="CN232" s="180"/>
      <c r="CO232" s="180"/>
      <c r="CP232" s="180"/>
      <c r="CQ232" s="180"/>
      <c r="CR232" s="180"/>
      <c r="CS232" s="180"/>
      <c r="CT232" s="180"/>
      <c r="CU232" s="180"/>
    </row>
    <row r="233" spans="1:99" x14ac:dyDescent="0.3">
      <c r="A233" s="155">
        <v>989</v>
      </c>
      <c r="B233" s="180" t="s">
        <v>1041</v>
      </c>
      <c r="C233" s="180"/>
      <c r="D233" s="180">
        <v>3</v>
      </c>
      <c r="E233" s="180">
        <v>3</v>
      </c>
      <c r="F233" s="180">
        <v>3</v>
      </c>
      <c r="G233" s="180">
        <v>3</v>
      </c>
      <c r="H233" s="180"/>
      <c r="I233" s="180">
        <v>3</v>
      </c>
      <c r="J233" s="180">
        <v>3</v>
      </c>
      <c r="K233" s="180">
        <v>3</v>
      </c>
      <c r="L233" s="180">
        <v>3</v>
      </c>
      <c r="M233" s="180">
        <v>3</v>
      </c>
      <c r="N233" s="180"/>
      <c r="O233" s="180">
        <v>3</v>
      </c>
      <c r="P233" s="180">
        <v>0</v>
      </c>
      <c r="Q233" s="180">
        <v>0</v>
      </c>
      <c r="R233" s="180">
        <v>3</v>
      </c>
      <c r="S233" s="180">
        <v>0</v>
      </c>
      <c r="T233" s="180">
        <v>3</v>
      </c>
      <c r="U233" s="180">
        <v>3</v>
      </c>
      <c r="V233" s="180">
        <v>0</v>
      </c>
      <c r="W233" s="180">
        <v>3</v>
      </c>
      <c r="X233" s="180">
        <v>3</v>
      </c>
      <c r="Y233" s="180">
        <v>3</v>
      </c>
      <c r="Z233" s="180">
        <v>3</v>
      </c>
      <c r="AA233" s="180">
        <v>3</v>
      </c>
      <c r="AB233" s="180">
        <v>0</v>
      </c>
      <c r="AC233" s="180"/>
      <c r="AD233" s="180">
        <v>3</v>
      </c>
      <c r="AE233" s="180">
        <v>3</v>
      </c>
      <c r="AF233" s="180">
        <v>3</v>
      </c>
      <c r="AG233" s="180">
        <v>0</v>
      </c>
      <c r="AH233" s="180">
        <v>3</v>
      </c>
      <c r="AI233" s="180">
        <v>3</v>
      </c>
      <c r="AJ233" s="180">
        <v>3</v>
      </c>
      <c r="AK233" s="180">
        <v>3</v>
      </c>
      <c r="AL233" s="180">
        <v>3</v>
      </c>
      <c r="AM233" s="180"/>
      <c r="AN233" s="180">
        <v>0</v>
      </c>
      <c r="AO233" s="180"/>
      <c r="AP233" s="180">
        <v>0</v>
      </c>
      <c r="AQ233" s="180">
        <v>3</v>
      </c>
      <c r="AR233" s="180">
        <v>3</v>
      </c>
      <c r="AS233" s="180">
        <v>3</v>
      </c>
      <c r="AT233" s="180">
        <v>3</v>
      </c>
      <c r="AU233" s="180">
        <v>3</v>
      </c>
      <c r="AV233" s="180">
        <v>3</v>
      </c>
      <c r="AW233" s="180">
        <v>3</v>
      </c>
      <c r="AX233" s="180">
        <v>3</v>
      </c>
      <c r="AY233" s="180">
        <v>3</v>
      </c>
      <c r="AZ233" s="180">
        <v>3</v>
      </c>
      <c r="BA233" s="180">
        <v>3</v>
      </c>
      <c r="BB233" s="180">
        <v>3</v>
      </c>
      <c r="BC233" s="180">
        <v>3</v>
      </c>
      <c r="BD233" s="180">
        <v>3</v>
      </c>
      <c r="BE233" s="180">
        <v>0</v>
      </c>
      <c r="BF233" s="180">
        <v>3</v>
      </c>
      <c r="BG233" s="180">
        <v>3</v>
      </c>
      <c r="BH233" s="180">
        <v>3</v>
      </c>
      <c r="BI233" s="180">
        <v>3</v>
      </c>
      <c r="BJ233" s="180">
        <v>0</v>
      </c>
      <c r="BK233" s="180">
        <v>3</v>
      </c>
      <c r="BL233" s="180">
        <v>3</v>
      </c>
      <c r="BM233" s="180">
        <v>3</v>
      </c>
      <c r="BN233" s="180">
        <v>0</v>
      </c>
      <c r="BO233" s="180">
        <v>3</v>
      </c>
      <c r="BP233" s="180">
        <v>3</v>
      </c>
      <c r="BQ233" s="180">
        <v>0</v>
      </c>
      <c r="BR233" s="180"/>
      <c r="BS233" s="180">
        <v>0</v>
      </c>
      <c r="BT233" s="180"/>
      <c r="BU233" s="180">
        <v>3</v>
      </c>
      <c r="BV233" s="180">
        <v>3</v>
      </c>
      <c r="BW233" s="180">
        <v>0</v>
      </c>
      <c r="BX233" s="180">
        <v>3</v>
      </c>
      <c r="BY233" s="180"/>
      <c r="BZ233" s="180">
        <v>3</v>
      </c>
      <c r="CA233" s="180">
        <v>3</v>
      </c>
      <c r="CB233" s="180">
        <v>3</v>
      </c>
      <c r="CC233" s="180">
        <v>3</v>
      </c>
      <c r="CD233" s="180">
        <v>0</v>
      </c>
      <c r="CE233" s="180"/>
      <c r="CF233" s="180">
        <v>3</v>
      </c>
      <c r="CG233" s="180">
        <v>3</v>
      </c>
      <c r="CH233" s="180">
        <v>0</v>
      </c>
      <c r="CI233" s="180">
        <v>3</v>
      </c>
      <c r="CJ233" s="180"/>
      <c r="CK233" s="180">
        <v>3</v>
      </c>
      <c r="CL233" s="180"/>
      <c r="CM233" s="180"/>
      <c r="CN233" s="180"/>
      <c r="CO233" s="180"/>
      <c r="CP233" s="180"/>
      <c r="CQ233" s="180"/>
      <c r="CR233" s="180"/>
      <c r="CS233" s="180"/>
      <c r="CT233" s="180"/>
      <c r="CU233" s="180"/>
    </row>
    <row r="234" spans="1:99" x14ac:dyDescent="0.3">
      <c r="A234" s="155">
        <v>990</v>
      </c>
      <c r="B234" s="180" t="s">
        <v>583</v>
      </c>
      <c r="C234" s="180"/>
      <c r="D234" s="180">
        <v>0</v>
      </c>
      <c r="E234" s="180">
        <v>0</v>
      </c>
      <c r="F234" s="180">
        <v>0</v>
      </c>
      <c r="G234" s="180">
        <v>0</v>
      </c>
      <c r="H234" s="180"/>
      <c r="I234" s="180">
        <v>0</v>
      </c>
      <c r="J234" s="180">
        <v>0</v>
      </c>
      <c r="K234" s="180">
        <v>0</v>
      </c>
      <c r="L234" s="180">
        <v>0</v>
      </c>
      <c r="M234" s="180">
        <v>0</v>
      </c>
      <c r="N234" s="180"/>
      <c r="O234" s="180">
        <v>0</v>
      </c>
      <c r="P234" s="180">
        <v>0</v>
      </c>
      <c r="Q234" s="180">
        <v>0</v>
      </c>
      <c r="R234" s="180">
        <v>0</v>
      </c>
      <c r="S234" s="180">
        <v>0</v>
      </c>
      <c r="T234" s="180">
        <v>0</v>
      </c>
      <c r="U234" s="180">
        <v>0</v>
      </c>
      <c r="V234" s="180">
        <v>0</v>
      </c>
      <c r="W234" s="180">
        <v>0</v>
      </c>
      <c r="X234" s="180">
        <v>0</v>
      </c>
      <c r="Y234" s="180">
        <v>0</v>
      </c>
      <c r="Z234" s="180">
        <v>0</v>
      </c>
      <c r="AA234" s="180">
        <v>0</v>
      </c>
      <c r="AB234" s="180">
        <v>0</v>
      </c>
      <c r="AC234" s="180"/>
      <c r="AD234" s="180">
        <v>0</v>
      </c>
      <c r="AE234" s="180">
        <v>0</v>
      </c>
      <c r="AF234" s="180">
        <v>0</v>
      </c>
      <c r="AG234" s="180">
        <v>0</v>
      </c>
      <c r="AH234" s="180">
        <v>0</v>
      </c>
      <c r="AI234" s="180">
        <v>0</v>
      </c>
      <c r="AJ234" s="180">
        <v>0</v>
      </c>
      <c r="AK234" s="180">
        <v>0</v>
      </c>
      <c r="AL234" s="180">
        <v>0</v>
      </c>
      <c r="AM234" s="180"/>
      <c r="AN234" s="180">
        <v>0</v>
      </c>
      <c r="AO234" s="180"/>
      <c r="AP234" s="180">
        <v>0</v>
      </c>
      <c r="AQ234" s="180">
        <v>627765</v>
      </c>
      <c r="AR234" s="180">
        <v>0</v>
      </c>
      <c r="AS234" s="180">
        <v>0</v>
      </c>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v>0</v>
      </c>
      <c r="BL234" s="180">
        <v>0</v>
      </c>
      <c r="BM234" s="180">
        <v>0</v>
      </c>
      <c r="BN234" s="180">
        <v>0</v>
      </c>
      <c r="BO234" s="180">
        <v>0</v>
      </c>
      <c r="BP234" s="180">
        <v>0</v>
      </c>
      <c r="BQ234" s="180">
        <v>0</v>
      </c>
      <c r="BR234" s="180"/>
      <c r="BS234" s="180">
        <v>0</v>
      </c>
      <c r="BT234" s="180"/>
      <c r="BU234" s="180">
        <v>0</v>
      </c>
      <c r="BV234" s="180">
        <v>0</v>
      </c>
      <c r="BW234" s="180">
        <v>0</v>
      </c>
      <c r="BX234" s="180">
        <v>0</v>
      </c>
      <c r="BY234" s="180"/>
      <c r="BZ234" s="180">
        <v>0</v>
      </c>
      <c r="CA234" s="180">
        <v>0</v>
      </c>
      <c r="CB234" s="180">
        <v>0</v>
      </c>
      <c r="CC234" s="180">
        <v>0</v>
      </c>
      <c r="CD234" s="180">
        <v>0</v>
      </c>
      <c r="CE234" s="180"/>
      <c r="CF234" s="180">
        <v>0</v>
      </c>
      <c r="CG234" s="180">
        <v>0</v>
      </c>
      <c r="CH234" s="180">
        <v>0</v>
      </c>
      <c r="CI234" s="180">
        <v>0</v>
      </c>
      <c r="CJ234" s="180"/>
      <c r="CK234" s="180">
        <v>0</v>
      </c>
      <c r="CL234" s="180"/>
      <c r="CM234" s="180"/>
      <c r="CN234" s="180"/>
      <c r="CO234" s="180"/>
      <c r="CP234" s="180"/>
      <c r="CQ234" s="180"/>
      <c r="CR234" s="180"/>
      <c r="CS234" s="180"/>
      <c r="CT234" s="180"/>
      <c r="CU234" s="180"/>
    </row>
    <row r="235" spans="1:99" x14ac:dyDescent="0.3">
      <c r="A235" s="155">
        <v>991</v>
      </c>
      <c r="B235" s="180" t="s">
        <v>1042</v>
      </c>
      <c r="C235" s="180"/>
      <c r="D235" s="180">
        <v>23</v>
      </c>
      <c r="E235" s="180">
        <v>20</v>
      </c>
      <c r="F235" s="180">
        <v>22</v>
      </c>
      <c r="G235" s="180">
        <v>20</v>
      </c>
      <c r="H235" s="180"/>
      <c r="I235" s="180">
        <v>23</v>
      </c>
      <c r="J235" s="180">
        <v>23</v>
      </c>
      <c r="K235" s="180">
        <v>22</v>
      </c>
      <c r="L235" s="180">
        <v>20</v>
      </c>
      <c r="M235" s="180">
        <v>23</v>
      </c>
      <c r="N235" s="180"/>
      <c r="O235" s="180">
        <v>23</v>
      </c>
      <c r="P235" s="180">
        <v>23</v>
      </c>
      <c r="Q235" s="180">
        <v>23</v>
      </c>
      <c r="R235" s="180">
        <v>22</v>
      </c>
      <c r="S235" s="180">
        <v>20</v>
      </c>
      <c r="T235" s="180">
        <v>23</v>
      </c>
      <c r="U235" s="180">
        <v>23</v>
      </c>
      <c r="V235" s="180">
        <v>23</v>
      </c>
      <c r="W235" s="180">
        <v>23</v>
      </c>
      <c r="X235" s="180">
        <v>23</v>
      </c>
      <c r="Y235" s="180">
        <v>23</v>
      </c>
      <c r="Z235" s="180">
        <v>23</v>
      </c>
      <c r="AA235" s="180">
        <v>22</v>
      </c>
      <c r="AB235" s="180">
        <v>20</v>
      </c>
      <c r="AC235" s="180"/>
      <c r="AD235" s="180">
        <v>20</v>
      </c>
      <c r="AE235" s="180">
        <v>23</v>
      </c>
      <c r="AF235" s="180">
        <v>23</v>
      </c>
      <c r="AG235" s="180">
        <v>23</v>
      </c>
      <c r="AH235" s="180">
        <v>23</v>
      </c>
      <c r="AI235" s="180">
        <v>23</v>
      </c>
      <c r="AJ235" s="180">
        <v>23</v>
      </c>
      <c r="AK235" s="180">
        <v>23</v>
      </c>
      <c r="AL235" s="180">
        <v>23</v>
      </c>
      <c r="AM235" s="180"/>
      <c r="AN235" s="180">
        <v>23</v>
      </c>
      <c r="AO235" s="180"/>
      <c r="AP235" s="180">
        <v>0</v>
      </c>
      <c r="AQ235" s="180">
        <v>23</v>
      </c>
      <c r="AR235" s="180">
        <v>23</v>
      </c>
      <c r="AS235" s="180">
        <v>20</v>
      </c>
      <c r="AT235" s="180">
        <v>20</v>
      </c>
      <c r="AU235" s="180">
        <v>20</v>
      </c>
      <c r="AV235" s="180">
        <v>23</v>
      </c>
      <c r="AW235" s="180">
        <v>20</v>
      </c>
      <c r="AX235" s="180">
        <v>20</v>
      </c>
      <c r="AY235" s="180">
        <v>23</v>
      </c>
      <c r="AZ235" s="180">
        <v>23</v>
      </c>
      <c r="BA235" s="180">
        <v>23</v>
      </c>
      <c r="BB235" s="180">
        <v>20</v>
      </c>
      <c r="BC235" s="180">
        <v>20</v>
      </c>
      <c r="BD235" s="180">
        <v>22</v>
      </c>
      <c r="BE235" s="180">
        <v>20</v>
      </c>
      <c r="BF235" s="180">
        <v>23</v>
      </c>
      <c r="BG235" s="180">
        <v>23</v>
      </c>
      <c r="BH235" s="180">
        <v>23</v>
      </c>
      <c r="BI235" s="180">
        <v>23</v>
      </c>
      <c r="BJ235" s="180">
        <v>23</v>
      </c>
      <c r="BK235" s="180">
        <v>22</v>
      </c>
      <c r="BL235" s="180">
        <v>23</v>
      </c>
      <c r="BM235" s="180">
        <v>23</v>
      </c>
      <c r="BN235" s="180">
        <v>0</v>
      </c>
      <c r="BO235" s="180">
        <v>20</v>
      </c>
      <c r="BP235" s="180">
        <v>23</v>
      </c>
      <c r="BQ235" s="180">
        <v>23</v>
      </c>
      <c r="BR235" s="180"/>
      <c r="BS235" s="180">
        <v>20</v>
      </c>
      <c r="BT235" s="180"/>
      <c r="BU235" s="180">
        <v>23</v>
      </c>
      <c r="BV235" s="180">
        <v>23</v>
      </c>
      <c r="BW235" s="180">
        <v>22</v>
      </c>
      <c r="BX235" s="180">
        <v>23</v>
      </c>
      <c r="BY235" s="180"/>
      <c r="BZ235" s="180">
        <v>23</v>
      </c>
      <c r="CA235" s="180">
        <v>20</v>
      </c>
      <c r="CB235" s="180">
        <v>23</v>
      </c>
      <c r="CC235" s="180">
        <v>22</v>
      </c>
      <c r="CD235" s="180">
        <v>23</v>
      </c>
      <c r="CE235" s="180"/>
      <c r="CF235" s="180">
        <v>20</v>
      </c>
      <c r="CG235" s="180">
        <v>23</v>
      </c>
      <c r="CH235" s="180">
        <v>23</v>
      </c>
      <c r="CI235" s="180">
        <v>23</v>
      </c>
      <c r="CJ235" s="180"/>
      <c r="CK235" s="180">
        <v>23</v>
      </c>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v>0</v>
      </c>
      <c r="Y236" s="180">
        <v>0</v>
      </c>
      <c r="Z236" s="180">
        <v>7.0000000000000007E-2</v>
      </c>
      <c r="AA236" s="180">
        <v>0</v>
      </c>
      <c r="AB236" s="180">
        <v>0</v>
      </c>
      <c r="AC236" s="180">
        <v>0</v>
      </c>
      <c r="AD236" s="180">
        <v>0</v>
      </c>
      <c r="AE236" s="180">
        <v>0</v>
      </c>
      <c r="AF236" s="180">
        <v>0.08</v>
      </c>
      <c r="AG236" s="180">
        <v>0</v>
      </c>
      <c r="AH236" s="180">
        <v>0</v>
      </c>
      <c r="AI236" s="180">
        <v>0</v>
      </c>
      <c r="AJ236" s="180">
        <v>0</v>
      </c>
      <c r="AK236" s="180">
        <v>0</v>
      </c>
      <c r="AL236" s="180">
        <v>0</v>
      </c>
      <c r="AM236" s="180">
        <v>0</v>
      </c>
      <c r="AN236" s="180">
        <v>0</v>
      </c>
      <c r="AO236" s="180">
        <v>0</v>
      </c>
      <c r="AP236" s="180">
        <v>0</v>
      </c>
      <c r="AQ236" s="180">
        <v>0.09</v>
      </c>
      <c r="AR236" s="180">
        <v>0</v>
      </c>
      <c r="AS236" s="180">
        <v>0</v>
      </c>
      <c r="AT236" s="180">
        <v>0</v>
      </c>
      <c r="AU236" s="180">
        <v>0</v>
      </c>
      <c r="AV236" s="180">
        <v>0</v>
      </c>
      <c r="AW236" s="180">
        <v>7.0000000000000007E-2</v>
      </c>
      <c r="AX236" s="180">
        <v>0</v>
      </c>
      <c r="AY236" s="180">
        <v>0</v>
      </c>
      <c r="AZ236" s="180">
        <v>0</v>
      </c>
      <c r="BA236" s="180">
        <v>0</v>
      </c>
      <c r="BB236" s="180">
        <v>0</v>
      </c>
      <c r="BC236" s="180">
        <v>0.09</v>
      </c>
      <c r="BD236" s="180">
        <v>0</v>
      </c>
      <c r="BE236" s="180">
        <v>0</v>
      </c>
      <c r="BF236" s="180">
        <v>0</v>
      </c>
      <c r="BG236" s="180">
        <v>0</v>
      </c>
      <c r="BH236" s="180">
        <v>0</v>
      </c>
      <c r="BI236" s="180">
        <v>0</v>
      </c>
      <c r="BJ236" s="180">
        <v>0</v>
      </c>
      <c r="BK236" s="180">
        <v>0</v>
      </c>
      <c r="BL236" s="180">
        <v>7.0000000000000007E-2</v>
      </c>
      <c r="BM236" s="180">
        <v>0</v>
      </c>
      <c r="BN236" s="180">
        <v>0</v>
      </c>
      <c r="BO236" s="180">
        <v>0</v>
      </c>
      <c r="BP236" s="180">
        <v>0</v>
      </c>
      <c r="BQ236" s="180">
        <v>0</v>
      </c>
      <c r="BR236" s="180">
        <v>0</v>
      </c>
      <c r="BS236" s="180">
        <v>0</v>
      </c>
      <c r="BT236" s="180">
        <v>0</v>
      </c>
      <c r="BU236" s="180">
        <v>0</v>
      </c>
      <c r="BV236" s="180">
        <v>0</v>
      </c>
      <c r="BW236" s="180">
        <v>0</v>
      </c>
      <c r="BX236" s="180">
        <v>0.08</v>
      </c>
      <c r="BY236" s="180">
        <v>0.08</v>
      </c>
      <c r="BZ236" s="180">
        <v>0</v>
      </c>
      <c r="CA236" s="180">
        <v>0</v>
      </c>
      <c r="CB236" s="180">
        <v>0</v>
      </c>
      <c r="CC236" s="180">
        <v>0</v>
      </c>
      <c r="CD236" s="180">
        <v>0</v>
      </c>
      <c r="CE236" s="180">
        <v>0</v>
      </c>
      <c r="CF236" s="180">
        <v>0</v>
      </c>
      <c r="CG236" s="180">
        <v>0</v>
      </c>
      <c r="CH236" s="180">
        <v>0.09</v>
      </c>
      <c r="CI236" s="180">
        <v>0</v>
      </c>
      <c r="CJ236" s="180">
        <v>0</v>
      </c>
      <c r="CK236" s="180">
        <v>0</v>
      </c>
      <c r="CL236" s="180"/>
      <c r="CM236" s="180"/>
      <c r="CN236" s="180"/>
      <c r="CO236" s="180"/>
      <c r="CP236" s="180"/>
      <c r="CQ236" s="180"/>
      <c r="CR236" s="180"/>
      <c r="CS236" s="180"/>
      <c r="CT236" s="180"/>
      <c r="CU236" s="180"/>
    </row>
    <row r="237" spans="1:99" x14ac:dyDescent="0.3">
      <c r="A237" s="155">
        <v>996</v>
      </c>
      <c r="B237" s="180" t="s">
        <v>276</v>
      </c>
      <c r="C237" s="180"/>
      <c r="D237" s="180">
        <v>0.01</v>
      </c>
      <c r="E237" s="180">
        <v>0</v>
      </c>
      <c r="F237" s="180">
        <v>0.01</v>
      </c>
      <c r="G237" s="180">
        <v>0.01</v>
      </c>
      <c r="H237" s="180">
        <v>0.01</v>
      </c>
      <c r="I237" s="180">
        <v>0.01</v>
      </c>
      <c r="J237" s="180">
        <v>0</v>
      </c>
      <c r="K237" s="180">
        <v>0.01</v>
      </c>
      <c r="L237" s="180">
        <v>0</v>
      </c>
      <c r="M237" s="180">
        <v>0</v>
      </c>
      <c r="N237" s="180">
        <v>0.01</v>
      </c>
      <c r="O237" s="180">
        <v>0.01</v>
      </c>
      <c r="P237" s="180">
        <v>0</v>
      </c>
      <c r="Q237" s="180">
        <v>0</v>
      </c>
      <c r="R237" s="180">
        <v>0</v>
      </c>
      <c r="S237" s="180">
        <v>0</v>
      </c>
      <c r="T237" s="180">
        <v>0</v>
      </c>
      <c r="U237" s="180">
        <v>0</v>
      </c>
      <c r="V237" s="180">
        <v>0.01</v>
      </c>
      <c r="W237" s="180">
        <v>0.01</v>
      </c>
      <c r="X237" s="180">
        <v>0</v>
      </c>
      <c r="Y237" s="180">
        <v>0.01</v>
      </c>
      <c r="Z237" s="180">
        <v>0.01</v>
      </c>
      <c r="AA237" s="180">
        <v>0.01</v>
      </c>
      <c r="AB237" s="180">
        <v>0</v>
      </c>
      <c r="AC237" s="180">
        <v>0.01</v>
      </c>
      <c r="AD237" s="180">
        <v>0.01</v>
      </c>
      <c r="AE237" s="180">
        <v>0.01</v>
      </c>
      <c r="AF237" s="180">
        <v>0.01</v>
      </c>
      <c r="AG237" s="180">
        <v>0</v>
      </c>
      <c r="AH237" s="180">
        <v>0.01</v>
      </c>
      <c r="AI237" s="180">
        <v>0.01</v>
      </c>
      <c r="AJ237" s="180">
        <v>0.01</v>
      </c>
      <c r="AK237" s="180">
        <v>0.01</v>
      </c>
      <c r="AL237" s="180">
        <v>0.01</v>
      </c>
      <c r="AM237" s="180">
        <v>0.01</v>
      </c>
      <c r="AN237" s="180">
        <v>0.01</v>
      </c>
      <c r="AO237" s="180">
        <v>0.01</v>
      </c>
      <c r="AP237" s="180">
        <v>0</v>
      </c>
      <c r="AQ237" s="180">
        <v>0.01</v>
      </c>
      <c r="AR237" s="180">
        <v>0</v>
      </c>
      <c r="AS237" s="180">
        <v>0.01</v>
      </c>
      <c r="AT237" s="180">
        <v>0.01</v>
      </c>
      <c r="AU237" s="180">
        <v>0.01</v>
      </c>
      <c r="AV237" s="180">
        <v>0</v>
      </c>
      <c r="AW237" s="180">
        <v>0</v>
      </c>
      <c r="AX237" s="180">
        <v>0.01</v>
      </c>
      <c r="AY237" s="180">
        <v>0</v>
      </c>
      <c r="AZ237" s="180">
        <v>0</v>
      </c>
      <c r="BA237" s="180">
        <v>0.01</v>
      </c>
      <c r="BB237" s="180">
        <v>0.01</v>
      </c>
      <c r="BC237" s="180">
        <v>0.01</v>
      </c>
      <c r="BD237" s="180">
        <v>0</v>
      </c>
      <c r="BE237" s="180">
        <v>0</v>
      </c>
      <c r="BF237" s="180">
        <v>0.01</v>
      </c>
      <c r="BG237" s="180">
        <v>0</v>
      </c>
      <c r="BH237" s="180">
        <v>0</v>
      </c>
      <c r="BI237" s="180">
        <v>0.01</v>
      </c>
      <c r="BJ237" s="180">
        <v>0</v>
      </c>
      <c r="BK237" s="180">
        <v>0.01</v>
      </c>
      <c r="BL237" s="180">
        <v>0.01</v>
      </c>
      <c r="BM237" s="180">
        <v>0.01</v>
      </c>
      <c r="BN237" s="180">
        <v>0</v>
      </c>
      <c r="BO237" s="180">
        <v>0.01</v>
      </c>
      <c r="BP237" s="180">
        <v>0.01</v>
      </c>
      <c r="BQ237" s="180">
        <v>0</v>
      </c>
      <c r="BR237" s="180">
        <v>0.01</v>
      </c>
      <c r="BS237" s="180">
        <v>0.01</v>
      </c>
      <c r="BT237" s="180">
        <v>0</v>
      </c>
      <c r="BU237" s="180">
        <v>0.01</v>
      </c>
      <c r="BV237" s="180">
        <v>0</v>
      </c>
      <c r="BW237" s="180">
        <v>0.01</v>
      </c>
      <c r="BX237" s="180">
        <v>0.01</v>
      </c>
      <c r="BY237" s="180">
        <v>0.01</v>
      </c>
      <c r="BZ237" s="180">
        <v>0.01</v>
      </c>
      <c r="CA237" s="180">
        <v>0.01</v>
      </c>
      <c r="CB237" s="180">
        <v>0.01</v>
      </c>
      <c r="CC237" s="180">
        <v>0.01</v>
      </c>
      <c r="CD237" s="180">
        <v>0.01</v>
      </c>
      <c r="CE237" s="180">
        <v>0.01</v>
      </c>
      <c r="CF237" s="180">
        <v>0.01</v>
      </c>
      <c r="CG237" s="180">
        <v>0</v>
      </c>
      <c r="CH237" s="180">
        <v>0.01</v>
      </c>
      <c r="CI237" s="180">
        <v>0</v>
      </c>
      <c r="CJ237" s="180">
        <v>0.01</v>
      </c>
      <c r="CK237" s="180">
        <v>0.01</v>
      </c>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v>50</v>
      </c>
      <c r="BX238" s="180">
        <v>50</v>
      </c>
      <c r="BY238" s="180">
        <v>50</v>
      </c>
      <c r="BZ238" s="180">
        <v>50</v>
      </c>
      <c r="CA238" s="180">
        <v>50</v>
      </c>
      <c r="CB238" s="180">
        <v>50</v>
      </c>
      <c r="CC238" s="180">
        <v>50</v>
      </c>
      <c r="CD238" s="180">
        <v>50</v>
      </c>
      <c r="CE238" s="180">
        <v>50</v>
      </c>
      <c r="CF238" s="180">
        <v>50</v>
      </c>
      <c r="CG238" s="180">
        <v>50</v>
      </c>
      <c r="CH238" s="180">
        <v>50</v>
      </c>
      <c r="CI238" s="180">
        <v>50</v>
      </c>
      <c r="CJ238" s="180">
        <v>50</v>
      </c>
      <c r="CK238" s="180">
        <v>50</v>
      </c>
      <c r="CL238" s="180"/>
      <c r="CM238" s="180"/>
      <c r="CN238" s="180"/>
      <c r="CO238" s="180"/>
      <c r="CP238" s="180"/>
      <c r="CQ238" s="180"/>
      <c r="CR238" s="180"/>
      <c r="CS238" s="180"/>
      <c r="CT238" s="180"/>
      <c r="CU238" s="180"/>
    </row>
    <row r="239" spans="1:99" x14ac:dyDescent="0.3">
      <c r="A239" s="155">
        <v>999</v>
      </c>
      <c r="B239" s="180" t="s">
        <v>278</v>
      </c>
      <c r="C239" s="180"/>
      <c r="D239" s="180">
        <v>50508</v>
      </c>
      <c r="E239" s="180">
        <v>50465</v>
      </c>
      <c r="F239" s="180">
        <v>50060</v>
      </c>
      <c r="G239" s="180">
        <v>50061</v>
      </c>
      <c r="H239" s="180">
        <v>50062</v>
      </c>
      <c r="I239" s="180">
        <v>50063</v>
      </c>
      <c r="J239" s="180">
        <v>50064</v>
      </c>
      <c r="K239" s="180">
        <v>50065</v>
      </c>
      <c r="L239" s="180">
        <v>50551</v>
      </c>
      <c r="M239" s="180">
        <v>50066</v>
      </c>
      <c r="N239" s="180">
        <v>50067</v>
      </c>
      <c r="O239" s="180">
        <v>50068</v>
      </c>
      <c r="P239" s="180">
        <v>50466</v>
      </c>
      <c r="Q239" s="180">
        <v>50069</v>
      </c>
      <c r="R239" s="180">
        <v>50450</v>
      </c>
      <c r="S239" s="180">
        <v>50070</v>
      </c>
      <c r="T239" s="180">
        <v>50509</v>
      </c>
      <c r="U239" s="180">
        <v>50539</v>
      </c>
      <c r="V239" s="180">
        <v>50467</v>
      </c>
      <c r="W239" s="180">
        <v>50072</v>
      </c>
      <c r="X239" s="180">
        <v>50074</v>
      </c>
      <c r="Y239" s="180">
        <v>50075</v>
      </c>
      <c r="Z239" s="180">
        <v>50076</v>
      </c>
      <c r="AA239" s="180">
        <v>50510</v>
      </c>
      <c r="AB239" s="180">
        <v>50077</v>
      </c>
      <c r="AC239" s="180">
        <v>50078</v>
      </c>
      <c r="AD239" s="180">
        <v>50079</v>
      </c>
      <c r="AE239" s="180">
        <v>50080</v>
      </c>
      <c r="AF239" s="180">
        <v>50081</v>
      </c>
      <c r="AG239" s="180">
        <v>50502</v>
      </c>
      <c r="AH239" s="180">
        <v>50082</v>
      </c>
      <c r="AI239" s="180">
        <v>50083</v>
      </c>
      <c r="AJ239" s="180">
        <v>50084</v>
      </c>
      <c r="AK239" s="180">
        <v>50085</v>
      </c>
      <c r="AL239" s="180">
        <v>50468</v>
      </c>
      <c r="AM239" s="180">
        <v>50086</v>
      </c>
      <c r="AN239" s="180">
        <v>50087</v>
      </c>
      <c r="AO239" s="180">
        <v>50088</v>
      </c>
      <c r="AP239" s="180">
        <v>50089</v>
      </c>
      <c r="AQ239" s="180">
        <v>50090</v>
      </c>
      <c r="AR239" s="180">
        <v>50091</v>
      </c>
      <c r="AS239" s="180">
        <v>50511</v>
      </c>
      <c r="AT239" s="180">
        <v>50092</v>
      </c>
      <c r="AU239" s="180">
        <v>50093</v>
      </c>
      <c r="AV239" s="180">
        <v>50512</v>
      </c>
      <c r="AW239" s="180">
        <v>50094</v>
      </c>
      <c r="AX239" s="180">
        <v>50095</v>
      </c>
      <c r="AY239" s="180">
        <v>50096</v>
      </c>
      <c r="AZ239" s="180">
        <v>50097</v>
      </c>
      <c r="BA239" s="180">
        <v>50098</v>
      </c>
      <c r="BB239" s="180">
        <v>50099</v>
      </c>
      <c r="BC239" s="180">
        <v>50100</v>
      </c>
      <c r="BD239" s="180">
        <v>50101</v>
      </c>
      <c r="BE239" s="180">
        <v>50102</v>
      </c>
      <c r="BF239" s="180">
        <v>50103</v>
      </c>
      <c r="BG239" s="180">
        <v>50104</v>
      </c>
      <c r="BH239" s="180">
        <v>50513</v>
      </c>
      <c r="BI239" s="180">
        <v>50105</v>
      </c>
      <c r="BJ239" s="180">
        <v>50460</v>
      </c>
      <c r="BK239" s="180">
        <v>50106</v>
      </c>
      <c r="BL239" s="180">
        <v>50107</v>
      </c>
      <c r="BM239" s="180">
        <v>50108</v>
      </c>
      <c r="BN239" s="180">
        <v>50559</v>
      </c>
      <c r="BO239" s="180">
        <v>50109</v>
      </c>
      <c r="BP239" s="180">
        <v>50110</v>
      </c>
      <c r="BQ239" s="180">
        <v>50472</v>
      </c>
      <c r="BR239" s="180">
        <v>50461</v>
      </c>
      <c r="BS239" s="180">
        <v>50111</v>
      </c>
      <c r="BT239" s="180">
        <v>50112</v>
      </c>
      <c r="BU239" s="180">
        <v>50113</v>
      </c>
      <c r="BV239" s="180">
        <v>50568</v>
      </c>
      <c r="BW239" s="180">
        <v>50114</v>
      </c>
      <c r="BX239" s="180">
        <v>50115</v>
      </c>
      <c r="BY239" s="180">
        <v>50116</v>
      </c>
      <c r="BZ239" s="180">
        <v>50117</v>
      </c>
      <c r="CA239" s="180">
        <v>50119</v>
      </c>
      <c r="CB239" s="180">
        <v>50118</v>
      </c>
      <c r="CC239" s="180">
        <v>50120</v>
      </c>
      <c r="CD239" s="180">
        <v>50121</v>
      </c>
      <c r="CE239" s="180">
        <v>50122</v>
      </c>
      <c r="CF239" s="180">
        <v>50123</v>
      </c>
      <c r="CG239" s="180">
        <v>50124</v>
      </c>
      <c r="CH239" s="180">
        <v>50125</v>
      </c>
      <c r="CI239" s="180">
        <v>50126</v>
      </c>
      <c r="CJ239" s="180">
        <v>50127</v>
      </c>
      <c r="CK239" s="180">
        <v>50128</v>
      </c>
      <c r="CL239" s="180"/>
      <c r="CM239" s="180"/>
      <c r="CN239" s="180"/>
      <c r="CO239" s="180"/>
      <c r="CP239" s="180"/>
      <c r="CQ239" s="180"/>
      <c r="CR239" s="180"/>
      <c r="CS239" s="180"/>
      <c r="CT239" s="180"/>
      <c r="CU239" s="180"/>
    </row>
    <row r="240" spans="1:99" x14ac:dyDescent="0.3">
      <c r="A240" s="155">
        <v>1050</v>
      </c>
      <c r="B240" s="180" t="s">
        <v>1529</v>
      </c>
      <c r="C240" s="180"/>
      <c r="D240" s="180">
        <v>0</v>
      </c>
      <c r="E240" s="180">
        <v>114366</v>
      </c>
      <c r="F240" s="180">
        <v>0</v>
      </c>
      <c r="G240" s="180">
        <v>17048</v>
      </c>
      <c r="H240" s="180"/>
      <c r="I240" s="180">
        <v>369372</v>
      </c>
      <c r="J240" s="180">
        <v>77559</v>
      </c>
      <c r="K240" s="180">
        <v>121446</v>
      </c>
      <c r="L240" s="180">
        <v>143140</v>
      </c>
      <c r="M240" s="180">
        <v>563454</v>
      </c>
      <c r="N240" s="180"/>
      <c r="O240" s="180">
        <v>4106608</v>
      </c>
      <c r="P240" s="180">
        <v>0</v>
      </c>
      <c r="Q240" s="180">
        <v>1650</v>
      </c>
      <c r="R240" s="180">
        <v>0</v>
      </c>
      <c r="S240" s="180">
        <v>91846</v>
      </c>
      <c r="T240" s="180">
        <v>0</v>
      </c>
      <c r="U240" s="180">
        <v>0</v>
      </c>
      <c r="V240" s="180">
        <v>0</v>
      </c>
      <c r="W240" s="180">
        <v>4918</v>
      </c>
      <c r="X240" s="180">
        <v>1644298</v>
      </c>
      <c r="Y240" s="180">
        <v>0</v>
      </c>
      <c r="Z240" s="180">
        <v>0</v>
      </c>
      <c r="AA240" s="180">
        <v>0</v>
      </c>
      <c r="AB240" s="180">
        <v>32406</v>
      </c>
      <c r="AC240" s="180"/>
      <c r="AD240" s="180">
        <v>62888</v>
      </c>
      <c r="AE240" s="180">
        <v>63948</v>
      </c>
      <c r="AF240" s="180">
        <v>437763</v>
      </c>
      <c r="AG240" s="180">
        <v>1475509</v>
      </c>
      <c r="AH240" s="180">
        <v>0</v>
      </c>
      <c r="AI240" s="180">
        <v>252519</v>
      </c>
      <c r="AJ240" s="180">
        <v>7436</v>
      </c>
      <c r="AK240" s="180">
        <v>112597</v>
      </c>
      <c r="AL240" s="180">
        <v>1420</v>
      </c>
      <c r="AM240" s="180"/>
      <c r="AN240" s="180">
        <v>20553</v>
      </c>
      <c r="AO240" s="180"/>
      <c r="AP240" s="180">
        <v>0</v>
      </c>
      <c r="AQ240" s="180">
        <v>4319658</v>
      </c>
      <c r="AR240" s="180">
        <v>0</v>
      </c>
      <c r="AS240" s="180">
        <v>40972</v>
      </c>
      <c r="AT240" s="180">
        <v>269372</v>
      </c>
      <c r="AU240" s="180">
        <v>0</v>
      </c>
      <c r="AV240" s="180">
        <v>0</v>
      </c>
      <c r="AW240" s="180">
        <v>1377283</v>
      </c>
      <c r="AX240" s="180">
        <v>13032</v>
      </c>
      <c r="AY240" s="180">
        <v>107588</v>
      </c>
      <c r="AZ240" s="180">
        <v>34447</v>
      </c>
      <c r="BA240" s="180">
        <v>0</v>
      </c>
      <c r="BB240" s="180">
        <v>5625</v>
      </c>
      <c r="BC240" s="180">
        <v>129749</v>
      </c>
      <c r="BD240" s="180">
        <v>0</v>
      </c>
      <c r="BE240" s="180">
        <v>0</v>
      </c>
      <c r="BF240" s="180">
        <v>0</v>
      </c>
      <c r="BG240" s="180">
        <v>5000</v>
      </c>
      <c r="BH240" s="180">
        <v>29816</v>
      </c>
      <c r="BI240" s="180">
        <v>4370</v>
      </c>
      <c r="BJ240" s="180">
        <v>0</v>
      </c>
      <c r="BK240" s="180">
        <v>0</v>
      </c>
      <c r="BL240" s="180">
        <v>36078</v>
      </c>
      <c r="BM240" s="180">
        <v>24446</v>
      </c>
      <c r="BN240" s="180">
        <v>0</v>
      </c>
      <c r="BO240" s="180">
        <v>0</v>
      </c>
      <c r="BP240" s="180">
        <v>7576632</v>
      </c>
      <c r="BQ240" s="180">
        <v>5184</v>
      </c>
      <c r="BR240" s="180"/>
      <c r="BS240" s="180">
        <v>24750</v>
      </c>
      <c r="BT240" s="180"/>
      <c r="BU240" s="180">
        <v>94964</v>
      </c>
      <c r="BV240" s="180">
        <v>0</v>
      </c>
      <c r="BW240" s="180">
        <v>442221</v>
      </c>
      <c r="BX240" s="180">
        <v>186789</v>
      </c>
      <c r="BY240" s="180"/>
      <c r="BZ240" s="180">
        <v>38811</v>
      </c>
      <c r="CA240" s="180">
        <v>10038</v>
      </c>
      <c r="CB240" s="180">
        <v>148335</v>
      </c>
      <c r="CC240" s="180">
        <v>0</v>
      </c>
      <c r="CD240" s="180">
        <v>24523</v>
      </c>
      <c r="CE240" s="180"/>
      <c r="CF240" s="180">
        <v>0</v>
      </c>
      <c r="CG240" s="180">
        <v>285842</v>
      </c>
      <c r="CH240" s="180">
        <v>99341</v>
      </c>
      <c r="CI240" s="180">
        <v>225953</v>
      </c>
      <c r="CJ240" s="180"/>
      <c r="CK240" s="180">
        <v>2235</v>
      </c>
      <c r="CL240" s="180"/>
      <c r="CM240" s="180"/>
      <c r="CN240" s="180"/>
      <c r="CO240" s="180"/>
      <c r="CP240" s="180"/>
      <c r="CQ240" s="180"/>
      <c r="CR240" s="180"/>
      <c r="CS240" s="180"/>
      <c r="CT240" s="180"/>
      <c r="CU240" s="180"/>
    </row>
    <row r="241" spans="1:99" x14ac:dyDescent="0.3">
      <c r="A241" s="155">
        <v>1051</v>
      </c>
      <c r="B241" s="180" t="s">
        <v>1765</v>
      </c>
      <c r="C241" s="180"/>
      <c r="D241" s="180">
        <v>0</v>
      </c>
      <c r="E241" s="180">
        <v>0</v>
      </c>
      <c r="F241" s="180">
        <v>0</v>
      </c>
      <c r="G241" s="180">
        <v>0</v>
      </c>
      <c r="H241" s="180"/>
      <c r="I241" s="180">
        <v>0</v>
      </c>
      <c r="J241" s="180">
        <v>0</v>
      </c>
      <c r="K241" s="180">
        <v>0</v>
      </c>
      <c r="L241" s="180">
        <v>0</v>
      </c>
      <c r="M241" s="180">
        <v>0</v>
      </c>
      <c r="N241" s="180"/>
      <c r="O241" s="180">
        <v>0</v>
      </c>
      <c r="P241" s="180">
        <v>0</v>
      </c>
      <c r="Q241" s="180">
        <v>0</v>
      </c>
      <c r="R241" s="180">
        <v>0</v>
      </c>
      <c r="S241" s="180">
        <v>0</v>
      </c>
      <c r="T241" s="180">
        <v>0</v>
      </c>
      <c r="U241" s="180">
        <v>0</v>
      </c>
      <c r="V241" s="180">
        <v>0</v>
      </c>
      <c r="W241" s="180">
        <v>0</v>
      </c>
      <c r="X241" s="180">
        <v>0</v>
      </c>
      <c r="Y241" s="180">
        <v>0</v>
      </c>
      <c r="Z241" s="180">
        <v>0</v>
      </c>
      <c r="AA241" s="180">
        <v>0</v>
      </c>
      <c r="AB241" s="180">
        <v>0</v>
      </c>
      <c r="AC241" s="180"/>
      <c r="AD241" s="180">
        <v>0</v>
      </c>
      <c r="AE241" s="180">
        <v>0</v>
      </c>
      <c r="AF241" s="180">
        <v>0</v>
      </c>
      <c r="AG241" s="180">
        <v>0</v>
      </c>
      <c r="AH241" s="180">
        <v>0</v>
      </c>
      <c r="AI241" s="180">
        <v>0</v>
      </c>
      <c r="AJ241" s="180">
        <v>0</v>
      </c>
      <c r="AK241" s="180">
        <v>0</v>
      </c>
      <c r="AL241" s="180">
        <v>0</v>
      </c>
      <c r="AM241" s="180"/>
      <c r="AN241" s="180">
        <v>0</v>
      </c>
      <c r="AO241" s="180"/>
      <c r="AP241" s="180">
        <v>0</v>
      </c>
      <c r="AQ241" s="180">
        <v>2598256</v>
      </c>
      <c r="AR241" s="180">
        <v>0</v>
      </c>
      <c r="AS241" s="180">
        <v>0</v>
      </c>
      <c r="AT241" s="180">
        <v>0</v>
      </c>
      <c r="AU241" s="180">
        <v>0</v>
      </c>
      <c r="AV241" s="180">
        <v>0</v>
      </c>
      <c r="AW241" s="180">
        <v>0</v>
      </c>
      <c r="AX241" s="180">
        <v>0</v>
      </c>
      <c r="AY241" s="180">
        <v>0</v>
      </c>
      <c r="AZ241" s="180">
        <v>0</v>
      </c>
      <c r="BA241" s="180">
        <v>0</v>
      </c>
      <c r="BB241" s="180">
        <v>0</v>
      </c>
      <c r="BC241" s="180">
        <v>0</v>
      </c>
      <c r="BD241" s="180">
        <v>0</v>
      </c>
      <c r="BE241" s="180">
        <v>0</v>
      </c>
      <c r="BF241" s="180">
        <v>0</v>
      </c>
      <c r="BG241" s="180">
        <v>0</v>
      </c>
      <c r="BH241" s="180">
        <v>0</v>
      </c>
      <c r="BI241" s="180">
        <v>0</v>
      </c>
      <c r="BJ241" s="180">
        <v>0</v>
      </c>
      <c r="BK241" s="180">
        <v>0</v>
      </c>
      <c r="BL241" s="180">
        <v>0</v>
      </c>
      <c r="BM241" s="180">
        <v>0</v>
      </c>
      <c r="BN241" s="180">
        <v>0</v>
      </c>
      <c r="BO241" s="180">
        <v>0</v>
      </c>
      <c r="BP241" s="180">
        <v>0</v>
      </c>
      <c r="BQ241" s="180">
        <v>0</v>
      </c>
      <c r="BR241" s="180"/>
      <c r="BS241" s="180">
        <v>0</v>
      </c>
      <c r="BT241" s="180"/>
      <c r="BU241" s="180">
        <v>0</v>
      </c>
      <c r="BV241" s="180">
        <v>0</v>
      </c>
      <c r="BW241" s="180">
        <v>0</v>
      </c>
      <c r="BX241" s="180">
        <v>0</v>
      </c>
      <c r="BY241" s="180"/>
      <c r="BZ241" s="180">
        <v>0</v>
      </c>
      <c r="CA241" s="180">
        <v>0</v>
      </c>
      <c r="CB241" s="180">
        <v>0</v>
      </c>
      <c r="CC241" s="180">
        <v>0</v>
      </c>
      <c r="CD241" s="180">
        <v>0</v>
      </c>
      <c r="CE241" s="180"/>
      <c r="CF241" s="180">
        <v>0</v>
      </c>
      <c r="CG241" s="180">
        <v>0</v>
      </c>
      <c r="CH241" s="180">
        <v>0</v>
      </c>
      <c r="CI241" s="180">
        <v>0</v>
      </c>
      <c r="CJ241" s="180"/>
      <c r="CK241" s="180">
        <v>0</v>
      </c>
      <c r="CL241" s="180"/>
      <c r="CM241" s="180"/>
      <c r="CN241" s="180"/>
      <c r="CO241" s="180"/>
      <c r="CP241" s="180"/>
      <c r="CQ241" s="180"/>
      <c r="CR241" s="180"/>
      <c r="CS241" s="180"/>
      <c r="CT241" s="180"/>
      <c r="CU241" s="180"/>
    </row>
    <row r="242" spans="1:99" x14ac:dyDescent="0.3">
      <c r="A242" s="155">
        <v>1052</v>
      </c>
      <c r="B242" s="180" t="s">
        <v>1766</v>
      </c>
      <c r="C242" s="180"/>
      <c r="D242" s="180">
        <v>0</v>
      </c>
      <c r="E242" s="180">
        <v>0</v>
      </c>
      <c r="F242" s="180">
        <v>0</v>
      </c>
      <c r="G242" s="180">
        <v>0</v>
      </c>
      <c r="H242" s="180"/>
      <c r="I242" s="180">
        <v>0</v>
      </c>
      <c r="J242" s="180">
        <v>0</v>
      </c>
      <c r="K242" s="180">
        <v>0</v>
      </c>
      <c r="L242" s="180">
        <v>0</v>
      </c>
      <c r="M242" s="180">
        <v>0</v>
      </c>
      <c r="N242" s="180"/>
      <c r="O242" s="180">
        <v>-5117547</v>
      </c>
      <c r="P242" s="180">
        <v>0</v>
      </c>
      <c r="Q242" s="180">
        <v>0</v>
      </c>
      <c r="R242" s="180">
        <v>0</v>
      </c>
      <c r="S242" s="180">
        <v>0</v>
      </c>
      <c r="T242" s="180">
        <v>0</v>
      </c>
      <c r="U242" s="180">
        <v>0</v>
      </c>
      <c r="V242" s="180">
        <v>0</v>
      </c>
      <c r="W242" s="180">
        <v>0</v>
      </c>
      <c r="X242" s="180">
        <v>0</v>
      </c>
      <c r="Y242" s="180">
        <v>-2745000</v>
      </c>
      <c r="Z242" s="180">
        <v>0</v>
      </c>
      <c r="AA242" s="180">
        <v>0</v>
      </c>
      <c r="AB242" s="180">
        <v>0</v>
      </c>
      <c r="AC242" s="180"/>
      <c r="AD242" s="180">
        <v>0</v>
      </c>
      <c r="AE242" s="180">
        <v>0</v>
      </c>
      <c r="AF242" s="180">
        <v>0</v>
      </c>
      <c r="AG242" s="180">
        <v>0</v>
      </c>
      <c r="AH242" s="180">
        <v>0</v>
      </c>
      <c r="AI242" s="180">
        <v>0</v>
      </c>
      <c r="AJ242" s="180">
        <v>0</v>
      </c>
      <c r="AK242" s="180">
        <v>0</v>
      </c>
      <c r="AL242" s="180">
        <v>0</v>
      </c>
      <c r="AM242" s="180"/>
      <c r="AN242" s="180">
        <v>0</v>
      </c>
      <c r="AO242" s="180"/>
      <c r="AP242" s="180">
        <v>0</v>
      </c>
      <c r="AQ242" s="180">
        <v>-3757211</v>
      </c>
      <c r="AR242" s="180">
        <v>0</v>
      </c>
      <c r="AS242" s="180">
        <v>0</v>
      </c>
      <c r="AT242" s="180">
        <v>0</v>
      </c>
      <c r="AU242" s="180">
        <v>0</v>
      </c>
      <c r="AV242" s="180">
        <v>0</v>
      </c>
      <c r="AW242" s="180">
        <v>0</v>
      </c>
      <c r="AX242" s="180">
        <v>0</v>
      </c>
      <c r="AY242" s="180">
        <v>0</v>
      </c>
      <c r="AZ242" s="180">
        <v>0</v>
      </c>
      <c r="BA242" s="180">
        <v>0</v>
      </c>
      <c r="BB242" s="180">
        <v>0</v>
      </c>
      <c r="BC242" s="180">
        <v>0</v>
      </c>
      <c r="BD242" s="180">
        <v>0</v>
      </c>
      <c r="BE242" s="180">
        <v>0</v>
      </c>
      <c r="BF242" s="180">
        <v>0</v>
      </c>
      <c r="BG242" s="180">
        <v>0</v>
      </c>
      <c r="BH242" s="180">
        <v>0</v>
      </c>
      <c r="BI242" s="180">
        <v>0</v>
      </c>
      <c r="BJ242" s="180">
        <v>0</v>
      </c>
      <c r="BK242" s="180">
        <v>0</v>
      </c>
      <c r="BL242" s="180">
        <v>0</v>
      </c>
      <c r="BM242" s="180">
        <v>0</v>
      </c>
      <c r="BN242" s="180">
        <v>0</v>
      </c>
      <c r="BO242" s="180">
        <v>0</v>
      </c>
      <c r="BP242" s="180">
        <v>0</v>
      </c>
      <c r="BQ242" s="180">
        <v>0</v>
      </c>
      <c r="BR242" s="180"/>
      <c r="BS242" s="180">
        <v>0</v>
      </c>
      <c r="BT242" s="180"/>
      <c r="BU242" s="180">
        <v>0</v>
      </c>
      <c r="BV242" s="180">
        <v>0</v>
      </c>
      <c r="BW242" s="180">
        <v>0</v>
      </c>
      <c r="BX242" s="180">
        <v>0</v>
      </c>
      <c r="BY242" s="180"/>
      <c r="BZ242" s="180">
        <v>0</v>
      </c>
      <c r="CA242" s="180">
        <v>0</v>
      </c>
      <c r="CB242" s="180">
        <v>0</v>
      </c>
      <c r="CC242" s="180">
        <v>0</v>
      </c>
      <c r="CD242" s="180">
        <v>0</v>
      </c>
      <c r="CE242" s="180"/>
      <c r="CF242" s="180">
        <v>0</v>
      </c>
      <c r="CG242" s="180">
        <v>0</v>
      </c>
      <c r="CH242" s="180">
        <v>0</v>
      </c>
      <c r="CI242" s="180">
        <v>0</v>
      </c>
      <c r="CJ242" s="180"/>
      <c r="CK242" s="180">
        <v>0</v>
      </c>
      <c r="CL242" s="180"/>
      <c r="CM242" s="180"/>
      <c r="CN242" s="180"/>
      <c r="CO242" s="180"/>
      <c r="CP242" s="180"/>
      <c r="CQ242" s="180"/>
      <c r="CR242" s="180"/>
      <c r="CS242" s="180"/>
      <c r="CT242" s="180"/>
      <c r="CU242" s="180"/>
    </row>
    <row r="243" spans="1:99" x14ac:dyDescent="0.3">
      <c r="A243" s="155">
        <v>1053</v>
      </c>
      <c r="B243" s="180" t="s">
        <v>1767</v>
      </c>
      <c r="C243" s="180"/>
      <c r="D243" s="180">
        <v>0</v>
      </c>
      <c r="E243" s="180">
        <v>0</v>
      </c>
      <c r="F243" s="180">
        <v>0</v>
      </c>
      <c r="G243" s="180">
        <v>0</v>
      </c>
      <c r="H243" s="180"/>
      <c r="I243" s="180">
        <v>0</v>
      </c>
      <c r="J243" s="180">
        <v>0</v>
      </c>
      <c r="K243" s="180">
        <v>0</v>
      </c>
      <c r="L243" s="180">
        <v>0</v>
      </c>
      <c r="M243" s="180">
        <v>0</v>
      </c>
      <c r="N243" s="180"/>
      <c r="O243" s="180">
        <v>-11793397</v>
      </c>
      <c r="P243" s="180">
        <v>0</v>
      </c>
      <c r="Q243" s="180">
        <v>0</v>
      </c>
      <c r="R243" s="180">
        <v>0</v>
      </c>
      <c r="S243" s="180">
        <v>0</v>
      </c>
      <c r="T243" s="180">
        <v>0</v>
      </c>
      <c r="U243" s="180">
        <v>0</v>
      </c>
      <c r="V243" s="180">
        <v>0</v>
      </c>
      <c r="W243" s="180">
        <v>0</v>
      </c>
      <c r="X243" s="180">
        <v>0</v>
      </c>
      <c r="Y243" s="180">
        <v>-3321000</v>
      </c>
      <c r="Z243" s="180">
        <v>0</v>
      </c>
      <c r="AA243" s="180">
        <v>0</v>
      </c>
      <c r="AB243" s="180">
        <v>0</v>
      </c>
      <c r="AC243" s="180"/>
      <c r="AD243" s="180">
        <v>0</v>
      </c>
      <c r="AE243" s="180">
        <v>0</v>
      </c>
      <c r="AF243" s="180">
        <v>0</v>
      </c>
      <c r="AG243" s="180">
        <v>0</v>
      </c>
      <c r="AH243" s="180">
        <v>0</v>
      </c>
      <c r="AI243" s="180">
        <v>0</v>
      </c>
      <c r="AJ243" s="180">
        <v>0</v>
      </c>
      <c r="AK243" s="180">
        <v>0</v>
      </c>
      <c r="AL243" s="180">
        <v>0</v>
      </c>
      <c r="AM243" s="180"/>
      <c r="AN243" s="180">
        <v>0</v>
      </c>
      <c r="AO243" s="180"/>
      <c r="AP243" s="180">
        <v>0</v>
      </c>
      <c r="AQ243" s="180">
        <v>-4025584</v>
      </c>
      <c r="AR243" s="180">
        <v>0</v>
      </c>
      <c r="AS243" s="180">
        <v>0</v>
      </c>
      <c r="AT243" s="180">
        <v>0</v>
      </c>
      <c r="AU243" s="180">
        <v>0</v>
      </c>
      <c r="AV243" s="180">
        <v>0</v>
      </c>
      <c r="AW243" s="180">
        <v>0</v>
      </c>
      <c r="AX243" s="180">
        <v>0</v>
      </c>
      <c r="AY243" s="180">
        <v>0</v>
      </c>
      <c r="AZ243" s="180">
        <v>0</v>
      </c>
      <c r="BA243" s="180">
        <v>0</v>
      </c>
      <c r="BB243" s="180">
        <v>0</v>
      </c>
      <c r="BC243" s="180">
        <v>0</v>
      </c>
      <c r="BD243" s="180">
        <v>0</v>
      </c>
      <c r="BE243" s="180">
        <v>0</v>
      </c>
      <c r="BF243" s="180">
        <v>0</v>
      </c>
      <c r="BG243" s="180">
        <v>0</v>
      </c>
      <c r="BH243" s="180">
        <v>0</v>
      </c>
      <c r="BI243" s="180">
        <v>0</v>
      </c>
      <c r="BJ243" s="180">
        <v>0</v>
      </c>
      <c r="BK243" s="180">
        <v>0</v>
      </c>
      <c r="BL243" s="180">
        <v>0</v>
      </c>
      <c r="BM243" s="180">
        <v>0</v>
      </c>
      <c r="BN243" s="180">
        <v>0</v>
      </c>
      <c r="BO243" s="180">
        <v>0</v>
      </c>
      <c r="BP243" s="180">
        <v>-832734</v>
      </c>
      <c r="BQ243" s="180">
        <v>0</v>
      </c>
      <c r="BR243" s="180"/>
      <c r="BS243" s="180">
        <v>0</v>
      </c>
      <c r="BT243" s="180"/>
      <c r="BU243" s="180">
        <v>0</v>
      </c>
      <c r="BV243" s="180">
        <v>0</v>
      </c>
      <c r="BW243" s="180">
        <v>0</v>
      </c>
      <c r="BX243" s="180">
        <v>0</v>
      </c>
      <c r="BY243" s="180"/>
      <c r="BZ243" s="180">
        <v>0</v>
      </c>
      <c r="CA243" s="180">
        <v>0</v>
      </c>
      <c r="CB243" s="180">
        <v>0</v>
      </c>
      <c r="CC243" s="180">
        <v>0</v>
      </c>
      <c r="CD243" s="180">
        <v>0</v>
      </c>
      <c r="CE243" s="180"/>
      <c r="CF243" s="180">
        <v>0</v>
      </c>
      <c r="CG243" s="180">
        <v>0</v>
      </c>
      <c r="CH243" s="180">
        <v>0</v>
      </c>
      <c r="CI243" s="180">
        <v>0</v>
      </c>
      <c r="CJ243" s="180"/>
      <c r="CK243" s="180">
        <v>0</v>
      </c>
      <c r="CL243" s="180"/>
      <c r="CM243" s="180"/>
      <c r="CN243" s="180"/>
      <c r="CO243" s="180"/>
      <c r="CP243" s="180"/>
      <c r="CQ243" s="180"/>
      <c r="CR243" s="180"/>
      <c r="CS243" s="180"/>
      <c r="CT243" s="180"/>
      <c r="CU243" s="180"/>
    </row>
    <row r="244" spans="1:99" x14ac:dyDescent="0.3">
      <c r="A244" s="155">
        <v>1054</v>
      </c>
      <c r="B244" s="180" t="s">
        <v>1768</v>
      </c>
      <c r="C244" s="180"/>
      <c r="D244" s="180">
        <v>0</v>
      </c>
      <c r="E244" s="180">
        <v>0</v>
      </c>
      <c r="F244" s="180">
        <v>0</v>
      </c>
      <c r="G244" s="180">
        <v>0</v>
      </c>
      <c r="H244" s="180"/>
      <c r="I244" s="180">
        <v>0</v>
      </c>
      <c r="J244" s="180">
        <v>0</v>
      </c>
      <c r="K244" s="180">
        <v>0</v>
      </c>
      <c r="L244" s="180">
        <v>0</v>
      </c>
      <c r="M244" s="180">
        <v>0</v>
      </c>
      <c r="N244" s="180"/>
      <c r="O244" s="180">
        <v>0</v>
      </c>
      <c r="P244" s="180">
        <v>0</v>
      </c>
      <c r="Q244" s="180">
        <v>0</v>
      </c>
      <c r="R244" s="180">
        <v>0</v>
      </c>
      <c r="S244" s="180">
        <v>0</v>
      </c>
      <c r="T244" s="180">
        <v>0</v>
      </c>
      <c r="U244" s="180">
        <v>0</v>
      </c>
      <c r="V244" s="180">
        <v>0</v>
      </c>
      <c r="W244" s="180">
        <v>0</v>
      </c>
      <c r="X244" s="180">
        <v>0</v>
      </c>
      <c r="Y244" s="180">
        <v>0</v>
      </c>
      <c r="Z244" s="180">
        <v>0</v>
      </c>
      <c r="AA244" s="180">
        <v>0</v>
      </c>
      <c r="AB244" s="180">
        <v>0</v>
      </c>
      <c r="AC244" s="180"/>
      <c r="AD244" s="180">
        <v>0</v>
      </c>
      <c r="AE244" s="180">
        <v>0</v>
      </c>
      <c r="AF244" s="180">
        <v>0</v>
      </c>
      <c r="AG244" s="180">
        <v>0</v>
      </c>
      <c r="AH244" s="180">
        <v>0</v>
      </c>
      <c r="AI244" s="180">
        <v>0</v>
      </c>
      <c r="AJ244" s="180">
        <v>0</v>
      </c>
      <c r="AK244" s="180">
        <v>0</v>
      </c>
      <c r="AL244" s="180">
        <v>0</v>
      </c>
      <c r="AM244" s="180"/>
      <c r="AN244" s="180">
        <v>0</v>
      </c>
      <c r="AO244" s="180"/>
      <c r="AP244" s="180">
        <v>0</v>
      </c>
      <c r="AQ244" s="180">
        <v>-3948405</v>
      </c>
      <c r="AR244" s="180">
        <v>0</v>
      </c>
      <c r="AS244" s="180">
        <v>0</v>
      </c>
      <c r="AT244" s="180">
        <v>0</v>
      </c>
      <c r="AU244" s="180">
        <v>0</v>
      </c>
      <c r="AV244" s="180">
        <v>0</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c r="BS244" s="180">
        <v>0</v>
      </c>
      <c r="BT244" s="180"/>
      <c r="BU244" s="180">
        <v>0</v>
      </c>
      <c r="BV244" s="180">
        <v>0</v>
      </c>
      <c r="BW244" s="180">
        <v>0</v>
      </c>
      <c r="BX244" s="180">
        <v>0</v>
      </c>
      <c r="BY244" s="180"/>
      <c r="BZ244" s="180">
        <v>0</v>
      </c>
      <c r="CA244" s="180">
        <v>0</v>
      </c>
      <c r="CB244" s="180">
        <v>0</v>
      </c>
      <c r="CC244" s="180">
        <v>0</v>
      </c>
      <c r="CD244" s="180">
        <v>0</v>
      </c>
      <c r="CE244" s="180"/>
      <c r="CF244" s="180">
        <v>0</v>
      </c>
      <c r="CG244" s="180">
        <v>0</v>
      </c>
      <c r="CH244" s="180">
        <v>0</v>
      </c>
      <c r="CI244" s="180">
        <v>0</v>
      </c>
      <c r="CJ244" s="180"/>
      <c r="CK244" s="180">
        <v>0</v>
      </c>
      <c r="CL244" s="180"/>
      <c r="CM244" s="180"/>
      <c r="CN244" s="180"/>
      <c r="CO244" s="180"/>
      <c r="CP244" s="180"/>
      <c r="CQ244" s="180"/>
      <c r="CR244" s="180"/>
      <c r="CS244" s="180"/>
      <c r="CT244" s="180"/>
      <c r="CU244" s="180"/>
    </row>
    <row r="245" spans="1:99" s="556" customFormat="1" x14ac:dyDescent="0.3">
      <c r="A245" s="555">
        <v>1055</v>
      </c>
      <c r="B245" s="556" t="s">
        <v>1769</v>
      </c>
      <c r="D245" s="556">
        <v>2</v>
      </c>
      <c r="E245" s="556">
        <v>2</v>
      </c>
      <c r="F245" s="556">
        <v>2</v>
      </c>
      <c r="G245" s="556">
        <v>2</v>
      </c>
      <c r="I245" s="556">
        <v>2</v>
      </c>
      <c r="J245" s="556">
        <v>2</v>
      </c>
      <c r="K245" s="556">
        <v>2</v>
      </c>
      <c r="L245" s="556">
        <v>2</v>
      </c>
      <c r="M245" s="556">
        <v>2</v>
      </c>
      <c r="O245" s="556">
        <v>2</v>
      </c>
      <c r="P245" s="556">
        <v>2</v>
      </c>
      <c r="Q245" s="556">
        <v>2</v>
      </c>
      <c r="R245" s="556">
        <v>2</v>
      </c>
      <c r="S245" s="556">
        <v>2</v>
      </c>
      <c r="T245" s="556">
        <v>2</v>
      </c>
      <c r="U245" s="556">
        <v>2</v>
      </c>
      <c r="V245" s="556">
        <v>2</v>
      </c>
      <c r="W245" s="556">
        <v>2</v>
      </c>
      <c r="X245" s="556">
        <v>2</v>
      </c>
      <c r="Y245" s="556">
        <v>2</v>
      </c>
      <c r="Z245" s="556">
        <v>2</v>
      </c>
      <c r="AA245" s="556">
        <v>2</v>
      </c>
      <c r="AB245" s="556">
        <v>2</v>
      </c>
      <c r="AD245" s="556">
        <v>2</v>
      </c>
      <c r="AE245" s="556">
        <v>2</v>
      </c>
      <c r="AF245" s="556">
        <v>1</v>
      </c>
      <c r="AG245" s="556">
        <v>2</v>
      </c>
      <c r="AH245" s="556">
        <v>2</v>
      </c>
      <c r="AI245" s="556">
        <v>2</v>
      </c>
      <c r="AJ245" s="556">
        <v>2</v>
      </c>
      <c r="AK245" s="556">
        <v>2</v>
      </c>
      <c r="AL245" s="556">
        <v>1</v>
      </c>
      <c r="AN245" s="556">
        <v>2</v>
      </c>
      <c r="AP245" s="556">
        <v>2</v>
      </c>
      <c r="AQ245" s="556">
        <v>2</v>
      </c>
      <c r="AR245" s="556">
        <v>1</v>
      </c>
      <c r="AS245" s="556">
        <v>2</v>
      </c>
      <c r="AT245" s="556">
        <v>2</v>
      </c>
      <c r="AU245" s="556">
        <v>2</v>
      </c>
      <c r="AV245" s="556">
        <v>2</v>
      </c>
      <c r="AW245" s="556">
        <v>2</v>
      </c>
      <c r="AX245" s="556">
        <v>2</v>
      </c>
      <c r="AY245" s="556">
        <v>2</v>
      </c>
      <c r="AZ245" s="556">
        <v>2</v>
      </c>
      <c r="BA245" s="556">
        <v>2</v>
      </c>
      <c r="BB245" s="556">
        <v>2</v>
      </c>
      <c r="BC245" s="556">
        <v>2</v>
      </c>
      <c r="BD245" s="556">
        <v>2</v>
      </c>
      <c r="BE245" s="556">
        <v>2</v>
      </c>
      <c r="BF245" s="556">
        <v>2</v>
      </c>
      <c r="BG245" s="556">
        <v>2</v>
      </c>
      <c r="BH245" s="556">
        <v>2</v>
      </c>
      <c r="BI245" s="556">
        <v>1</v>
      </c>
      <c r="BJ245" s="556">
        <v>2</v>
      </c>
      <c r="BK245" s="556">
        <v>1</v>
      </c>
      <c r="BL245" s="556">
        <v>2</v>
      </c>
      <c r="BM245" s="556">
        <v>2</v>
      </c>
      <c r="BN245" s="556">
        <v>2</v>
      </c>
      <c r="BO245" s="556">
        <v>2</v>
      </c>
      <c r="BP245" s="556">
        <v>2</v>
      </c>
      <c r="BQ245" s="556">
        <v>2</v>
      </c>
      <c r="BS245" s="556">
        <v>2</v>
      </c>
      <c r="BU245" s="556">
        <v>1</v>
      </c>
      <c r="BV245" s="556">
        <v>2</v>
      </c>
      <c r="BW245" s="556">
        <v>2</v>
      </c>
      <c r="BX245" s="556">
        <v>2</v>
      </c>
      <c r="BZ245" s="556">
        <v>2</v>
      </c>
      <c r="CA245" s="556">
        <v>2</v>
      </c>
      <c r="CB245" s="556">
        <v>2</v>
      </c>
      <c r="CC245" s="556">
        <v>2</v>
      </c>
      <c r="CD245" s="556">
        <v>1</v>
      </c>
      <c r="CF245" s="556">
        <v>2</v>
      </c>
      <c r="CG245" s="556">
        <v>2</v>
      </c>
      <c r="CH245" s="556">
        <v>2</v>
      </c>
      <c r="CI245" s="556">
        <v>2</v>
      </c>
      <c r="CK245" s="556">
        <v>1</v>
      </c>
    </row>
    <row r="246" spans="1:99" s="556" customFormat="1" x14ac:dyDescent="0.3">
      <c r="A246" s="555">
        <v>1056</v>
      </c>
      <c r="B246" s="556" t="s">
        <v>1770</v>
      </c>
      <c r="D246" s="556">
        <v>2</v>
      </c>
      <c r="E246" s="556">
        <v>2</v>
      </c>
      <c r="F246" s="556">
        <v>2</v>
      </c>
      <c r="G246" s="556">
        <v>2</v>
      </c>
      <c r="I246" s="556">
        <v>2</v>
      </c>
      <c r="J246" s="556">
        <v>2</v>
      </c>
      <c r="K246" s="556">
        <v>2</v>
      </c>
      <c r="L246" s="556">
        <v>2</v>
      </c>
      <c r="M246" s="556">
        <v>2</v>
      </c>
      <c r="O246" s="556">
        <v>2</v>
      </c>
      <c r="P246" s="556">
        <v>2</v>
      </c>
      <c r="Q246" s="556">
        <v>2</v>
      </c>
      <c r="R246" s="556">
        <v>2</v>
      </c>
      <c r="S246" s="556">
        <v>2</v>
      </c>
      <c r="T246" s="556">
        <v>2</v>
      </c>
      <c r="U246" s="556">
        <v>2</v>
      </c>
      <c r="V246" s="556">
        <v>2</v>
      </c>
      <c r="W246" s="556">
        <v>2</v>
      </c>
      <c r="X246" s="556">
        <v>2</v>
      </c>
      <c r="Y246" s="556">
        <v>2</v>
      </c>
      <c r="Z246" s="556">
        <v>2</v>
      </c>
      <c r="AA246" s="556">
        <v>2</v>
      </c>
      <c r="AB246" s="556">
        <v>2</v>
      </c>
      <c r="AD246" s="556">
        <v>2</v>
      </c>
      <c r="AE246" s="556">
        <v>2</v>
      </c>
      <c r="AF246" s="556">
        <v>2</v>
      </c>
      <c r="AG246" s="556">
        <v>2</v>
      </c>
      <c r="AH246" s="556">
        <v>2</v>
      </c>
      <c r="AI246" s="556">
        <v>2</v>
      </c>
      <c r="AJ246" s="556">
        <v>2</v>
      </c>
      <c r="AK246" s="556">
        <v>2</v>
      </c>
      <c r="AL246" s="556">
        <v>1</v>
      </c>
      <c r="AN246" s="556">
        <v>2</v>
      </c>
      <c r="AP246" s="556">
        <v>2</v>
      </c>
      <c r="AQ246" s="556">
        <v>2</v>
      </c>
      <c r="AR246" s="556">
        <v>1</v>
      </c>
      <c r="AS246" s="556">
        <v>2</v>
      </c>
      <c r="AT246" s="556">
        <v>2</v>
      </c>
      <c r="AU246" s="556">
        <v>2</v>
      </c>
      <c r="AV246" s="556">
        <v>2</v>
      </c>
      <c r="AW246" s="556">
        <v>2</v>
      </c>
      <c r="AX246" s="556">
        <v>1</v>
      </c>
      <c r="AY246" s="556">
        <v>2</v>
      </c>
      <c r="AZ246" s="556">
        <v>2</v>
      </c>
      <c r="BA246" s="556">
        <v>2</v>
      </c>
      <c r="BB246" s="556">
        <v>2</v>
      </c>
      <c r="BC246" s="556">
        <v>2</v>
      </c>
      <c r="BD246" s="556">
        <v>2</v>
      </c>
      <c r="BE246" s="556">
        <v>2</v>
      </c>
      <c r="BF246" s="556">
        <v>2</v>
      </c>
      <c r="BG246" s="556">
        <v>2</v>
      </c>
      <c r="BH246" s="556">
        <v>2</v>
      </c>
      <c r="BI246" s="556">
        <v>2</v>
      </c>
      <c r="BJ246" s="556">
        <v>2</v>
      </c>
      <c r="BK246" s="556">
        <v>2</v>
      </c>
      <c r="BL246" s="556">
        <v>2</v>
      </c>
      <c r="BM246" s="556">
        <v>2</v>
      </c>
      <c r="BN246" s="556">
        <v>2</v>
      </c>
      <c r="BO246" s="556">
        <v>2</v>
      </c>
      <c r="BP246" s="556">
        <v>2</v>
      </c>
      <c r="BQ246" s="556">
        <v>1</v>
      </c>
      <c r="BS246" s="556">
        <v>2</v>
      </c>
      <c r="BU246" s="556">
        <v>1</v>
      </c>
      <c r="BV246" s="556">
        <v>2</v>
      </c>
      <c r="BW246" s="556">
        <v>2</v>
      </c>
      <c r="BX246" s="556">
        <v>2</v>
      </c>
      <c r="BZ246" s="556">
        <v>2</v>
      </c>
      <c r="CA246" s="556">
        <v>2</v>
      </c>
      <c r="CB246" s="556">
        <v>2</v>
      </c>
      <c r="CC246" s="556">
        <v>2</v>
      </c>
      <c r="CD246" s="556">
        <v>1</v>
      </c>
      <c r="CF246" s="556">
        <v>2</v>
      </c>
      <c r="CG246" s="556">
        <v>2</v>
      </c>
      <c r="CH246" s="556">
        <v>2</v>
      </c>
      <c r="CI246" s="556">
        <v>2</v>
      </c>
      <c r="CK246" s="556">
        <v>1</v>
      </c>
    </row>
    <row r="247" spans="1:99" s="556" customFormat="1" x14ac:dyDescent="0.3">
      <c r="A247" s="555">
        <v>1057</v>
      </c>
      <c r="B247" s="556" t="s">
        <v>1536</v>
      </c>
      <c r="D247" s="556">
        <v>2</v>
      </c>
      <c r="E247" s="556">
        <v>2</v>
      </c>
      <c r="F247" s="556">
        <v>1</v>
      </c>
      <c r="G247" s="556">
        <v>2</v>
      </c>
      <c r="I247" s="556">
        <v>1</v>
      </c>
      <c r="J247" s="556">
        <v>2</v>
      </c>
      <c r="K247" s="556">
        <v>2</v>
      </c>
      <c r="L247" s="556">
        <v>2</v>
      </c>
      <c r="M247" s="556">
        <v>2</v>
      </c>
      <c r="O247" s="556">
        <v>2</v>
      </c>
      <c r="P247" s="556">
        <v>2</v>
      </c>
      <c r="Q247" s="556">
        <v>2</v>
      </c>
      <c r="R247" s="556">
        <v>2</v>
      </c>
      <c r="S247" s="556">
        <v>2</v>
      </c>
      <c r="T247" s="556">
        <v>2</v>
      </c>
      <c r="U247" s="556">
        <v>2</v>
      </c>
      <c r="V247" s="556">
        <v>1</v>
      </c>
      <c r="W247" s="556">
        <v>2</v>
      </c>
      <c r="X247" s="556">
        <v>2</v>
      </c>
      <c r="Y247" s="556">
        <v>2</v>
      </c>
      <c r="Z247" s="556">
        <v>2</v>
      </c>
      <c r="AA247" s="556">
        <v>1</v>
      </c>
      <c r="AB247" s="556">
        <v>2</v>
      </c>
      <c r="AD247" s="556">
        <v>2</v>
      </c>
      <c r="AE247" s="556">
        <v>2</v>
      </c>
      <c r="AF247" s="556">
        <v>2</v>
      </c>
      <c r="AG247" s="556">
        <v>2</v>
      </c>
      <c r="AH247" s="556">
        <v>2</v>
      </c>
      <c r="AI247" s="556">
        <v>2</v>
      </c>
      <c r="AJ247" s="556">
        <v>2</v>
      </c>
      <c r="AK247" s="556">
        <v>2</v>
      </c>
      <c r="AL247" s="556">
        <v>2</v>
      </c>
      <c r="AN247" s="556">
        <v>2</v>
      </c>
      <c r="AP247" s="556">
        <v>2</v>
      </c>
      <c r="AQ247" s="556">
        <v>2</v>
      </c>
      <c r="AR247" s="556">
        <v>1</v>
      </c>
      <c r="AS247" s="556">
        <v>2</v>
      </c>
      <c r="AT247" s="556">
        <v>1</v>
      </c>
      <c r="AU247" s="556">
        <v>2</v>
      </c>
      <c r="AV247" s="556">
        <v>2</v>
      </c>
      <c r="AW247" s="556">
        <v>2</v>
      </c>
      <c r="AX247" s="556">
        <v>1</v>
      </c>
      <c r="AY247" s="556">
        <v>2</v>
      </c>
      <c r="AZ247" s="556">
        <v>2</v>
      </c>
      <c r="BA247" s="556">
        <v>2</v>
      </c>
      <c r="BB247" s="556">
        <v>2</v>
      </c>
      <c r="BC247" s="556">
        <v>2</v>
      </c>
      <c r="BD247" s="556">
        <v>2</v>
      </c>
      <c r="BE247" s="556">
        <v>2</v>
      </c>
      <c r="BF247" s="556">
        <v>2</v>
      </c>
      <c r="BG247" s="556">
        <v>2</v>
      </c>
      <c r="BH247" s="556">
        <v>1</v>
      </c>
      <c r="BI247" s="556">
        <v>2</v>
      </c>
      <c r="BJ247" s="556">
        <v>2</v>
      </c>
      <c r="BK247" s="556">
        <v>1</v>
      </c>
      <c r="BL247" s="556">
        <v>2</v>
      </c>
      <c r="BM247" s="556">
        <v>1</v>
      </c>
      <c r="BN247" s="556">
        <v>2</v>
      </c>
      <c r="BO247" s="556">
        <v>1</v>
      </c>
      <c r="BP247" s="556">
        <v>2</v>
      </c>
      <c r="BQ247" s="556">
        <v>2</v>
      </c>
      <c r="BS247" s="556">
        <v>1</v>
      </c>
      <c r="BU247" s="556">
        <v>1</v>
      </c>
      <c r="BV247" s="556">
        <v>2</v>
      </c>
      <c r="BW247" s="556">
        <v>2</v>
      </c>
      <c r="BX247" s="556">
        <v>2</v>
      </c>
      <c r="BZ247" s="556">
        <v>2</v>
      </c>
      <c r="CA247" s="556">
        <v>2</v>
      </c>
      <c r="CB247" s="556">
        <v>2</v>
      </c>
      <c r="CC247" s="556">
        <v>2</v>
      </c>
      <c r="CD247" s="556">
        <v>2</v>
      </c>
      <c r="CF247" s="556">
        <v>1</v>
      </c>
      <c r="CG247" s="556">
        <v>2</v>
      </c>
      <c r="CH247" s="556">
        <v>1</v>
      </c>
      <c r="CI247" s="556">
        <v>2</v>
      </c>
      <c r="CK247" s="556">
        <v>2</v>
      </c>
    </row>
    <row r="248" spans="1:99" s="556" customFormat="1" x14ac:dyDescent="0.3">
      <c r="A248" s="555">
        <v>1058</v>
      </c>
      <c r="B248" s="556" t="s">
        <v>1537</v>
      </c>
      <c r="D248" s="556">
        <v>2</v>
      </c>
      <c r="E248" s="556">
        <v>2</v>
      </c>
      <c r="F248" s="556">
        <v>2</v>
      </c>
      <c r="G248" s="556">
        <v>2</v>
      </c>
      <c r="I248" s="556">
        <v>2</v>
      </c>
      <c r="J248" s="556">
        <v>2</v>
      </c>
      <c r="K248" s="556">
        <v>2</v>
      </c>
      <c r="L248" s="556">
        <v>2</v>
      </c>
      <c r="M248" s="556">
        <v>2</v>
      </c>
      <c r="O248" s="556">
        <v>2</v>
      </c>
      <c r="P248" s="556">
        <v>2</v>
      </c>
      <c r="Q248" s="556">
        <v>2</v>
      </c>
      <c r="R248" s="556">
        <v>2</v>
      </c>
      <c r="S248" s="556">
        <v>2</v>
      </c>
      <c r="T248" s="556">
        <v>2</v>
      </c>
      <c r="U248" s="556">
        <v>2</v>
      </c>
      <c r="V248" s="556">
        <v>2</v>
      </c>
      <c r="W248" s="556">
        <v>2</v>
      </c>
      <c r="X248" s="556">
        <v>2</v>
      </c>
      <c r="Y248" s="556">
        <v>2</v>
      </c>
      <c r="Z248" s="556">
        <v>2</v>
      </c>
      <c r="AA248" s="556">
        <v>1</v>
      </c>
      <c r="AB248" s="556">
        <v>2</v>
      </c>
      <c r="AD248" s="556">
        <v>2</v>
      </c>
      <c r="AE248" s="556">
        <v>2</v>
      </c>
      <c r="AF248" s="556">
        <v>2</v>
      </c>
      <c r="AG248" s="556">
        <v>2</v>
      </c>
      <c r="AH248" s="556">
        <v>2</v>
      </c>
      <c r="AI248" s="556">
        <v>2</v>
      </c>
      <c r="AJ248" s="556">
        <v>2</v>
      </c>
      <c r="AK248" s="556">
        <v>2</v>
      </c>
      <c r="AL248" s="556">
        <v>1</v>
      </c>
      <c r="AN248" s="556">
        <v>1</v>
      </c>
      <c r="AP248" s="556">
        <v>2</v>
      </c>
      <c r="AQ248" s="556">
        <v>2</v>
      </c>
      <c r="AR248" s="556">
        <v>1</v>
      </c>
      <c r="AS248" s="556">
        <v>2</v>
      </c>
      <c r="AT248" s="556">
        <v>2</v>
      </c>
      <c r="AU248" s="556">
        <v>2</v>
      </c>
      <c r="AV248" s="556">
        <v>2</v>
      </c>
      <c r="AW248" s="556">
        <v>2</v>
      </c>
      <c r="AX248" s="556">
        <v>1</v>
      </c>
      <c r="AY248" s="556">
        <v>2</v>
      </c>
      <c r="AZ248" s="556">
        <v>2</v>
      </c>
      <c r="BA248" s="556">
        <v>1</v>
      </c>
      <c r="BB248" s="556">
        <v>2</v>
      </c>
      <c r="BC248" s="556">
        <v>2</v>
      </c>
      <c r="BD248" s="556">
        <v>2</v>
      </c>
      <c r="BE248" s="556">
        <v>2</v>
      </c>
      <c r="BF248" s="556">
        <v>2</v>
      </c>
      <c r="BG248" s="556">
        <v>2</v>
      </c>
      <c r="BH248" s="556">
        <v>2</v>
      </c>
      <c r="BI248" s="556">
        <v>2</v>
      </c>
      <c r="BJ248" s="556">
        <v>2</v>
      </c>
      <c r="BK248" s="556">
        <v>1</v>
      </c>
      <c r="BL248" s="556">
        <v>2</v>
      </c>
      <c r="BM248" s="556">
        <v>2</v>
      </c>
      <c r="BN248" s="556">
        <v>2</v>
      </c>
      <c r="BO248" s="556">
        <v>1</v>
      </c>
      <c r="BP248" s="556">
        <v>2</v>
      </c>
      <c r="BQ248" s="556">
        <v>2</v>
      </c>
      <c r="BS248" s="556">
        <v>2</v>
      </c>
      <c r="BU248" s="556">
        <v>1</v>
      </c>
      <c r="BV248" s="556">
        <v>2</v>
      </c>
      <c r="BW248" s="556">
        <v>2</v>
      </c>
      <c r="BX248" s="556">
        <v>2</v>
      </c>
      <c r="BZ248" s="556">
        <v>2</v>
      </c>
      <c r="CA248" s="556">
        <v>2</v>
      </c>
      <c r="CB248" s="556">
        <v>2</v>
      </c>
      <c r="CC248" s="556">
        <v>2</v>
      </c>
      <c r="CD248" s="556">
        <v>1</v>
      </c>
      <c r="CF248" s="556">
        <v>2</v>
      </c>
      <c r="CG248" s="556">
        <v>2</v>
      </c>
      <c r="CH248" s="556">
        <v>2</v>
      </c>
      <c r="CI248" s="556">
        <v>2</v>
      </c>
      <c r="CK248" s="556">
        <v>1</v>
      </c>
    </row>
    <row r="249" spans="1:99" s="556" customFormat="1" x14ac:dyDescent="0.3">
      <c r="A249" s="555">
        <v>1059</v>
      </c>
      <c r="B249" s="556" t="s">
        <v>1771</v>
      </c>
      <c r="D249" s="556">
        <v>1</v>
      </c>
      <c r="E249" s="556">
        <v>1</v>
      </c>
      <c r="F249" s="556">
        <v>1</v>
      </c>
      <c r="G249" s="556">
        <v>1</v>
      </c>
      <c r="I249" s="556">
        <v>1</v>
      </c>
      <c r="J249" s="556">
        <v>1</v>
      </c>
      <c r="K249" s="556">
        <v>1</v>
      </c>
      <c r="L249" s="556">
        <v>1</v>
      </c>
      <c r="M249" s="556">
        <v>1</v>
      </c>
      <c r="O249" s="556">
        <v>1</v>
      </c>
      <c r="P249" s="556">
        <v>1</v>
      </c>
      <c r="Q249" s="556">
        <v>1</v>
      </c>
      <c r="R249" s="556">
        <v>1</v>
      </c>
      <c r="S249" s="556">
        <v>1</v>
      </c>
      <c r="T249" s="556">
        <v>1</v>
      </c>
      <c r="U249" s="556">
        <v>1</v>
      </c>
      <c r="V249" s="556">
        <v>1</v>
      </c>
      <c r="W249" s="556">
        <v>1</v>
      </c>
      <c r="X249" s="556">
        <v>1</v>
      </c>
      <c r="Y249" s="556">
        <v>1</v>
      </c>
      <c r="Z249" s="556">
        <v>1</v>
      </c>
      <c r="AA249" s="556">
        <v>1</v>
      </c>
      <c r="AB249" s="556">
        <v>1</v>
      </c>
      <c r="AD249" s="556">
        <v>1</v>
      </c>
      <c r="AE249" s="556">
        <v>1</v>
      </c>
      <c r="AF249" s="556">
        <v>1</v>
      </c>
      <c r="AG249" s="556">
        <v>1</v>
      </c>
      <c r="AH249" s="556">
        <v>1</v>
      </c>
      <c r="AI249" s="556">
        <v>1</v>
      </c>
      <c r="AJ249" s="556">
        <v>1</v>
      </c>
      <c r="AK249" s="556">
        <v>1</v>
      </c>
      <c r="AL249" s="556">
        <v>1</v>
      </c>
      <c r="AN249" s="556">
        <v>1</v>
      </c>
      <c r="AP249" s="556">
        <v>1</v>
      </c>
      <c r="AQ249" s="556">
        <v>1</v>
      </c>
      <c r="AR249" s="556">
        <v>2</v>
      </c>
      <c r="AS249" s="556">
        <v>1</v>
      </c>
      <c r="AT249" s="556">
        <v>1</v>
      </c>
      <c r="AU249" s="556">
        <v>1</v>
      </c>
      <c r="AV249" s="556">
        <v>1</v>
      </c>
      <c r="AW249" s="556">
        <v>1</v>
      </c>
      <c r="AX249" s="556">
        <v>1</v>
      </c>
      <c r="AY249" s="556">
        <v>1</v>
      </c>
      <c r="AZ249" s="556">
        <v>2</v>
      </c>
      <c r="BA249" s="556">
        <v>1</v>
      </c>
      <c r="BB249" s="556">
        <v>1</v>
      </c>
      <c r="BC249" s="556">
        <v>1</v>
      </c>
      <c r="BD249" s="556">
        <v>1</v>
      </c>
      <c r="BE249" s="556">
        <v>1</v>
      </c>
      <c r="BF249" s="556">
        <v>1</v>
      </c>
      <c r="BG249" s="556">
        <v>1</v>
      </c>
      <c r="BH249" s="556">
        <v>1</v>
      </c>
      <c r="BI249" s="556">
        <v>1</v>
      </c>
      <c r="BJ249" s="556">
        <v>1</v>
      </c>
      <c r="BK249" s="556">
        <v>1</v>
      </c>
      <c r="BL249" s="556">
        <v>1</v>
      </c>
      <c r="BM249" s="556">
        <v>1</v>
      </c>
      <c r="BN249" s="556">
        <v>1</v>
      </c>
      <c r="BO249" s="556">
        <v>1</v>
      </c>
      <c r="BP249" s="556">
        <v>1</v>
      </c>
      <c r="BQ249" s="556">
        <v>1</v>
      </c>
      <c r="BS249" s="556">
        <v>1</v>
      </c>
      <c r="BU249" s="556">
        <v>1</v>
      </c>
      <c r="BV249" s="556">
        <v>1</v>
      </c>
      <c r="BW249" s="556">
        <v>1</v>
      </c>
      <c r="BX249" s="556">
        <v>1</v>
      </c>
      <c r="BZ249" s="556">
        <v>1</v>
      </c>
      <c r="CA249" s="556">
        <v>1</v>
      </c>
      <c r="CB249" s="556">
        <v>1</v>
      </c>
      <c r="CC249" s="556">
        <v>1</v>
      </c>
      <c r="CD249" s="556">
        <v>1</v>
      </c>
      <c r="CF249" s="556">
        <v>1</v>
      </c>
      <c r="CG249" s="556">
        <v>1</v>
      </c>
      <c r="CH249" s="556">
        <v>1</v>
      </c>
      <c r="CI249" s="556">
        <v>1</v>
      </c>
      <c r="CK249" s="556">
        <v>1</v>
      </c>
    </row>
    <row r="250" spans="1:99" s="561" customFormat="1" x14ac:dyDescent="0.3">
      <c r="A250" s="560">
        <v>1060</v>
      </c>
      <c r="B250" s="561" t="s">
        <v>1772</v>
      </c>
      <c r="D250" s="561">
        <v>0</v>
      </c>
      <c r="E250" s="561">
        <v>222041</v>
      </c>
      <c r="F250" s="561">
        <v>0</v>
      </c>
      <c r="G250" s="561">
        <v>410</v>
      </c>
      <c r="I250" s="561">
        <v>692689</v>
      </c>
      <c r="J250" s="561">
        <v>63837</v>
      </c>
      <c r="K250" s="561">
        <v>281312</v>
      </c>
      <c r="L250" s="561">
        <v>617799</v>
      </c>
      <c r="M250" s="561">
        <v>306522</v>
      </c>
      <c r="O250" s="561">
        <v>1000000</v>
      </c>
      <c r="P250" s="561">
        <v>0</v>
      </c>
      <c r="Q250" s="561">
        <v>43024</v>
      </c>
      <c r="R250" s="561">
        <v>0</v>
      </c>
      <c r="S250" s="561">
        <v>99467</v>
      </c>
      <c r="T250" s="561">
        <v>0</v>
      </c>
      <c r="U250" s="561">
        <v>7500</v>
      </c>
      <c r="V250" s="561">
        <v>31073</v>
      </c>
      <c r="W250" s="561">
        <v>75585</v>
      </c>
      <c r="X250" s="561">
        <v>431945</v>
      </c>
      <c r="Y250" s="561">
        <v>13449000</v>
      </c>
      <c r="Z250" s="561">
        <v>967565</v>
      </c>
      <c r="AA250" s="561">
        <v>0</v>
      </c>
      <c r="AB250" s="561">
        <v>58996</v>
      </c>
      <c r="AD250" s="561">
        <v>0</v>
      </c>
      <c r="AE250" s="561">
        <v>0</v>
      </c>
      <c r="AF250" s="561">
        <v>0</v>
      </c>
      <c r="AG250" s="561">
        <v>0</v>
      </c>
      <c r="AH250" s="561">
        <v>138952</v>
      </c>
      <c r="AI250" s="561">
        <v>2694132</v>
      </c>
      <c r="AJ250" s="561">
        <v>0</v>
      </c>
      <c r="AK250" s="561">
        <v>0</v>
      </c>
      <c r="AL250" s="561">
        <v>0</v>
      </c>
      <c r="AN250" s="561">
        <v>64904</v>
      </c>
      <c r="AP250" s="561">
        <v>0</v>
      </c>
      <c r="AQ250" s="561">
        <v>679220</v>
      </c>
      <c r="AR250" s="561">
        <v>0</v>
      </c>
      <c r="AS250" s="561">
        <v>0</v>
      </c>
      <c r="AT250" s="561">
        <v>1360838</v>
      </c>
      <c r="AU250" s="561">
        <v>0</v>
      </c>
      <c r="AV250" s="561">
        <v>0</v>
      </c>
      <c r="AW250" s="561">
        <v>0</v>
      </c>
      <c r="AX250" s="561">
        <v>61827</v>
      </c>
      <c r="AY250" s="561">
        <v>710377</v>
      </c>
      <c r="AZ250" s="561">
        <v>734916</v>
      </c>
      <c r="BA250" s="561">
        <v>0</v>
      </c>
      <c r="BB250" s="561">
        <v>38084</v>
      </c>
      <c r="BC250" s="561">
        <v>0</v>
      </c>
      <c r="BD250" s="561">
        <v>0</v>
      </c>
      <c r="BE250" s="561">
        <v>406321</v>
      </c>
      <c r="BF250" s="561">
        <v>267705</v>
      </c>
      <c r="BG250" s="561">
        <v>0</v>
      </c>
      <c r="BH250" s="561">
        <v>0</v>
      </c>
      <c r="BI250" s="561">
        <v>0</v>
      </c>
      <c r="BJ250" s="561">
        <v>65537</v>
      </c>
      <c r="BK250" s="561">
        <v>0</v>
      </c>
      <c r="BL250" s="561">
        <v>0</v>
      </c>
      <c r="BM250" s="561">
        <v>0</v>
      </c>
      <c r="BN250" s="561">
        <v>0</v>
      </c>
      <c r="BO250" s="561">
        <v>0</v>
      </c>
      <c r="BP250" s="561">
        <v>7766925</v>
      </c>
      <c r="BQ250" s="561">
        <v>0</v>
      </c>
      <c r="BS250" s="561">
        <v>13247</v>
      </c>
      <c r="BU250" s="561">
        <v>247150</v>
      </c>
      <c r="BV250" s="561">
        <v>0</v>
      </c>
      <c r="BW250" s="561">
        <v>580790</v>
      </c>
      <c r="BX250" s="561">
        <v>116568</v>
      </c>
      <c r="BZ250" s="561">
        <v>538280</v>
      </c>
      <c r="CA250" s="561">
        <v>70751</v>
      </c>
      <c r="CB250" s="561">
        <v>639148</v>
      </c>
      <c r="CC250" s="561">
        <v>0</v>
      </c>
      <c r="CD250" s="561">
        <v>145426</v>
      </c>
      <c r="CF250" s="561">
        <v>0</v>
      </c>
      <c r="CG250" s="561">
        <v>588794</v>
      </c>
      <c r="CH250" s="561">
        <v>200749</v>
      </c>
      <c r="CI250" s="561">
        <v>227701</v>
      </c>
      <c r="CK250" s="561">
        <v>22628</v>
      </c>
    </row>
    <row r="251" spans="1:99" s="561" customFormat="1" x14ac:dyDescent="0.3">
      <c r="A251" s="560">
        <v>1061</v>
      </c>
      <c r="B251" s="561" t="s">
        <v>1773</v>
      </c>
      <c r="D251" s="561">
        <v>0</v>
      </c>
      <c r="E251" s="561">
        <v>0</v>
      </c>
      <c r="F251" s="561">
        <v>0</v>
      </c>
      <c r="G251" s="561">
        <v>0</v>
      </c>
      <c r="I251" s="561">
        <v>0</v>
      </c>
      <c r="J251" s="561">
        <v>0</v>
      </c>
      <c r="K251" s="561">
        <v>1019672</v>
      </c>
      <c r="L251" s="561">
        <v>0</v>
      </c>
      <c r="M251" s="561">
        <v>244795</v>
      </c>
      <c r="O251" s="561">
        <v>5638700</v>
      </c>
      <c r="P251" s="561">
        <v>0</v>
      </c>
      <c r="Q251" s="561">
        <v>0</v>
      </c>
      <c r="R251" s="561">
        <v>68679</v>
      </c>
      <c r="S251" s="561">
        <v>0</v>
      </c>
      <c r="T251" s="561">
        <v>0</v>
      </c>
      <c r="U251" s="561">
        <v>40305</v>
      </c>
      <c r="V251" s="561">
        <v>0</v>
      </c>
      <c r="W251" s="561">
        <v>0</v>
      </c>
      <c r="X251" s="561">
        <v>60000</v>
      </c>
      <c r="Y251" s="561">
        <v>2236000</v>
      </c>
      <c r="Z251" s="561">
        <v>0</v>
      </c>
      <c r="AA251" s="561">
        <v>0</v>
      </c>
      <c r="AB251" s="561">
        <v>0</v>
      </c>
      <c r="AD251" s="561">
        <v>0</v>
      </c>
      <c r="AE251" s="561">
        <v>117599</v>
      </c>
      <c r="AF251" s="561">
        <v>0</v>
      </c>
      <c r="AG251" s="561">
        <v>0</v>
      </c>
      <c r="AH251" s="561">
        <v>0</v>
      </c>
      <c r="AI251" s="561">
        <v>0</v>
      </c>
      <c r="AJ251" s="561">
        <v>0</v>
      </c>
      <c r="AK251" s="561">
        <v>398372</v>
      </c>
      <c r="AL251" s="561">
        <v>0</v>
      </c>
      <c r="AN251" s="561">
        <v>56042</v>
      </c>
      <c r="AP251" s="561">
        <v>0</v>
      </c>
      <c r="AQ251" s="561">
        <v>14255872</v>
      </c>
      <c r="AR251" s="561">
        <v>0</v>
      </c>
      <c r="AS251" s="561">
        <v>191899</v>
      </c>
      <c r="AT251" s="561">
        <v>0</v>
      </c>
      <c r="AU251" s="561">
        <v>0</v>
      </c>
      <c r="AV251" s="561">
        <v>0</v>
      </c>
      <c r="AW251" s="561">
        <v>9642828</v>
      </c>
      <c r="AX251" s="561">
        <v>0</v>
      </c>
      <c r="AY251" s="561">
        <v>0</v>
      </c>
      <c r="AZ251" s="561">
        <v>0</v>
      </c>
      <c r="BA251" s="561">
        <v>0</v>
      </c>
      <c r="BB251" s="561">
        <v>0</v>
      </c>
      <c r="BC251" s="561">
        <v>0</v>
      </c>
      <c r="BD251" s="561">
        <v>29161</v>
      </c>
      <c r="BE251" s="561">
        <v>0</v>
      </c>
      <c r="BF251" s="561">
        <v>0</v>
      </c>
      <c r="BG251" s="561">
        <v>0</v>
      </c>
      <c r="BH251" s="561">
        <v>118460</v>
      </c>
      <c r="BI251" s="561">
        <v>0</v>
      </c>
      <c r="BJ251" s="561">
        <v>0</v>
      </c>
      <c r="BK251" s="561">
        <v>0</v>
      </c>
      <c r="BL251" s="561">
        <v>295433</v>
      </c>
      <c r="BM251" s="561">
        <v>50195</v>
      </c>
      <c r="BN251" s="561">
        <v>0</v>
      </c>
      <c r="BO251" s="561">
        <v>3148551</v>
      </c>
      <c r="BP251" s="561">
        <v>44114808</v>
      </c>
      <c r="BQ251" s="561">
        <v>0</v>
      </c>
      <c r="BS251" s="561">
        <v>82522</v>
      </c>
      <c r="BU251" s="561">
        <v>0</v>
      </c>
      <c r="BV251" s="561">
        <v>597518</v>
      </c>
      <c r="BW251" s="561">
        <v>1791275</v>
      </c>
      <c r="BX251" s="561">
        <v>618666</v>
      </c>
      <c r="BZ251" s="561">
        <v>63</v>
      </c>
      <c r="CA251" s="561">
        <v>0</v>
      </c>
      <c r="CB251" s="561">
        <v>0</v>
      </c>
      <c r="CC251" s="561">
        <v>0</v>
      </c>
      <c r="CD251" s="561">
        <v>10417</v>
      </c>
      <c r="CF251" s="561">
        <v>1950056</v>
      </c>
      <c r="CG251" s="561">
        <v>0</v>
      </c>
      <c r="CH251" s="561">
        <v>161610</v>
      </c>
      <c r="CI251" s="561">
        <v>593901</v>
      </c>
      <c r="CK251" s="561">
        <v>0</v>
      </c>
    </row>
    <row r="252" spans="1:99" s="561" customFormat="1" x14ac:dyDescent="0.3">
      <c r="A252" s="560">
        <v>1062</v>
      </c>
      <c r="B252" s="561" t="s">
        <v>1774</v>
      </c>
      <c r="D252" s="561">
        <v>1</v>
      </c>
      <c r="E252" s="561">
        <v>1</v>
      </c>
      <c r="F252" s="561">
        <v>3</v>
      </c>
      <c r="G252" s="561">
        <v>1</v>
      </c>
      <c r="I252" s="561">
        <v>1</v>
      </c>
      <c r="J252" s="561">
        <v>1</v>
      </c>
      <c r="K252" s="561">
        <v>1</v>
      </c>
      <c r="L252" s="561">
        <v>1</v>
      </c>
      <c r="M252" s="561">
        <v>1</v>
      </c>
      <c r="O252" s="561">
        <v>1</v>
      </c>
      <c r="P252" s="561">
        <v>0</v>
      </c>
      <c r="Q252" s="561">
        <v>1</v>
      </c>
      <c r="R252" s="561">
        <v>1</v>
      </c>
      <c r="S252" s="561">
        <v>1</v>
      </c>
      <c r="T252" s="561">
        <v>0</v>
      </c>
      <c r="U252" s="561">
        <v>1</v>
      </c>
      <c r="V252" s="561">
        <v>1</v>
      </c>
      <c r="W252" s="561">
        <v>1</v>
      </c>
      <c r="X252" s="561">
        <v>1</v>
      </c>
      <c r="Y252" s="561">
        <v>1</v>
      </c>
      <c r="Z252" s="561">
        <v>1</v>
      </c>
      <c r="AA252" s="561">
        <v>1</v>
      </c>
      <c r="AB252" s="561">
        <v>1</v>
      </c>
      <c r="AD252" s="561">
        <v>1</v>
      </c>
      <c r="AE252" s="561">
        <v>1</v>
      </c>
      <c r="AF252" s="561">
        <v>1</v>
      </c>
      <c r="AG252" s="561">
        <v>0</v>
      </c>
      <c r="AH252" s="561">
        <v>1</v>
      </c>
      <c r="AI252" s="561">
        <v>1</v>
      </c>
      <c r="AJ252" s="561">
        <v>1</v>
      </c>
      <c r="AK252" s="561">
        <v>1</v>
      </c>
      <c r="AL252" s="561">
        <v>1</v>
      </c>
      <c r="AN252" s="561">
        <v>1</v>
      </c>
      <c r="AP252" s="561">
        <v>0</v>
      </c>
      <c r="AQ252" s="561">
        <v>1</v>
      </c>
      <c r="AR252" s="561">
        <v>1</v>
      </c>
      <c r="AS252" s="561">
        <v>1</v>
      </c>
      <c r="AT252" s="561">
        <v>1</v>
      </c>
      <c r="AU252" s="561">
        <v>0</v>
      </c>
      <c r="AV252" s="561">
        <v>1</v>
      </c>
      <c r="AW252" s="561">
        <v>1</v>
      </c>
      <c r="AX252" s="561">
        <v>1</v>
      </c>
      <c r="AY252" s="561">
        <v>1</v>
      </c>
      <c r="AZ252" s="561">
        <v>1</v>
      </c>
      <c r="BA252" s="561">
        <v>1</v>
      </c>
      <c r="BB252" s="561">
        <v>1</v>
      </c>
      <c r="BC252" s="561">
        <v>1</v>
      </c>
      <c r="BD252" s="561">
        <v>1</v>
      </c>
      <c r="BE252" s="561">
        <v>1</v>
      </c>
      <c r="BF252" s="561">
        <v>1</v>
      </c>
      <c r="BG252" s="561">
        <v>1</v>
      </c>
      <c r="BH252" s="561">
        <v>1</v>
      </c>
      <c r="BI252" s="561">
        <v>1</v>
      </c>
      <c r="BJ252" s="561">
        <v>1</v>
      </c>
      <c r="BK252" s="561">
        <v>1</v>
      </c>
      <c r="BL252" s="561">
        <v>1</v>
      </c>
      <c r="BM252" s="561">
        <v>1</v>
      </c>
      <c r="BN252" s="561">
        <v>1</v>
      </c>
      <c r="BO252" s="561">
        <v>1</v>
      </c>
      <c r="BP252" s="561">
        <v>1</v>
      </c>
      <c r="BQ252" s="561">
        <v>1</v>
      </c>
      <c r="BS252" s="561">
        <v>1</v>
      </c>
      <c r="BU252" s="561">
        <v>1</v>
      </c>
      <c r="BV252" s="561">
        <v>1</v>
      </c>
      <c r="BW252" s="561">
        <v>1</v>
      </c>
      <c r="BX252" s="561">
        <v>1</v>
      </c>
      <c r="BZ252" s="561">
        <v>1</v>
      </c>
      <c r="CA252" s="561">
        <v>1</v>
      </c>
      <c r="CB252" s="561">
        <v>1</v>
      </c>
      <c r="CC252" s="561">
        <v>1</v>
      </c>
      <c r="CD252" s="561">
        <v>1</v>
      </c>
      <c r="CF252" s="561">
        <v>1</v>
      </c>
      <c r="CG252" s="561">
        <v>1</v>
      </c>
      <c r="CH252" s="561">
        <v>1</v>
      </c>
      <c r="CI252" s="561">
        <v>1</v>
      </c>
      <c r="CK252" s="561">
        <v>1</v>
      </c>
    </row>
    <row r="253" spans="1:99" s="561" customFormat="1" x14ac:dyDescent="0.3">
      <c r="A253" s="560">
        <v>1063</v>
      </c>
      <c r="B253" s="561" t="s">
        <v>1775</v>
      </c>
      <c r="D253" s="561">
        <v>1</v>
      </c>
      <c r="E253" s="561">
        <v>1</v>
      </c>
      <c r="F253" s="561">
        <v>3</v>
      </c>
      <c r="G253" s="561">
        <v>1</v>
      </c>
      <c r="I253" s="561">
        <v>1</v>
      </c>
      <c r="J253" s="561">
        <v>1</v>
      </c>
      <c r="K253" s="561">
        <v>1</v>
      </c>
      <c r="L253" s="561">
        <v>1</v>
      </c>
      <c r="M253" s="561">
        <v>1</v>
      </c>
      <c r="O253" s="561">
        <v>1</v>
      </c>
      <c r="P253" s="561">
        <v>0</v>
      </c>
      <c r="Q253" s="561">
        <v>1</v>
      </c>
      <c r="R253" s="561">
        <v>1</v>
      </c>
      <c r="S253" s="561">
        <v>1</v>
      </c>
      <c r="T253" s="561">
        <v>0</v>
      </c>
      <c r="U253" s="561">
        <v>1</v>
      </c>
      <c r="V253" s="561">
        <v>1</v>
      </c>
      <c r="W253" s="561">
        <v>1</v>
      </c>
      <c r="X253" s="561">
        <v>1</v>
      </c>
      <c r="Y253" s="561">
        <v>1</v>
      </c>
      <c r="Z253" s="561">
        <v>1</v>
      </c>
      <c r="AA253" s="561">
        <v>1</v>
      </c>
      <c r="AB253" s="561">
        <v>1</v>
      </c>
      <c r="AD253" s="561">
        <v>1</v>
      </c>
      <c r="AE253" s="561">
        <v>1</v>
      </c>
      <c r="AF253" s="561">
        <v>1</v>
      </c>
      <c r="AG253" s="561">
        <v>0</v>
      </c>
      <c r="AH253" s="561">
        <v>1</v>
      </c>
      <c r="AI253" s="561">
        <v>1</v>
      </c>
      <c r="AJ253" s="561">
        <v>1</v>
      </c>
      <c r="AK253" s="561">
        <v>1</v>
      </c>
      <c r="AL253" s="561">
        <v>1</v>
      </c>
      <c r="AN253" s="561">
        <v>1</v>
      </c>
      <c r="AP253" s="561">
        <v>0</v>
      </c>
      <c r="AQ253" s="561">
        <v>1</v>
      </c>
      <c r="AR253" s="561">
        <v>1</v>
      </c>
      <c r="AS253" s="561">
        <v>1</v>
      </c>
      <c r="AT253" s="561">
        <v>1</v>
      </c>
      <c r="AU253" s="561">
        <v>0</v>
      </c>
      <c r="AV253" s="561">
        <v>1</v>
      </c>
      <c r="AW253" s="561">
        <v>1</v>
      </c>
      <c r="AX253" s="561">
        <v>1</v>
      </c>
      <c r="AY253" s="561">
        <v>1</v>
      </c>
      <c r="AZ253" s="561">
        <v>1</v>
      </c>
      <c r="BA253" s="561">
        <v>1</v>
      </c>
      <c r="BB253" s="561">
        <v>1</v>
      </c>
      <c r="BC253" s="561">
        <v>1</v>
      </c>
      <c r="BD253" s="561">
        <v>1</v>
      </c>
      <c r="BE253" s="561">
        <v>1</v>
      </c>
      <c r="BF253" s="561">
        <v>1</v>
      </c>
      <c r="BG253" s="561">
        <v>1</v>
      </c>
      <c r="BH253" s="561">
        <v>1</v>
      </c>
      <c r="BI253" s="561">
        <v>1</v>
      </c>
      <c r="BJ253" s="561">
        <v>1</v>
      </c>
      <c r="BK253" s="561">
        <v>1</v>
      </c>
      <c r="BL253" s="561">
        <v>1</v>
      </c>
      <c r="BM253" s="561">
        <v>1</v>
      </c>
      <c r="BN253" s="561">
        <v>1</v>
      </c>
      <c r="BO253" s="561">
        <v>1</v>
      </c>
      <c r="BP253" s="561">
        <v>1</v>
      </c>
      <c r="BQ253" s="561">
        <v>1</v>
      </c>
      <c r="BS253" s="561">
        <v>1</v>
      </c>
      <c r="BU253" s="561">
        <v>1</v>
      </c>
      <c r="BV253" s="561">
        <v>1</v>
      </c>
      <c r="BW253" s="561">
        <v>1</v>
      </c>
      <c r="BX253" s="561">
        <v>1</v>
      </c>
      <c r="BZ253" s="561">
        <v>1</v>
      </c>
      <c r="CA253" s="561">
        <v>1</v>
      </c>
      <c r="CB253" s="561">
        <v>1</v>
      </c>
      <c r="CC253" s="561">
        <v>1</v>
      </c>
      <c r="CD253" s="561">
        <v>1</v>
      </c>
      <c r="CF253" s="561">
        <v>1</v>
      </c>
      <c r="CG253" s="561">
        <v>1</v>
      </c>
      <c r="CH253" s="561">
        <v>1</v>
      </c>
      <c r="CI253" s="561">
        <v>1</v>
      </c>
      <c r="CK253" s="561">
        <v>1</v>
      </c>
    </row>
    <row r="254" spans="1:99" s="554" customFormat="1" x14ac:dyDescent="0.3">
      <c r="A254" s="557">
        <v>1064</v>
      </c>
      <c r="B254" s="554" t="s">
        <v>1776</v>
      </c>
      <c r="I254" s="554">
        <v>692689</v>
      </c>
      <c r="J254" s="554">
        <v>0</v>
      </c>
      <c r="M254" s="554">
        <v>306522</v>
      </c>
      <c r="O254" s="554">
        <v>0</v>
      </c>
      <c r="T254" s="554">
        <v>0</v>
      </c>
      <c r="X254" s="554">
        <v>431945</v>
      </c>
      <c r="Y254" s="554">
        <v>13448895</v>
      </c>
      <c r="Z254" s="554">
        <v>967565</v>
      </c>
      <c r="AG254" s="554">
        <v>1044283</v>
      </c>
      <c r="AQ254" s="554">
        <v>679220</v>
      </c>
      <c r="AT254" s="554">
        <v>1360838</v>
      </c>
      <c r="AW254" s="554">
        <v>0</v>
      </c>
      <c r="BO254" s="554">
        <v>0</v>
      </c>
      <c r="BP254" s="554">
        <v>193500</v>
      </c>
      <c r="BW254" s="554">
        <v>580789</v>
      </c>
      <c r="BX254" s="554">
        <v>116568</v>
      </c>
      <c r="BZ254" s="554">
        <v>538280</v>
      </c>
      <c r="CB254" s="554">
        <v>639148</v>
      </c>
      <c r="CG254" s="554">
        <v>588794</v>
      </c>
      <c r="CH254" s="554">
        <v>200749</v>
      </c>
    </row>
    <row r="255" spans="1:99" s="554" customFormat="1" x14ac:dyDescent="0.3">
      <c r="A255" s="557">
        <v>1065</v>
      </c>
      <c r="B255" s="554" t="s">
        <v>1777</v>
      </c>
      <c r="I255" s="554">
        <v>0</v>
      </c>
      <c r="J255" s="554">
        <v>0</v>
      </c>
      <c r="M255" s="554">
        <v>0</v>
      </c>
      <c r="O255" s="554">
        <v>0</v>
      </c>
      <c r="T255" s="554">
        <v>0</v>
      </c>
      <c r="X255" s="554">
        <v>0</v>
      </c>
      <c r="Y255" s="554">
        <v>0</v>
      </c>
      <c r="Z255" s="554">
        <v>0</v>
      </c>
      <c r="AG255" s="554">
        <v>0</v>
      </c>
      <c r="AQ255" s="554">
        <v>0</v>
      </c>
      <c r="AT255" s="554">
        <v>0</v>
      </c>
      <c r="AW255" s="554">
        <v>0</v>
      </c>
      <c r="BO255" s="554">
        <v>0</v>
      </c>
      <c r="BP255" s="554">
        <v>0</v>
      </c>
      <c r="BW255" s="554">
        <v>0</v>
      </c>
      <c r="BX255" s="554">
        <v>0</v>
      </c>
      <c r="BZ255" s="554">
        <v>0</v>
      </c>
      <c r="CB255" s="554">
        <v>0</v>
      </c>
      <c r="CG255" s="554">
        <v>0</v>
      </c>
      <c r="CH255" s="554">
        <v>0</v>
      </c>
    </row>
    <row r="256" spans="1:99" s="561" customFormat="1" x14ac:dyDescent="0.3">
      <c r="A256" s="560">
        <v>1066</v>
      </c>
      <c r="B256" s="561" t="s">
        <v>1778</v>
      </c>
      <c r="D256" s="561" t="s">
        <v>1780</v>
      </c>
      <c r="E256" s="561" t="s">
        <v>1785</v>
      </c>
      <c r="F256" s="561" t="s">
        <v>2732</v>
      </c>
      <c r="G256" s="561" t="s">
        <v>2733</v>
      </c>
      <c r="I256" s="561" t="s">
        <v>1788</v>
      </c>
      <c r="J256" s="561" t="s">
        <v>2734</v>
      </c>
      <c r="K256" s="561" t="s">
        <v>2735</v>
      </c>
      <c r="L256" s="561" t="s">
        <v>2736</v>
      </c>
      <c r="M256" s="561" t="s">
        <v>2737</v>
      </c>
      <c r="O256" s="561" t="s">
        <v>2738</v>
      </c>
      <c r="P256" s="561" t="s">
        <v>1788</v>
      </c>
      <c r="Q256" s="561" t="s">
        <v>2739</v>
      </c>
      <c r="R256" s="561" t="s">
        <v>1784</v>
      </c>
      <c r="S256" s="561" t="s">
        <v>1783</v>
      </c>
      <c r="T256" s="561" t="s">
        <v>2734</v>
      </c>
      <c r="U256" s="561" t="s">
        <v>1780</v>
      </c>
      <c r="V256" s="561" t="s">
        <v>2740</v>
      </c>
      <c r="W256" s="561" t="s">
        <v>2741</v>
      </c>
      <c r="X256" s="561" t="s">
        <v>2742</v>
      </c>
      <c r="Y256" s="561" t="s">
        <v>1782</v>
      </c>
      <c r="Z256" s="561" t="s">
        <v>1782</v>
      </c>
      <c r="AA256" s="561" t="s">
        <v>2743</v>
      </c>
      <c r="AB256" s="561" t="s">
        <v>2744</v>
      </c>
      <c r="AD256" s="561" t="s">
        <v>2745</v>
      </c>
      <c r="AE256" s="561" t="s">
        <v>1788</v>
      </c>
      <c r="AF256" s="561" t="s">
        <v>1784</v>
      </c>
      <c r="AG256" s="561" t="s">
        <v>1782</v>
      </c>
      <c r="AH256" s="561" t="s">
        <v>2742</v>
      </c>
      <c r="AI256" s="561" t="s">
        <v>1780</v>
      </c>
      <c r="AJ256" s="561" t="s">
        <v>2746</v>
      </c>
      <c r="AK256" s="561" t="s">
        <v>2747</v>
      </c>
      <c r="AL256" s="561" t="s">
        <v>2748</v>
      </c>
      <c r="AN256" s="561" t="s">
        <v>2749</v>
      </c>
      <c r="AP256" s="561" t="s">
        <v>2738</v>
      </c>
      <c r="AQ256" s="561" t="s">
        <v>1784</v>
      </c>
      <c r="AR256" s="561" t="s">
        <v>1779</v>
      </c>
      <c r="AS256" s="561" t="s">
        <v>1781</v>
      </c>
      <c r="AT256" s="561" t="s">
        <v>1784</v>
      </c>
      <c r="AU256" s="561" t="s">
        <v>2750</v>
      </c>
      <c r="AV256" s="561" t="s">
        <v>1787</v>
      </c>
      <c r="AW256" s="561" t="s">
        <v>2751</v>
      </c>
      <c r="AX256" s="561" t="s">
        <v>2752</v>
      </c>
      <c r="AY256" s="561" t="s">
        <v>2753</v>
      </c>
      <c r="AZ256" s="561" t="s">
        <v>2754</v>
      </c>
      <c r="BA256" s="561" t="s">
        <v>2755</v>
      </c>
      <c r="BB256" s="561" t="s">
        <v>2756</v>
      </c>
      <c r="BC256" s="561" t="s">
        <v>1786</v>
      </c>
      <c r="BD256" s="561" t="s">
        <v>2757</v>
      </c>
      <c r="BE256" s="561" t="s">
        <v>1788</v>
      </c>
      <c r="BF256" s="561" t="s">
        <v>2742</v>
      </c>
      <c r="BG256" s="561" t="s">
        <v>1780</v>
      </c>
      <c r="BH256" s="561" t="s">
        <v>2758</v>
      </c>
      <c r="BI256" s="561" t="s">
        <v>2759</v>
      </c>
      <c r="BJ256" s="561" t="s">
        <v>2742</v>
      </c>
      <c r="BK256" s="561" t="s">
        <v>2803</v>
      </c>
      <c r="BL256" s="561" t="s">
        <v>1787</v>
      </c>
      <c r="BM256" s="561" t="s">
        <v>1782</v>
      </c>
      <c r="BN256" s="561" t="s">
        <v>2742</v>
      </c>
      <c r="BO256" s="561" t="s">
        <v>2760</v>
      </c>
      <c r="BP256" s="561" t="s">
        <v>2761</v>
      </c>
      <c r="BQ256" s="561" t="s">
        <v>1789</v>
      </c>
      <c r="BS256" s="561" t="s">
        <v>1782</v>
      </c>
      <c r="BU256" s="561" t="s">
        <v>2762</v>
      </c>
      <c r="BV256" s="561" t="s">
        <v>1787</v>
      </c>
      <c r="BW256" s="561" t="s">
        <v>2763</v>
      </c>
      <c r="BX256" s="561" t="s">
        <v>2764</v>
      </c>
      <c r="BZ256" s="561" t="s">
        <v>1788</v>
      </c>
      <c r="CA256" s="561" t="s">
        <v>2751</v>
      </c>
      <c r="CB256" s="561" t="s">
        <v>2765</v>
      </c>
      <c r="CC256" s="561" t="s">
        <v>1782</v>
      </c>
      <c r="CD256" s="561" t="s">
        <v>2766</v>
      </c>
      <c r="CF256" s="561" t="s">
        <v>2767</v>
      </c>
      <c r="CG256" s="561" t="s">
        <v>2758</v>
      </c>
      <c r="CH256" s="561" t="s">
        <v>1788</v>
      </c>
      <c r="CI256" s="561" t="s">
        <v>1782</v>
      </c>
      <c r="CK256" s="561" t="s">
        <v>2768</v>
      </c>
    </row>
    <row r="257" spans="1:89" s="561" customFormat="1" x14ac:dyDescent="0.3">
      <c r="A257" s="560">
        <v>9000</v>
      </c>
      <c r="B257" s="561" t="s">
        <v>1043</v>
      </c>
      <c r="C257" s="561" t="s">
        <v>351</v>
      </c>
      <c r="D257" s="561">
        <v>45772004.009999998</v>
      </c>
      <c r="E257" s="561">
        <v>35600952.777500004</v>
      </c>
      <c r="F257" s="561">
        <v>34728327.700000003</v>
      </c>
      <c r="G257" s="561">
        <v>14175638.529999999</v>
      </c>
      <c r="H257" s="561">
        <v>50112.01</v>
      </c>
      <c r="I257" s="561">
        <v>225662021.09</v>
      </c>
      <c r="J257" s="561">
        <v>44105632.072499998</v>
      </c>
      <c r="K257" s="561">
        <v>671016925.96500003</v>
      </c>
      <c r="L257" s="561">
        <v>85441314.651600003</v>
      </c>
      <c r="M257" s="561">
        <v>604287104.47490001</v>
      </c>
      <c r="N257" s="561">
        <v>50117.01</v>
      </c>
      <c r="O257" s="561">
        <v>14129844789.125</v>
      </c>
      <c r="P257" s="561">
        <v>1540185.93</v>
      </c>
      <c r="Q257" s="561">
        <v>5419549.6200000001</v>
      </c>
      <c r="R257" s="561">
        <v>45601732.560000002</v>
      </c>
      <c r="S257" s="561">
        <v>23096442.309999999</v>
      </c>
      <c r="T257" s="561">
        <v>39470910.907499999</v>
      </c>
      <c r="U257" s="561">
        <v>5806859.1399999997</v>
      </c>
      <c r="V257" s="561">
        <v>18063003.559999999</v>
      </c>
      <c r="W257" s="561">
        <v>106513242.95999999</v>
      </c>
      <c r="X257" s="561">
        <v>1998709635.572</v>
      </c>
      <c r="Y257" s="561">
        <v>67842275895.190002</v>
      </c>
      <c r="Z257" s="561">
        <v>339477073.36000001</v>
      </c>
      <c r="AA257" s="561">
        <v>32845497.399999999</v>
      </c>
      <c r="AB257" s="561">
        <v>84371714.030000001</v>
      </c>
      <c r="AC257" s="561">
        <v>50128.01</v>
      </c>
      <c r="AD257" s="561">
        <v>171590924.28999999</v>
      </c>
      <c r="AE257" s="561">
        <v>57608306.030000001</v>
      </c>
      <c r="AF257" s="561">
        <v>1769522579.5899999</v>
      </c>
      <c r="AG257" s="561">
        <v>327926739.47500002</v>
      </c>
      <c r="AH257" s="561">
        <v>79376561.159999996</v>
      </c>
      <c r="AI257" s="561">
        <v>456654644.35000002</v>
      </c>
      <c r="AJ257" s="561">
        <v>53477019.07</v>
      </c>
      <c r="AK257" s="561">
        <v>43752819.289999999</v>
      </c>
      <c r="AL257" s="561">
        <v>27847307.059999999</v>
      </c>
      <c r="AM257" s="561">
        <v>50136.01</v>
      </c>
      <c r="AN257" s="561">
        <v>88305949.721000001</v>
      </c>
      <c r="AO257" s="561">
        <v>50138.01</v>
      </c>
      <c r="AP257" s="561">
        <v>1110358.97</v>
      </c>
      <c r="AQ257" s="561">
        <v>8133820486.6199999</v>
      </c>
      <c r="AR257" s="561">
        <v>4208218.1100000003</v>
      </c>
      <c r="AS257" s="561">
        <v>37181860.82</v>
      </c>
      <c r="AT257" s="561">
        <v>644074456.91999996</v>
      </c>
      <c r="AU257" s="561">
        <v>37827537.850000001</v>
      </c>
      <c r="AV257" s="561">
        <v>14824535.380000001</v>
      </c>
      <c r="AW257" s="561">
        <v>987820591.98199999</v>
      </c>
      <c r="AX257" s="561">
        <v>27405990.850000001</v>
      </c>
      <c r="AY257" s="561">
        <v>142768558.85499999</v>
      </c>
      <c r="AZ257" s="561">
        <v>181757014.35499999</v>
      </c>
      <c r="BA257" s="561">
        <v>33088513.600000001</v>
      </c>
      <c r="BB257" s="561">
        <v>10126269.76</v>
      </c>
      <c r="BC257" s="561">
        <v>292330633.64999998</v>
      </c>
      <c r="BD257" s="561">
        <v>2345148.79</v>
      </c>
      <c r="BE257" s="561">
        <v>485248998.21499997</v>
      </c>
      <c r="BF257" s="561">
        <v>114092785.01000001</v>
      </c>
      <c r="BG257" s="561">
        <v>11193145.550000001</v>
      </c>
      <c r="BH257" s="561">
        <v>9066967.3200000003</v>
      </c>
      <c r="BI257" s="561">
        <v>108835285.73999999</v>
      </c>
      <c r="BJ257" s="561">
        <v>27344939</v>
      </c>
      <c r="BK257" s="561">
        <v>39554387.530000001</v>
      </c>
      <c r="BL257" s="561">
        <v>113807008.01000001</v>
      </c>
      <c r="BM257" s="561">
        <v>29437255.870000001</v>
      </c>
      <c r="BN257" s="561">
        <v>250434828.56</v>
      </c>
      <c r="BO257" s="561">
        <v>453541759.17000002</v>
      </c>
      <c r="BP257" s="561">
        <v>14913367813.203699</v>
      </c>
      <c r="BQ257" s="561">
        <v>1613737.66</v>
      </c>
      <c r="BR257" s="561">
        <v>50511.01</v>
      </c>
      <c r="BS257" s="561">
        <v>23657842.940000001</v>
      </c>
      <c r="BT257" s="561">
        <v>50162</v>
      </c>
      <c r="BU257" s="561">
        <v>64201404.390000001</v>
      </c>
      <c r="BV257" s="561">
        <v>75098397.510000005</v>
      </c>
      <c r="BW257" s="561">
        <v>818317219.16999996</v>
      </c>
      <c r="BX257" s="561">
        <v>306743189.77999997</v>
      </c>
      <c r="BY257" s="561">
        <v>50166.09</v>
      </c>
      <c r="BZ257" s="561">
        <v>265195182.76499999</v>
      </c>
      <c r="CA257" s="561">
        <v>26387915.93</v>
      </c>
      <c r="CB257" s="561">
        <v>193716691.28549999</v>
      </c>
      <c r="CC257" s="561">
        <v>35738799.289999999</v>
      </c>
      <c r="CD257" s="561">
        <v>49803235.219999999</v>
      </c>
      <c r="CE257" s="561">
        <v>50172.01</v>
      </c>
      <c r="CF257" s="561">
        <v>283519509.44999999</v>
      </c>
      <c r="CG257" s="561">
        <v>214465690.79499999</v>
      </c>
      <c r="CH257" s="561">
        <v>180875037.127</v>
      </c>
      <c r="CI257" s="561">
        <v>85537630.849999994</v>
      </c>
      <c r="CJ257" s="561">
        <v>50177.01</v>
      </c>
      <c r="CK257" s="561">
        <v>10033721.07</v>
      </c>
    </row>
    <row r="258" spans="1:89" s="563" customFormat="1" x14ac:dyDescent="0.3">
      <c r="A258" s="155">
        <v>9001</v>
      </c>
      <c r="B258" s="563" t="s">
        <v>1044</v>
      </c>
      <c r="C258" s="563" t="s">
        <v>1045</v>
      </c>
      <c r="D258" s="563">
        <v>4100909</v>
      </c>
      <c r="E258" s="563">
        <v>4807550</v>
      </c>
      <c r="F258" s="563">
        <v>1183722</v>
      </c>
      <c r="G258" s="563">
        <v>1048113</v>
      </c>
      <c r="H258" s="563">
        <v>0</v>
      </c>
      <c r="I258" s="563">
        <v>18286100</v>
      </c>
      <c r="J258" s="563">
        <v>5673073</v>
      </c>
      <c r="K258" s="563">
        <v>51520364</v>
      </c>
      <c r="L258" s="563">
        <v>9495058</v>
      </c>
      <c r="M258" s="563">
        <v>90485874</v>
      </c>
      <c r="N258" s="563">
        <v>0</v>
      </c>
      <c r="O258" s="563">
        <v>1506205992</v>
      </c>
      <c r="P258" s="563">
        <v>162718</v>
      </c>
      <c r="Q258" s="563">
        <v>949621</v>
      </c>
      <c r="R258" s="563">
        <v>10257646</v>
      </c>
      <c r="S258" s="563">
        <v>2871883</v>
      </c>
      <c r="T258" s="563">
        <v>5073076</v>
      </c>
      <c r="U258" s="563">
        <v>740202</v>
      </c>
      <c r="V258" s="563">
        <v>1248288</v>
      </c>
      <c r="W258" s="563">
        <v>5380606</v>
      </c>
      <c r="X258" s="563">
        <v>258822992</v>
      </c>
      <c r="Y258" s="563">
        <v>8786001000</v>
      </c>
      <c r="Z258" s="563">
        <v>14474501</v>
      </c>
      <c r="AA258" s="563">
        <v>2386148</v>
      </c>
      <c r="AB258" s="563">
        <v>10027349</v>
      </c>
      <c r="AC258" s="563">
        <v>0</v>
      </c>
      <c r="AD258" s="563">
        <v>14557427</v>
      </c>
      <c r="AE258" s="563">
        <v>3618305</v>
      </c>
      <c r="AF258" s="563">
        <v>120795888</v>
      </c>
      <c r="AG258" s="563">
        <v>59733473</v>
      </c>
      <c r="AH258" s="563">
        <v>6081224</v>
      </c>
      <c r="AI258" s="563">
        <v>24743901</v>
      </c>
      <c r="AJ258" s="563">
        <v>2875093</v>
      </c>
      <c r="AK258" s="563">
        <v>3632296</v>
      </c>
      <c r="AL258" s="563">
        <v>2075027</v>
      </c>
      <c r="AM258" s="563">
        <v>0</v>
      </c>
      <c r="AN258" s="563">
        <v>1766830</v>
      </c>
      <c r="AO258" s="563">
        <v>0</v>
      </c>
      <c r="AP258" s="563">
        <v>120498</v>
      </c>
      <c r="AQ258" s="563">
        <v>681227846</v>
      </c>
      <c r="AR258" s="563">
        <v>502148</v>
      </c>
      <c r="AS258" s="563">
        <v>3776790</v>
      </c>
      <c r="AT258" s="563">
        <v>66512297</v>
      </c>
      <c r="AU258" s="563">
        <v>1292860</v>
      </c>
      <c r="AV258" s="563">
        <v>2164677</v>
      </c>
      <c r="AW258" s="563">
        <v>138771667</v>
      </c>
      <c r="AX258" s="563">
        <v>764530</v>
      </c>
      <c r="AY258" s="563">
        <v>19565004</v>
      </c>
      <c r="AZ258" s="563">
        <v>36022308</v>
      </c>
      <c r="BA258" s="563">
        <v>672831</v>
      </c>
      <c r="BB258" s="563">
        <v>466226</v>
      </c>
      <c r="BC258" s="563">
        <v>14410558</v>
      </c>
      <c r="BD258" s="563">
        <v>353916</v>
      </c>
      <c r="BE258" s="563">
        <v>67344579</v>
      </c>
      <c r="BF258" s="563">
        <v>4603304</v>
      </c>
      <c r="BG258" s="563">
        <v>1850563</v>
      </c>
      <c r="BH258" s="563">
        <v>985694</v>
      </c>
      <c r="BI258" s="563">
        <v>4712603</v>
      </c>
      <c r="BJ258" s="563">
        <v>3796290</v>
      </c>
      <c r="BK258" s="563">
        <v>991184</v>
      </c>
      <c r="BL258" s="563">
        <v>4286683</v>
      </c>
      <c r="BM258" s="563">
        <v>1786259</v>
      </c>
      <c r="BN258" s="563">
        <v>37906638</v>
      </c>
      <c r="BO258" s="563">
        <v>30225591</v>
      </c>
      <c r="BP258" s="563">
        <v>1337342965</v>
      </c>
      <c r="BQ258" s="563">
        <v>166672</v>
      </c>
      <c r="BR258" s="563">
        <v>0</v>
      </c>
      <c r="BS258" s="563">
        <v>1989925</v>
      </c>
      <c r="BT258" s="563">
        <v>0</v>
      </c>
      <c r="BU258" s="563">
        <v>4362694</v>
      </c>
      <c r="BV258" s="563">
        <v>11198415</v>
      </c>
      <c r="BW258" s="563">
        <v>48919679</v>
      </c>
      <c r="BX258" s="563">
        <v>14324375</v>
      </c>
      <c r="BY258" s="563">
        <v>0</v>
      </c>
      <c r="BZ258" s="563">
        <v>27426259</v>
      </c>
      <c r="CA258" s="563">
        <v>1475161</v>
      </c>
      <c r="CB258" s="563">
        <v>15492437</v>
      </c>
      <c r="CC258" s="563">
        <v>1251891</v>
      </c>
      <c r="CD258" s="563">
        <v>2251057</v>
      </c>
      <c r="CE258" s="563">
        <v>0</v>
      </c>
      <c r="CF258" s="563">
        <v>22017361</v>
      </c>
      <c r="CG258" s="563">
        <v>39950333</v>
      </c>
      <c r="CH258" s="563">
        <v>9662390</v>
      </c>
      <c r="CI258" s="563">
        <v>12687775</v>
      </c>
      <c r="CJ258" s="563">
        <v>0</v>
      </c>
      <c r="CK258" s="563">
        <v>129283</v>
      </c>
    </row>
    <row r="259" spans="1:89" s="563" customFormat="1" x14ac:dyDescent="0.3">
      <c r="A259" s="155">
        <v>9002</v>
      </c>
      <c r="B259" s="563" t="s">
        <v>1046</v>
      </c>
      <c r="C259" s="563" t="s">
        <v>1047</v>
      </c>
      <c r="D259" s="563">
        <v>296092</v>
      </c>
      <c r="E259" s="563">
        <v>462628</v>
      </c>
      <c r="F259" s="563">
        <v>22416</v>
      </c>
      <c r="G259" s="563">
        <v>37723</v>
      </c>
      <c r="H259" s="563">
        <v>0</v>
      </c>
      <c r="I259" s="563">
        <v>322103</v>
      </c>
      <c r="J259" s="563">
        <v>56397</v>
      </c>
      <c r="K259" s="563">
        <v>4986821</v>
      </c>
      <c r="L259" s="563">
        <v>0</v>
      </c>
      <c r="M259" s="563">
        <v>7403096</v>
      </c>
      <c r="N259" s="563">
        <v>0</v>
      </c>
      <c r="O259" s="563">
        <v>86351942</v>
      </c>
      <c r="P259" s="563">
        <v>15597</v>
      </c>
      <c r="Q259" s="563">
        <v>5455</v>
      </c>
      <c r="R259" s="563">
        <v>430828</v>
      </c>
      <c r="S259" s="563">
        <v>330492</v>
      </c>
      <c r="T259" s="563">
        <v>309214</v>
      </c>
      <c r="U259" s="563">
        <v>49412</v>
      </c>
      <c r="V259" s="563">
        <v>98943</v>
      </c>
      <c r="W259" s="563">
        <v>34749</v>
      </c>
      <c r="X259" s="563">
        <v>31601722</v>
      </c>
      <c r="Y259" s="563">
        <v>451953000</v>
      </c>
      <c r="Z259" s="563">
        <v>622012</v>
      </c>
      <c r="AA259" s="563">
        <v>46768</v>
      </c>
      <c r="AB259" s="563">
        <v>1375482</v>
      </c>
      <c r="AC259" s="563">
        <v>0</v>
      </c>
      <c r="AD259" s="563">
        <v>545476</v>
      </c>
      <c r="AE259" s="563">
        <v>132544</v>
      </c>
      <c r="AF259" s="563">
        <v>10117769</v>
      </c>
      <c r="AG259" s="563">
        <v>3059982</v>
      </c>
      <c r="AH259" s="563">
        <v>28561</v>
      </c>
      <c r="AI259" s="563">
        <v>1175794</v>
      </c>
      <c r="AJ259" s="563">
        <v>96035</v>
      </c>
      <c r="AK259" s="563">
        <v>13118</v>
      </c>
      <c r="AL259" s="563">
        <v>74103</v>
      </c>
      <c r="AM259" s="563">
        <v>0</v>
      </c>
      <c r="AN259" s="563">
        <v>10895</v>
      </c>
      <c r="AO259" s="563">
        <v>0</v>
      </c>
      <c r="AP259" s="563">
        <v>1299</v>
      </c>
      <c r="AQ259" s="563">
        <v>42220591</v>
      </c>
      <c r="AR259" s="563">
        <v>34454</v>
      </c>
      <c r="AS259" s="563">
        <v>238585</v>
      </c>
      <c r="AT259" s="563">
        <v>2223529</v>
      </c>
      <c r="AU259" s="563">
        <v>127715</v>
      </c>
      <c r="AV259" s="563">
        <v>2784</v>
      </c>
      <c r="AW259" s="563">
        <v>12732686</v>
      </c>
      <c r="AX259" s="563">
        <v>7813</v>
      </c>
      <c r="AY259" s="563">
        <v>930256</v>
      </c>
      <c r="AZ259" s="563">
        <v>332690</v>
      </c>
      <c r="BA259" s="563">
        <v>3008</v>
      </c>
      <c r="BB259" s="563">
        <v>2458</v>
      </c>
      <c r="BC259" s="563">
        <v>1391659</v>
      </c>
      <c r="BD259" s="563">
        <v>29863</v>
      </c>
      <c r="BE259" s="563">
        <v>5176186</v>
      </c>
      <c r="BF259" s="563">
        <v>53004</v>
      </c>
      <c r="BG259" s="563">
        <v>46289</v>
      </c>
      <c r="BH259" s="563">
        <v>137827</v>
      </c>
      <c r="BI259" s="563">
        <v>434852</v>
      </c>
      <c r="BJ259" s="563">
        <v>88109</v>
      </c>
      <c r="BK259" s="563">
        <v>237878</v>
      </c>
      <c r="BL259" s="563">
        <v>318272</v>
      </c>
      <c r="BM259" s="563">
        <v>87603</v>
      </c>
      <c r="BN259" s="563">
        <v>4389076</v>
      </c>
      <c r="BO259" s="563">
        <v>3540053</v>
      </c>
      <c r="BP259" s="563">
        <v>153279057</v>
      </c>
      <c r="BQ259" s="563">
        <v>36567</v>
      </c>
      <c r="BR259" s="563">
        <v>0</v>
      </c>
      <c r="BS259" s="563">
        <v>109232</v>
      </c>
      <c r="BT259" s="563">
        <v>0</v>
      </c>
      <c r="BU259" s="563">
        <v>104178</v>
      </c>
      <c r="BV259" s="563">
        <v>85629</v>
      </c>
      <c r="BW259" s="563">
        <v>2569511</v>
      </c>
      <c r="BX259" s="563">
        <v>1559896</v>
      </c>
      <c r="BY259" s="563">
        <v>0</v>
      </c>
      <c r="BZ259" s="563">
        <v>1203474</v>
      </c>
      <c r="CA259" s="563">
        <v>49055</v>
      </c>
      <c r="CB259" s="563">
        <v>441633</v>
      </c>
      <c r="CC259" s="563">
        <v>139435</v>
      </c>
      <c r="CD259" s="563">
        <v>90926</v>
      </c>
      <c r="CE259" s="563">
        <v>0</v>
      </c>
      <c r="CF259" s="563">
        <v>2305334</v>
      </c>
      <c r="CG259" s="563">
        <v>3097399</v>
      </c>
      <c r="CH259" s="563">
        <v>423956</v>
      </c>
      <c r="CI259" s="563">
        <v>1008591</v>
      </c>
      <c r="CJ259" s="563">
        <v>0</v>
      </c>
      <c r="CK259" s="563">
        <v>647</v>
      </c>
    </row>
    <row r="260" spans="1:89" s="563" customFormat="1" x14ac:dyDescent="0.3">
      <c r="A260" s="155">
        <v>9003</v>
      </c>
      <c r="B260" s="563" t="s">
        <v>1048</v>
      </c>
      <c r="C260" s="563" t="s">
        <v>1049</v>
      </c>
      <c r="D260" s="563">
        <v>305323</v>
      </c>
      <c r="E260" s="563">
        <v>661295</v>
      </c>
      <c r="F260" s="563">
        <v>63680</v>
      </c>
      <c r="G260" s="563">
        <v>96204</v>
      </c>
      <c r="H260" s="563">
        <v>0</v>
      </c>
      <c r="I260" s="563">
        <v>14916254</v>
      </c>
      <c r="J260" s="563">
        <v>1427590</v>
      </c>
      <c r="K260" s="563">
        <v>25918098</v>
      </c>
      <c r="L260" s="563">
        <v>1332452</v>
      </c>
      <c r="M260" s="563">
        <v>56643252</v>
      </c>
      <c r="N260" s="563">
        <v>0</v>
      </c>
      <c r="O260" s="563">
        <v>553696196</v>
      </c>
      <c r="P260" s="563">
        <v>15597</v>
      </c>
      <c r="Q260" s="563">
        <v>5455</v>
      </c>
      <c r="R260" s="563">
        <v>1003737</v>
      </c>
      <c r="S260" s="563">
        <v>895709</v>
      </c>
      <c r="T260" s="563">
        <v>718540</v>
      </c>
      <c r="U260" s="563">
        <v>49412</v>
      </c>
      <c r="V260" s="563">
        <v>98943</v>
      </c>
      <c r="W260" s="563">
        <v>855850</v>
      </c>
      <c r="X260" s="563">
        <v>176786619</v>
      </c>
      <c r="Y260" s="563">
        <v>3588035000</v>
      </c>
      <c r="Z260" s="563">
        <v>8604984</v>
      </c>
      <c r="AA260" s="563">
        <v>310654</v>
      </c>
      <c r="AB260" s="563">
        <v>5136749</v>
      </c>
      <c r="AC260" s="563">
        <v>0</v>
      </c>
      <c r="AD260" s="563">
        <v>1656235</v>
      </c>
      <c r="AE260" s="563">
        <v>218282</v>
      </c>
      <c r="AF260" s="563">
        <v>41629180</v>
      </c>
      <c r="AG260" s="563">
        <v>3665922</v>
      </c>
      <c r="AH260" s="563">
        <v>635714</v>
      </c>
      <c r="AI260" s="563">
        <v>8931678</v>
      </c>
      <c r="AJ260" s="563">
        <v>282490</v>
      </c>
      <c r="AK260" s="563">
        <v>899717</v>
      </c>
      <c r="AL260" s="563">
        <v>126865</v>
      </c>
      <c r="AM260" s="563">
        <v>0</v>
      </c>
      <c r="AN260" s="563">
        <v>587611</v>
      </c>
      <c r="AO260" s="563">
        <v>0</v>
      </c>
      <c r="AP260" s="563">
        <v>1299</v>
      </c>
      <c r="AQ260" s="563">
        <v>130183503</v>
      </c>
      <c r="AR260" s="563">
        <v>34454</v>
      </c>
      <c r="AS260" s="563">
        <v>263333</v>
      </c>
      <c r="AT260" s="563">
        <v>9763703</v>
      </c>
      <c r="AU260" s="563">
        <v>300404</v>
      </c>
      <c r="AV260" s="563">
        <v>203073</v>
      </c>
      <c r="AW260" s="563">
        <v>44106139</v>
      </c>
      <c r="AX260" s="563">
        <v>112971</v>
      </c>
      <c r="AY260" s="563">
        <v>8644749</v>
      </c>
      <c r="AZ260" s="563">
        <v>5542268</v>
      </c>
      <c r="BA260" s="563">
        <v>13651</v>
      </c>
      <c r="BB260" s="563">
        <v>2458</v>
      </c>
      <c r="BC260" s="563">
        <v>4234712</v>
      </c>
      <c r="BD260" s="563">
        <v>29863</v>
      </c>
      <c r="BE260" s="563">
        <v>31155196</v>
      </c>
      <c r="BF260" s="563">
        <v>986264</v>
      </c>
      <c r="BG260" s="563">
        <v>46289</v>
      </c>
      <c r="BH260" s="563">
        <v>137989</v>
      </c>
      <c r="BI260" s="563">
        <v>1487412</v>
      </c>
      <c r="BJ260" s="563">
        <v>88109</v>
      </c>
      <c r="BK260" s="563">
        <v>237878</v>
      </c>
      <c r="BL260" s="563">
        <v>940293</v>
      </c>
      <c r="BM260" s="563">
        <v>250345</v>
      </c>
      <c r="BN260" s="563">
        <v>10960308</v>
      </c>
      <c r="BO260" s="563">
        <v>20630536</v>
      </c>
      <c r="BP260" s="563">
        <v>611589752</v>
      </c>
      <c r="BQ260" s="563">
        <v>36567</v>
      </c>
      <c r="BR260" s="563">
        <v>0</v>
      </c>
      <c r="BS260" s="563">
        <v>202349</v>
      </c>
      <c r="BT260" s="563">
        <v>0</v>
      </c>
      <c r="BU260" s="563">
        <v>689581</v>
      </c>
      <c r="BV260" s="563">
        <v>1332973</v>
      </c>
      <c r="BW260" s="563">
        <v>24711251</v>
      </c>
      <c r="BX260" s="563">
        <v>8794156</v>
      </c>
      <c r="BY260" s="563">
        <v>0</v>
      </c>
      <c r="BZ260" s="563">
        <v>7794985</v>
      </c>
      <c r="CA260" s="563">
        <v>564549</v>
      </c>
      <c r="CB260" s="563">
        <v>2297082</v>
      </c>
      <c r="CC260" s="563">
        <v>146299</v>
      </c>
      <c r="CD260" s="563">
        <v>636937</v>
      </c>
      <c r="CE260" s="563">
        <v>0</v>
      </c>
      <c r="CF260" s="563">
        <v>5454409</v>
      </c>
      <c r="CG260" s="563">
        <v>9015884</v>
      </c>
      <c r="CH260" s="563">
        <v>1104890</v>
      </c>
      <c r="CI260" s="563">
        <v>3164277</v>
      </c>
      <c r="CJ260" s="563">
        <v>0</v>
      </c>
      <c r="CK260" s="563">
        <v>647</v>
      </c>
    </row>
    <row r="261" spans="1:89" s="561" customFormat="1" x14ac:dyDescent="0.3">
      <c r="A261" s="560">
        <v>9004</v>
      </c>
      <c r="B261" s="561" t="s">
        <v>1050</v>
      </c>
      <c r="C261" s="561" t="s">
        <v>1051</v>
      </c>
      <c r="D261" s="561" t="s">
        <v>1052</v>
      </c>
      <c r="E261" s="561" t="s">
        <v>351</v>
      </c>
      <c r="F261" s="561" t="s">
        <v>1052</v>
      </c>
      <c r="G261" s="561" t="s">
        <v>1052</v>
      </c>
      <c r="H261" s="561" t="s">
        <v>1052</v>
      </c>
      <c r="I261" s="561" t="s">
        <v>1052</v>
      </c>
      <c r="J261" s="561" t="s">
        <v>351</v>
      </c>
      <c r="K261" s="561" t="s">
        <v>1052</v>
      </c>
      <c r="L261" s="561" t="s">
        <v>351</v>
      </c>
      <c r="M261" s="561" t="s">
        <v>351</v>
      </c>
      <c r="N261" s="561" t="s">
        <v>1052</v>
      </c>
      <c r="O261" s="561" t="s">
        <v>1052</v>
      </c>
      <c r="P261" s="561" t="s">
        <v>351</v>
      </c>
      <c r="Q261" s="561" t="s">
        <v>351</v>
      </c>
      <c r="R261" s="561" t="s">
        <v>351</v>
      </c>
      <c r="S261" s="561" t="s">
        <v>351</v>
      </c>
      <c r="T261" s="561" t="s">
        <v>351</v>
      </c>
      <c r="U261" s="561" t="s">
        <v>351</v>
      </c>
      <c r="V261" s="561" t="s">
        <v>1052</v>
      </c>
      <c r="W261" s="561" t="s">
        <v>1052</v>
      </c>
      <c r="X261" s="561" t="s">
        <v>351</v>
      </c>
      <c r="Y261" s="561" t="s">
        <v>1052</v>
      </c>
      <c r="Z261" s="561" t="s">
        <v>1052</v>
      </c>
      <c r="AA261" s="561" t="s">
        <v>1052</v>
      </c>
      <c r="AB261" s="561" t="s">
        <v>351</v>
      </c>
      <c r="AC261" s="561" t="s">
        <v>1052</v>
      </c>
      <c r="AD261" s="561" t="s">
        <v>1052</v>
      </c>
      <c r="AE261" s="561" t="s">
        <v>1052</v>
      </c>
      <c r="AF261" s="561" t="s">
        <v>1052</v>
      </c>
      <c r="AG261" s="561" t="s">
        <v>351</v>
      </c>
      <c r="AH261" s="561" t="s">
        <v>1052</v>
      </c>
      <c r="AI261" s="561" t="s">
        <v>1052</v>
      </c>
      <c r="AJ261" s="561" t="s">
        <v>1052</v>
      </c>
      <c r="AK261" s="561" t="s">
        <v>1052</v>
      </c>
      <c r="AL261" s="561" t="s">
        <v>1052</v>
      </c>
      <c r="AM261" s="561" t="s">
        <v>1052</v>
      </c>
      <c r="AN261" s="561" t="s">
        <v>1052</v>
      </c>
      <c r="AO261" s="561" t="s">
        <v>1052</v>
      </c>
      <c r="AP261" s="561" t="s">
        <v>351</v>
      </c>
      <c r="AQ261" s="561" t="s">
        <v>1052</v>
      </c>
      <c r="AR261" s="561" t="s">
        <v>351</v>
      </c>
      <c r="AS261" s="561" t="s">
        <v>1052</v>
      </c>
      <c r="AT261" s="561" t="s">
        <v>1052</v>
      </c>
      <c r="AU261" s="561" t="s">
        <v>1052</v>
      </c>
      <c r="AV261" s="561" t="s">
        <v>351</v>
      </c>
      <c r="AW261" s="561" t="s">
        <v>351</v>
      </c>
      <c r="AX261" s="561" t="s">
        <v>1052</v>
      </c>
      <c r="AY261" s="561" t="s">
        <v>351</v>
      </c>
      <c r="AZ261" s="561" t="s">
        <v>351</v>
      </c>
      <c r="BA261" s="561" t="s">
        <v>1052</v>
      </c>
      <c r="BB261" s="561" t="s">
        <v>1052</v>
      </c>
      <c r="BC261" s="561" t="s">
        <v>1052</v>
      </c>
      <c r="BD261" s="561" t="s">
        <v>351</v>
      </c>
      <c r="BE261" s="561" t="s">
        <v>351</v>
      </c>
      <c r="BF261" s="561" t="s">
        <v>1052</v>
      </c>
      <c r="BG261" s="561" t="s">
        <v>351</v>
      </c>
      <c r="BH261" s="561" t="s">
        <v>351</v>
      </c>
      <c r="BI261" s="561" t="s">
        <v>1052</v>
      </c>
      <c r="BJ261" s="561" t="s">
        <v>351</v>
      </c>
      <c r="BK261" s="561" t="s">
        <v>1052</v>
      </c>
      <c r="BL261" s="561" t="s">
        <v>1052</v>
      </c>
      <c r="BM261" s="561" t="s">
        <v>1052</v>
      </c>
      <c r="BN261" s="561" t="s">
        <v>351</v>
      </c>
      <c r="BO261" s="561" t="s">
        <v>1052</v>
      </c>
      <c r="BP261" s="561" t="s">
        <v>1052</v>
      </c>
      <c r="BQ261" s="561" t="s">
        <v>351</v>
      </c>
      <c r="BR261" s="561" t="s">
        <v>1052</v>
      </c>
      <c r="BS261" s="561" t="s">
        <v>1052</v>
      </c>
      <c r="BT261" s="561" t="s">
        <v>351</v>
      </c>
      <c r="BU261" s="561" t="s">
        <v>1052</v>
      </c>
      <c r="BV261" s="561" t="s">
        <v>351</v>
      </c>
      <c r="BW261" s="561" t="s">
        <v>1052</v>
      </c>
      <c r="BX261" s="561" t="s">
        <v>1052</v>
      </c>
      <c r="BY261" s="561" t="s">
        <v>1052</v>
      </c>
      <c r="BZ261" s="561" t="s">
        <v>1052</v>
      </c>
      <c r="CA261" s="561" t="s">
        <v>1052</v>
      </c>
      <c r="CB261" s="561" t="s">
        <v>1052</v>
      </c>
      <c r="CC261" s="561" t="s">
        <v>1052</v>
      </c>
      <c r="CD261" s="561" t="s">
        <v>1052</v>
      </c>
      <c r="CE261" s="561" t="s">
        <v>1052</v>
      </c>
      <c r="CF261" s="561" t="s">
        <v>1052</v>
      </c>
      <c r="CG261" s="561" t="s">
        <v>351</v>
      </c>
      <c r="CH261" s="561" t="s">
        <v>1052</v>
      </c>
      <c r="CI261" s="561" t="s">
        <v>351</v>
      </c>
      <c r="CJ261" s="561" t="s">
        <v>1052</v>
      </c>
      <c r="CK261" s="561" t="s">
        <v>1052</v>
      </c>
    </row>
    <row r="262" spans="1:89" s="180" customFormat="1" x14ac:dyDescent="0.3">
      <c r="A262" s="155">
        <v>9005</v>
      </c>
      <c r="B262" s="571" t="s">
        <v>1053</v>
      </c>
      <c r="C262" s="571" t="s">
        <v>1054</v>
      </c>
      <c r="D262" s="180">
        <v>3303839</v>
      </c>
      <c r="E262" s="180">
        <v>2055089</v>
      </c>
      <c r="F262" s="180">
        <v>903076</v>
      </c>
      <c r="G262" s="180">
        <v>615296</v>
      </c>
      <c r="H262" s="180">
        <v>0</v>
      </c>
      <c r="I262" s="180">
        <v>2717612</v>
      </c>
      <c r="J262" s="180">
        <v>2108350</v>
      </c>
      <c r="K262" s="180">
        <v>6996369</v>
      </c>
      <c r="L262" s="180">
        <v>4859966</v>
      </c>
      <c r="M262" s="180">
        <v>11452288</v>
      </c>
      <c r="N262" s="180">
        <v>0</v>
      </c>
      <c r="O262" s="180">
        <v>126141063</v>
      </c>
      <c r="P262" s="180">
        <v>84477</v>
      </c>
      <c r="Q262" s="180">
        <v>279901</v>
      </c>
      <c r="R262" s="180">
        <v>1067714</v>
      </c>
      <c r="S262" s="180">
        <v>1150398</v>
      </c>
      <c r="T262" s="180">
        <v>1250255</v>
      </c>
      <c r="U262" s="180">
        <v>407162</v>
      </c>
      <c r="V262" s="180">
        <v>296530</v>
      </c>
      <c r="W262" s="180">
        <v>2092877</v>
      </c>
      <c r="X262" s="180">
        <v>36913259</v>
      </c>
      <c r="Y262" s="180">
        <v>340931000</v>
      </c>
      <c r="Z262" s="180">
        <v>4325261</v>
      </c>
      <c r="AA262" s="180">
        <v>491377</v>
      </c>
      <c r="AB262" s="180">
        <v>2544580</v>
      </c>
      <c r="AC262" s="180">
        <v>0</v>
      </c>
      <c r="AD262" s="180">
        <v>4213226</v>
      </c>
      <c r="AE262" s="180">
        <v>2479676</v>
      </c>
      <c r="AF262" s="180">
        <v>23098762</v>
      </c>
      <c r="AG262" s="180">
        <v>7682547</v>
      </c>
      <c r="AH262" s="180">
        <v>3193863</v>
      </c>
      <c r="AI262" s="180">
        <v>5305272</v>
      </c>
      <c r="AJ262" s="180">
        <v>1257951</v>
      </c>
      <c r="AK262" s="180">
        <v>1653073</v>
      </c>
      <c r="AL262" s="180">
        <v>876216</v>
      </c>
      <c r="AM262" s="180">
        <v>0</v>
      </c>
      <c r="AN262" s="180">
        <v>982488</v>
      </c>
      <c r="AO262" s="180">
        <v>0</v>
      </c>
      <c r="AP262" s="180">
        <v>80691</v>
      </c>
      <c r="AQ262" s="180">
        <v>63190471</v>
      </c>
      <c r="AR262" s="180">
        <v>311096</v>
      </c>
      <c r="AS262" s="180">
        <v>1870195</v>
      </c>
      <c r="AT262" s="180">
        <v>9594713</v>
      </c>
      <c r="AU262" s="180">
        <v>549849</v>
      </c>
      <c r="AV262" s="180">
        <v>1101605</v>
      </c>
      <c r="AW262" s="180">
        <v>22033648</v>
      </c>
      <c r="AX262" s="180">
        <v>123019</v>
      </c>
      <c r="AY262" s="180">
        <v>3228670</v>
      </c>
      <c r="AZ262" s="180">
        <v>8869173</v>
      </c>
      <c r="BA262" s="180">
        <v>487628</v>
      </c>
      <c r="BB262" s="180">
        <v>283531</v>
      </c>
      <c r="BC262" s="180">
        <v>3396110</v>
      </c>
      <c r="BD262" s="180">
        <v>165936</v>
      </c>
      <c r="BE262" s="180">
        <v>11564233</v>
      </c>
      <c r="BF262" s="180">
        <v>2383566</v>
      </c>
      <c r="BG262" s="180">
        <v>834567</v>
      </c>
      <c r="BH262" s="180">
        <v>517502</v>
      </c>
      <c r="BI262" s="180">
        <v>1425815</v>
      </c>
      <c r="BJ262" s="180">
        <v>3280823</v>
      </c>
      <c r="BK262" s="180">
        <v>14255</v>
      </c>
      <c r="BL262" s="180">
        <v>2000829</v>
      </c>
      <c r="BM262" s="180">
        <v>935846</v>
      </c>
      <c r="BN262" s="180">
        <v>9815351</v>
      </c>
      <c r="BO262" s="180">
        <v>4861470</v>
      </c>
      <c r="BP262" s="180">
        <v>119446200</v>
      </c>
      <c r="BQ262" s="180">
        <v>61486</v>
      </c>
      <c r="BR262" s="180">
        <v>0</v>
      </c>
      <c r="BS262" s="180">
        <v>869511</v>
      </c>
      <c r="BT262" s="180">
        <v>0</v>
      </c>
      <c r="BU262" s="180">
        <v>1198223</v>
      </c>
      <c r="BV262" s="180">
        <v>6436789</v>
      </c>
      <c r="BW262" s="180">
        <v>9849211</v>
      </c>
      <c r="BX262" s="180">
        <v>2750581</v>
      </c>
      <c r="BY262" s="180">
        <v>0</v>
      </c>
      <c r="BZ262" s="180">
        <v>1273490</v>
      </c>
      <c r="CA262" s="180">
        <v>666558</v>
      </c>
      <c r="CB262" s="180">
        <v>5294377</v>
      </c>
      <c r="CC262" s="180">
        <v>822488</v>
      </c>
      <c r="CD262" s="180">
        <v>791880</v>
      </c>
      <c r="CE262" s="180">
        <v>0</v>
      </c>
      <c r="CF262" s="180">
        <v>8454067</v>
      </c>
      <c r="CG262" s="180">
        <v>2539628</v>
      </c>
      <c r="CH262" s="180">
        <v>28406</v>
      </c>
      <c r="CI262" s="180">
        <v>3317271</v>
      </c>
      <c r="CJ262" s="180">
        <v>0</v>
      </c>
      <c r="CK262" s="180">
        <v>60792</v>
      </c>
    </row>
    <row r="263" spans="1:89" s="180" customFormat="1" x14ac:dyDescent="0.3">
      <c r="A263" s="155">
        <v>9006</v>
      </c>
      <c r="B263" s="571" t="s">
        <v>1055</v>
      </c>
      <c r="C263" s="571" t="s">
        <v>1056</v>
      </c>
      <c r="D263" s="180">
        <v>624805</v>
      </c>
      <c r="E263" s="180">
        <v>1586006</v>
      </c>
      <c r="F263" s="180">
        <v>384878</v>
      </c>
      <c r="G263" s="180">
        <v>216042</v>
      </c>
      <c r="H263" s="180">
        <v>0</v>
      </c>
      <c r="I263" s="180">
        <v>7181900</v>
      </c>
      <c r="J263" s="180">
        <v>2145895</v>
      </c>
      <c r="K263" s="180">
        <v>20177481</v>
      </c>
      <c r="L263" s="180">
        <v>3282183</v>
      </c>
      <c r="M263" s="180">
        <v>29896485</v>
      </c>
      <c r="N263" s="180">
        <v>0</v>
      </c>
      <c r="O263" s="180">
        <v>201166380</v>
      </c>
      <c r="P263" s="180">
        <v>41731</v>
      </c>
      <c r="Q263" s="180">
        <v>172254</v>
      </c>
      <c r="R263" s="180">
        <v>1149567</v>
      </c>
      <c r="S263" s="180">
        <v>993209</v>
      </c>
      <c r="T263" s="180">
        <v>2193598</v>
      </c>
      <c r="U263" s="180">
        <v>158306</v>
      </c>
      <c r="V263" s="180">
        <v>207892</v>
      </c>
      <c r="W263" s="180">
        <v>1732464</v>
      </c>
      <c r="X263" s="180">
        <v>70701396</v>
      </c>
      <c r="Y263" s="180">
        <v>768973000</v>
      </c>
      <c r="Z263" s="180">
        <v>5923937</v>
      </c>
      <c r="AA263" s="180">
        <v>518005</v>
      </c>
      <c r="AB263" s="180">
        <v>4076112</v>
      </c>
      <c r="AC263" s="180">
        <v>0</v>
      </c>
      <c r="AD263" s="180">
        <v>4849985</v>
      </c>
      <c r="AE263" s="180">
        <v>665670</v>
      </c>
      <c r="AF263" s="180">
        <v>36135551</v>
      </c>
      <c r="AG263" s="180">
        <v>8414918</v>
      </c>
      <c r="AH263" s="180">
        <v>1776888</v>
      </c>
      <c r="AI263" s="180">
        <v>10168804</v>
      </c>
      <c r="AJ263" s="180">
        <v>1109324</v>
      </c>
      <c r="AK263" s="180">
        <v>1593374</v>
      </c>
      <c r="AL263" s="180">
        <v>418494</v>
      </c>
      <c r="AM263" s="180">
        <v>0</v>
      </c>
      <c r="AN263" s="180">
        <v>556546</v>
      </c>
      <c r="AO263" s="180">
        <v>0</v>
      </c>
      <c r="AP263" s="180">
        <v>24796</v>
      </c>
      <c r="AQ263" s="180">
        <v>115060004</v>
      </c>
      <c r="AR263" s="180">
        <v>129773</v>
      </c>
      <c r="AS263" s="180">
        <v>564652</v>
      </c>
      <c r="AT263" s="180">
        <v>11169717</v>
      </c>
      <c r="AU263" s="180">
        <v>741510</v>
      </c>
      <c r="AV263" s="180">
        <v>439675</v>
      </c>
      <c r="AW263" s="180">
        <v>25921949</v>
      </c>
      <c r="AX263" s="180">
        <v>304910</v>
      </c>
      <c r="AY263" s="180">
        <v>6087153</v>
      </c>
      <c r="AZ263" s="180">
        <v>4062334</v>
      </c>
      <c r="BA263" s="180">
        <v>151303</v>
      </c>
      <c r="BB263" s="180">
        <v>111674</v>
      </c>
      <c r="BC263" s="180">
        <v>4089364</v>
      </c>
      <c r="BD263" s="180">
        <v>73772</v>
      </c>
      <c r="BE263" s="180">
        <v>14907872</v>
      </c>
      <c r="BF263" s="180">
        <v>1427184</v>
      </c>
      <c r="BG263" s="180">
        <v>628150</v>
      </c>
      <c r="BH263" s="180">
        <v>356509</v>
      </c>
      <c r="BI263" s="180">
        <v>1948336</v>
      </c>
      <c r="BJ263" s="180">
        <v>479437</v>
      </c>
      <c r="BK263" s="180">
        <v>254949</v>
      </c>
      <c r="BL263" s="180">
        <v>1172481</v>
      </c>
      <c r="BM263" s="180">
        <v>403779</v>
      </c>
      <c r="BN263" s="180">
        <v>9921549</v>
      </c>
      <c r="BO263" s="180">
        <v>12763300</v>
      </c>
      <c r="BP263" s="180">
        <v>232047320</v>
      </c>
      <c r="BQ263" s="180">
        <v>56682</v>
      </c>
      <c r="BR263" s="180">
        <v>0</v>
      </c>
      <c r="BS263" s="180">
        <v>381616</v>
      </c>
      <c r="BT263" s="180">
        <v>0</v>
      </c>
      <c r="BU263" s="180">
        <v>1958035</v>
      </c>
      <c r="BV263" s="180">
        <v>1531699</v>
      </c>
      <c r="BW263" s="180">
        <v>17348367</v>
      </c>
      <c r="BX263" s="180">
        <v>6314813</v>
      </c>
      <c r="BY263" s="180">
        <v>0</v>
      </c>
      <c r="BZ263" s="180">
        <v>4577773</v>
      </c>
      <c r="CA263" s="180">
        <v>293516</v>
      </c>
      <c r="CB263" s="180">
        <v>5545547</v>
      </c>
      <c r="CC263" s="180">
        <v>297903</v>
      </c>
      <c r="CD263" s="180">
        <v>959236</v>
      </c>
      <c r="CE263" s="180">
        <v>0</v>
      </c>
      <c r="CF263" s="180">
        <v>8111787</v>
      </c>
      <c r="CG263" s="180">
        <v>11627465</v>
      </c>
      <c r="CH263" s="180">
        <v>1864046</v>
      </c>
      <c r="CI263" s="180">
        <v>3215958</v>
      </c>
      <c r="CJ263" s="180">
        <v>0</v>
      </c>
      <c r="CK263" s="180">
        <v>62719</v>
      </c>
    </row>
    <row r="264" spans="1:89" s="180" customFormat="1" x14ac:dyDescent="0.3">
      <c r="A264" s="155">
        <v>9007</v>
      </c>
      <c r="B264" s="571" t="s">
        <v>1628</v>
      </c>
      <c r="C264" s="571" t="s">
        <v>1057</v>
      </c>
      <c r="D264" s="180">
        <v>5.2877999999999998</v>
      </c>
      <c r="E264" s="180">
        <v>1.2958000000000001</v>
      </c>
      <c r="F264" s="180">
        <v>2.3464</v>
      </c>
      <c r="G264" s="180">
        <v>2.8479999999999999</v>
      </c>
      <c r="H264" s="180">
        <v>0</v>
      </c>
      <c r="I264" s="180">
        <v>0.37840000000000001</v>
      </c>
      <c r="J264" s="180">
        <v>0.98250000000000004</v>
      </c>
      <c r="K264" s="180">
        <v>0.34670000000000001</v>
      </c>
      <c r="L264" s="180">
        <v>1.4806999999999999</v>
      </c>
      <c r="M264" s="180">
        <v>0.3831</v>
      </c>
      <c r="N264" s="180">
        <v>0</v>
      </c>
      <c r="O264" s="180">
        <v>0.627</v>
      </c>
      <c r="P264" s="180">
        <v>2.0243000000000002</v>
      </c>
      <c r="Q264" s="180">
        <v>1.6249</v>
      </c>
      <c r="R264" s="180">
        <v>0.92879999999999996</v>
      </c>
      <c r="S264" s="180">
        <v>1.1583000000000001</v>
      </c>
      <c r="T264" s="180">
        <v>0.56999999999999995</v>
      </c>
      <c r="U264" s="180">
        <v>2.5720000000000001</v>
      </c>
      <c r="V264" s="180">
        <v>1.4263999999999999</v>
      </c>
      <c r="W264" s="180">
        <v>1.208</v>
      </c>
      <c r="X264" s="180">
        <v>0.52210000000000001</v>
      </c>
      <c r="Y264" s="180">
        <v>0.44340000000000002</v>
      </c>
      <c r="Z264" s="180">
        <v>0.73009999999999997</v>
      </c>
      <c r="AA264" s="180">
        <v>0.9486</v>
      </c>
      <c r="AB264" s="180">
        <v>0.62429999999999997</v>
      </c>
      <c r="AC264" s="180">
        <v>0</v>
      </c>
      <c r="AD264" s="180">
        <v>0.86870000000000003</v>
      </c>
      <c r="AE264" s="180">
        <v>3.7250999999999999</v>
      </c>
      <c r="AF264" s="180">
        <v>0.63919999999999999</v>
      </c>
      <c r="AG264" s="180">
        <v>0.91300000000000003</v>
      </c>
      <c r="AH264" s="180">
        <v>1.7974000000000001</v>
      </c>
      <c r="AI264" s="180">
        <v>0.52170000000000005</v>
      </c>
      <c r="AJ264" s="180">
        <v>1.1339999999999999</v>
      </c>
      <c r="AK264" s="180">
        <v>1.0375000000000001</v>
      </c>
      <c r="AL264" s="180">
        <v>2.0937000000000001</v>
      </c>
      <c r="AM264" s="180">
        <v>0</v>
      </c>
      <c r="AN264" s="180">
        <v>1.7653000000000001</v>
      </c>
      <c r="AO264" s="180">
        <v>0</v>
      </c>
      <c r="AP264" s="180">
        <v>3.2542</v>
      </c>
      <c r="AQ264" s="180">
        <v>0.54920000000000002</v>
      </c>
      <c r="AR264" s="180">
        <v>2.3972000000000002</v>
      </c>
      <c r="AS264" s="180">
        <v>3.3121</v>
      </c>
      <c r="AT264" s="180">
        <v>0.85899999999999999</v>
      </c>
      <c r="AU264" s="180">
        <v>0.74150000000000005</v>
      </c>
      <c r="AV264" s="180">
        <v>2.5055000000000001</v>
      </c>
      <c r="AW264" s="180">
        <v>0.85</v>
      </c>
      <c r="AX264" s="180">
        <v>0.40350000000000003</v>
      </c>
      <c r="AY264" s="180">
        <v>0.53039999999999998</v>
      </c>
      <c r="AZ264" s="180">
        <v>2.1833</v>
      </c>
      <c r="BA264" s="180">
        <v>3.2229000000000001</v>
      </c>
      <c r="BB264" s="180">
        <v>2.5388999999999999</v>
      </c>
      <c r="BC264" s="180">
        <v>0.83050000000000002</v>
      </c>
      <c r="BD264" s="180">
        <v>2.2492999999999999</v>
      </c>
      <c r="BE264" s="180">
        <v>0.77569999999999995</v>
      </c>
      <c r="BF264" s="180">
        <v>1.6700999999999999</v>
      </c>
      <c r="BG264" s="180">
        <v>1.3286</v>
      </c>
      <c r="BH264" s="180">
        <v>1.4516</v>
      </c>
      <c r="BI264" s="180">
        <v>0.73180000000000001</v>
      </c>
      <c r="BJ264" s="180">
        <v>6.8430999999999997</v>
      </c>
      <c r="BK264" s="180">
        <v>5.5899999999999998E-2</v>
      </c>
      <c r="BL264" s="180">
        <v>1.7064999999999999</v>
      </c>
      <c r="BM264" s="180">
        <v>2.3176999999999999</v>
      </c>
      <c r="BN264" s="180">
        <v>0.98929999999999996</v>
      </c>
      <c r="BO264" s="180">
        <v>0.38090000000000002</v>
      </c>
      <c r="BP264" s="180">
        <v>0.51470000000000005</v>
      </c>
      <c r="BQ264" s="180">
        <v>1.0848</v>
      </c>
      <c r="BR264" s="180">
        <v>0</v>
      </c>
      <c r="BS264" s="180">
        <v>2.2785000000000002</v>
      </c>
      <c r="BT264" s="180">
        <v>0</v>
      </c>
      <c r="BU264" s="180">
        <v>0.61199999999999999</v>
      </c>
      <c r="BV264" s="180">
        <v>4.2023999999999999</v>
      </c>
      <c r="BW264" s="180">
        <v>0.56769999999999998</v>
      </c>
      <c r="BX264" s="180">
        <v>0.43559999999999999</v>
      </c>
      <c r="BY264" s="180">
        <v>0</v>
      </c>
      <c r="BZ264" s="180">
        <v>0.2782</v>
      </c>
      <c r="CA264" s="180">
        <v>2.2709000000000001</v>
      </c>
      <c r="CB264" s="180">
        <v>0.95469999999999999</v>
      </c>
      <c r="CC264" s="180">
        <v>2.7608999999999999</v>
      </c>
      <c r="CD264" s="180">
        <v>0.82550000000000001</v>
      </c>
      <c r="CE264" s="180">
        <v>0</v>
      </c>
      <c r="CF264" s="180">
        <v>1.0422</v>
      </c>
      <c r="CG264" s="180">
        <v>0.21840000000000001</v>
      </c>
      <c r="CH264" s="180">
        <v>1.52E-2</v>
      </c>
      <c r="CI264" s="180">
        <v>1.0315000000000001</v>
      </c>
      <c r="CJ264" s="180">
        <v>0</v>
      </c>
      <c r="CK264" s="180">
        <v>0.96930000000000005</v>
      </c>
    </row>
    <row r="265" spans="1:89" s="180" customFormat="1" x14ac:dyDescent="0.3">
      <c r="A265" s="155">
        <v>9008</v>
      </c>
      <c r="B265" s="571" t="s">
        <v>1058</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c r="BW265" s="180">
        <v>0</v>
      </c>
      <c r="BX265" s="180">
        <v>0</v>
      </c>
      <c r="BY265" s="180">
        <v>0</v>
      </c>
      <c r="BZ265" s="180">
        <v>0</v>
      </c>
      <c r="CA265" s="180">
        <v>0</v>
      </c>
      <c r="CB265" s="180">
        <v>0</v>
      </c>
      <c r="CC265" s="180">
        <v>0</v>
      </c>
      <c r="CD265" s="180">
        <v>0</v>
      </c>
      <c r="CE265" s="180">
        <v>0</v>
      </c>
      <c r="CF265" s="180">
        <v>0</v>
      </c>
      <c r="CG265" s="180">
        <v>0</v>
      </c>
      <c r="CH265" s="180">
        <v>0</v>
      </c>
      <c r="CI265" s="180">
        <v>0</v>
      </c>
      <c r="CJ265" s="180">
        <v>0</v>
      </c>
      <c r="CK265" s="180">
        <v>0</v>
      </c>
    </row>
    <row r="266" spans="1:89" s="180" customFormat="1" x14ac:dyDescent="0.3">
      <c r="A266" s="155">
        <v>9010</v>
      </c>
      <c r="B266" s="571" t="s">
        <v>1059</v>
      </c>
      <c r="C266" s="571" t="s">
        <v>1060</v>
      </c>
      <c r="D266" s="180">
        <v>57.75</v>
      </c>
      <c r="E266" s="180">
        <v>0</v>
      </c>
      <c r="F266" s="180">
        <v>60.53</v>
      </c>
      <c r="G266" s="180">
        <v>1.39</v>
      </c>
      <c r="H266" s="180">
        <v>0</v>
      </c>
      <c r="I266" s="180">
        <v>14.04</v>
      </c>
      <c r="J266" s="180">
        <v>0</v>
      </c>
      <c r="K266" s="180">
        <v>2.2599999999999998</v>
      </c>
      <c r="L266" s="180">
        <v>0</v>
      </c>
      <c r="M266" s="180">
        <v>0</v>
      </c>
      <c r="N266" s="180">
        <v>0</v>
      </c>
      <c r="O266" s="180">
        <v>16.48</v>
      </c>
      <c r="P266" s="180">
        <v>0</v>
      </c>
      <c r="Q266" s="180">
        <v>0</v>
      </c>
      <c r="R266" s="180">
        <v>0</v>
      </c>
      <c r="S266" s="180">
        <v>0</v>
      </c>
      <c r="T266" s="180">
        <v>0</v>
      </c>
      <c r="U266" s="180">
        <v>0</v>
      </c>
      <c r="V266" s="180">
        <v>19.23</v>
      </c>
      <c r="W266" s="180">
        <v>8.69</v>
      </c>
      <c r="X266" s="180">
        <v>0</v>
      </c>
      <c r="Y266" s="180">
        <v>1.06</v>
      </c>
      <c r="Z266" s="180">
        <v>1.8</v>
      </c>
      <c r="AA266" s="180">
        <v>50.91</v>
      </c>
      <c r="AB266" s="180">
        <v>0</v>
      </c>
      <c r="AC266" s="180">
        <v>0</v>
      </c>
      <c r="AD266" s="180">
        <v>14.39</v>
      </c>
      <c r="AE266" s="180">
        <v>14.95</v>
      </c>
      <c r="AF266" s="180">
        <v>1.45</v>
      </c>
      <c r="AG266" s="180">
        <v>0</v>
      </c>
      <c r="AH266" s="180">
        <v>0</v>
      </c>
      <c r="AI266" s="180">
        <v>10.99</v>
      </c>
      <c r="AJ266" s="180">
        <v>15.69</v>
      </c>
      <c r="AK266" s="180">
        <v>17.399999999999999</v>
      </c>
      <c r="AL266" s="180">
        <v>6.82</v>
      </c>
      <c r="AM266" s="180">
        <v>0</v>
      </c>
      <c r="AN266" s="180">
        <v>20.54</v>
      </c>
      <c r="AO266" s="180">
        <v>0</v>
      </c>
      <c r="AP266" s="180">
        <v>0</v>
      </c>
      <c r="AQ266" s="180">
        <v>20.36</v>
      </c>
      <c r="AR266" s="180">
        <v>0</v>
      </c>
      <c r="AS266" s="180">
        <v>0</v>
      </c>
      <c r="AT266" s="180">
        <v>15.19</v>
      </c>
      <c r="AU266" s="180">
        <v>17.260000000000002</v>
      </c>
      <c r="AV266" s="180">
        <v>0</v>
      </c>
      <c r="AW266" s="180">
        <v>0</v>
      </c>
      <c r="AX266" s="180">
        <v>2.4300000000000002</v>
      </c>
      <c r="AY266" s="180">
        <v>0</v>
      </c>
      <c r="AZ266" s="180">
        <v>0</v>
      </c>
      <c r="BA266" s="180">
        <v>30.89</v>
      </c>
      <c r="BB266" s="180">
        <v>0</v>
      </c>
      <c r="BC266" s="180">
        <v>12.01</v>
      </c>
      <c r="BD266" s="180">
        <v>0</v>
      </c>
      <c r="BE266" s="180">
        <v>0</v>
      </c>
      <c r="BF266" s="180">
        <v>4.04</v>
      </c>
      <c r="BG266" s="180">
        <v>0</v>
      </c>
      <c r="BH266" s="180">
        <v>0</v>
      </c>
      <c r="BI266" s="180">
        <v>8.91</v>
      </c>
      <c r="BJ266" s="180">
        <v>0</v>
      </c>
      <c r="BK266" s="180">
        <v>3.01</v>
      </c>
      <c r="BL266" s="180">
        <v>1.27</v>
      </c>
      <c r="BM266" s="180">
        <v>5.0599999999999996</v>
      </c>
      <c r="BN266" s="180">
        <v>0</v>
      </c>
      <c r="BO266" s="180">
        <v>1.8</v>
      </c>
      <c r="BP266" s="180">
        <v>3.75</v>
      </c>
      <c r="BQ266" s="180">
        <v>0</v>
      </c>
      <c r="BR266" s="180">
        <v>0</v>
      </c>
      <c r="BS266" s="180">
        <v>16.52</v>
      </c>
      <c r="BT266" s="180">
        <v>0</v>
      </c>
      <c r="BU266" s="180">
        <v>0</v>
      </c>
      <c r="BV266" s="180">
        <v>0</v>
      </c>
      <c r="BW266" s="180">
        <v>3.2</v>
      </c>
      <c r="BX266" s="180">
        <v>5.0199999999999996</v>
      </c>
      <c r="BY266" s="180">
        <v>0</v>
      </c>
      <c r="BZ266" s="180">
        <v>11.79</v>
      </c>
      <c r="CA266" s="180">
        <v>19.309999999999999</v>
      </c>
      <c r="CB266" s="180">
        <v>14.61</v>
      </c>
      <c r="CC266" s="180">
        <v>1808.51</v>
      </c>
      <c r="CD266" s="180">
        <v>67.66</v>
      </c>
      <c r="CE266" s="180">
        <v>0</v>
      </c>
      <c r="CF266" s="180">
        <v>12.07</v>
      </c>
      <c r="CG266" s="180">
        <v>0</v>
      </c>
      <c r="CH266" s="180">
        <v>9.93</v>
      </c>
      <c r="CI266" s="180">
        <v>0</v>
      </c>
      <c r="CJ266" s="180">
        <v>0</v>
      </c>
      <c r="CK266" s="180">
        <v>1.95</v>
      </c>
    </row>
    <row r="267" spans="1:89" s="180" customFormat="1" x14ac:dyDescent="0.3">
      <c r="A267" s="155">
        <v>9011</v>
      </c>
      <c r="B267" s="571" t="s">
        <v>1790</v>
      </c>
      <c r="C267" s="571" t="s">
        <v>1061</v>
      </c>
      <c r="D267" s="180">
        <v>19393</v>
      </c>
      <c r="E267" s="180">
        <v>0</v>
      </c>
      <c r="F267" s="180">
        <v>145318</v>
      </c>
      <c r="G267" s="180">
        <v>-3950</v>
      </c>
      <c r="H267" s="180">
        <v>0</v>
      </c>
      <c r="I267" s="180">
        <v>536048</v>
      </c>
      <c r="J267" s="180">
        <v>0</v>
      </c>
      <c r="K267" s="180">
        <v>2091294</v>
      </c>
      <c r="L267" s="180">
        <v>0</v>
      </c>
      <c r="M267" s="180">
        <v>0</v>
      </c>
      <c r="N267" s="180">
        <v>0</v>
      </c>
      <c r="O267" s="180">
        <v>16046518</v>
      </c>
      <c r="P267" s="180">
        <v>0</v>
      </c>
      <c r="Q267" s="180">
        <v>0</v>
      </c>
      <c r="R267" s="180">
        <v>0</v>
      </c>
      <c r="S267" s="180">
        <v>0</v>
      </c>
      <c r="T267" s="180">
        <v>0</v>
      </c>
      <c r="U267" s="180">
        <v>0</v>
      </c>
      <c r="V267" s="180">
        <v>12429</v>
      </c>
      <c r="W267" s="180">
        <v>69114</v>
      </c>
      <c r="X267" s="180">
        <v>0</v>
      </c>
      <c r="Y267" s="180">
        <v>103344000</v>
      </c>
      <c r="Z267" s="180">
        <v>500209</v>
      </c>
      <c r="AA267" s="180">
        <v>37679</v>
      </c>
      <c r="AB267" s="180">
        <v>0</v>
      </c>
      <c r="AC267" s="180">
        <v>0</v>
      </c>
      <c r="AD267" s="180">
        <v>719983</v>
      </c>
      <c r="AE267" s="180">
        <v>145217</v>
      </c>
      <c r="AF267" s="180">
        <v>4924466</v>
      </c>
      <c r="AG267" s="180">
        <v>0</v>
      </c>
      <c r="AH267" s="180">
        <v>232592</v>
      </c>
      <c r="AI267" s="180">
        <v>960380</v>
      </c>
      <c r="AJ267" s="180">
        <v>38713</v>
      </c>
      <c r="AK267" s="180">
        <v>39559</v>
      </c>
      <c r="AL267" s="180">
        <v>33993</v>
      </c>
      <c r="AM267" s="180">
        <v>0</v>
      </c>
      <c r="AN267" s="180">
        <v>-171170</v>
      </c>
      <c r="AO267" s="180">
        <v>0</v>
      </c>
      <c r="AP267" s="180">
        <v>0</v>
      </c>
      <c r="AQ267" s="180">
        <v>13472947</v>
      </c>
      <c r="AR267" s="180">
        <v>0</v>
      </c>
      <c r="AS267" s="180">
        <v>18942</v>
      </c>
      <c r="AT267" s="180">
        <v>2009021</v>
      </c>
      <c r="AU267" s="180">
        <v>59274</v>
      </c>
      <c r="AV267" s="180">
        <v>0</v>
      </c>
      <c r="AW267" s="180">
        <v>0</v>
      </c>
      <c r="AX267" s="180">
        <v>-14109</v>
      </c>
      <c r="AY267" s="180">
        <v>0</v>
      </c>
      <c r="AZ267" s="180">
        <v>0</v>
      </c>
      <c r="BA267" s="180">
        <v>59776</v>
      </c>
      <c r="BB267" s="180">
        <v>-6002</v>
      </c>
      <c r="BC267" s="180">
        <v>430737</v>
      </c>
      <c r="BD267" s="180">
        <v>0</v>
      </c>
      <c r="BE267" s="180">
        <v>0</v>
      </c>
      <c r="BF267" s="180">
        <v>276492</v>
      </c>
      <c r="BG267" s="180">
        <v>0</v>
      </c>
      <c r="BH267" s="180">
        <v>0</v>
      </c>
      <c r="BI267" s="180">
        <v>34531</v>
      </c>
      <c r="BJ267" s="180">
        <v>0</v>
      </c>
      <c r="BK267" s="180">
        <v>48321</v>
      </c>
      <c r="BL267" s="180">
        <v>71421</v>
      </c>
      <c r="BM267" s="180">
        <v>25461</v>
      </c>
      <c r="BN267" s="180">
        <v>0</v>
      </c>
      <c r="BO267" s="180">
        <v>446833</v>
      </c>
      <c r="BP267" s="180">
        <v>33755622</v>
      </c>
      <c r="BQ267" s="180">
        <v>0</v>
      </c>
      <c r="BR267" s="180">
        <v>0</v>
      </c>
      <c r="BS267" s="180">
        <v>79564</v>
      </c>
      <c r="BT267" s="180">
        <v>0</v>
      </c>
      <c r="BU267" s="180">
        <v>29190</v>
      </c>
      <c r="BV267" s="180">
        <v>0</v>
      </c>
      <c r="BW267" s="180">
        <v>-1272526</v>
      </c>
      <c r="BX267" s="180">
        <v>208350</v>
      </c>
      <c r="BY267" s="180">
        <v>0</v>
      </c>
      <c r="BZ267" s="180">
        <v>260274</v>
      </c>
      <c r="CA267" s="180">
        <v>-841</v>
      </c>
      <c r="CB267" s="180">
        <v>640485</v>
      </c>
      <c r="CC267" s="180">
        <v>127400</v>
      </c>
      <c r="CD267" s="180">
        <v>-113110</v>
      </c>
      <c r="CE267" s="180">
        <v>0</v>
      </c>
      <c r="CF267" s="180">
        <v>1528971</v>
      </c>
      <c r="CG267" s="180">
        <v>0</v>
      </c>
      <c r="CH267" s="180">
        <v>122221</v>
      </c>
      <c r="CI267" s="180">
        <v>0</v>
      </c>
      <c r="CJ267" s="180">
        <v>0</v>
      </c>
      <c r="CK267" s="180">
        <v>17706</v>
      </c>
    </row>
    <row r="268" spans="1:89" s="180" customFormat="1" x14ac:dyDescent="0.3">
      <c r="A268" s="155">
        <v>9012</v>
      </c>
      <c r="B268" s="571" t="s">
        <v>1791</v>
      </c>
      <c r="C268" s="571" t="s">
        <v>1061</v>
      </c>
      <c r="D268" s="180">
        <v>1.0109999999999999</v>
      </c>
      <c r="E268" s="180">
        <v>0</v>
      </c>
      <c r="F268" s="180">
        <v>4.8567999999999998</v>
      </c>
      <c r="G268" s="180">
        <v>2.2768000000000002</v>
      </c>
      <c r="H268" s="180">
        <v>0</v>
      </c>
      <c r="I268" s="180">
        <v>2.0213000000000001</v>
      </c>
      <c r="J268" s="180">
        <v>0</v>
      </c>
      <c r="K268" s="180">
        <v>0.58030000000000004</v>
      </c>
      <c r="L268" s="180">
        <v>0</v>
      </c>
      <c r="M268" s="180">
        <v>0</v>
      </c>
      <c r="N268" s="180">
        <v>0</v>
      </c>
      <c r="O268" s="180">
        <v>3.2904</v>
      </c>
      <c r="P268" s="180">
        <v>0</v>
      </c>
      <c r="Q268" s="180">
        <v>0</v>
      </c>
      <c r="R268" s="180">
        <v>0</v>
      </c>
      <c r="S268" s="180">
        <v>0</v>
      </c>
      <c r="T268" s="180">
        <v>0</v>
      </c>
      <c r="U268" s="180">
        <v>0</v>
      </c>
      <c r="V268" s="180">
        <v>3.839</v>
      </c>
      <c r="W268" s="180">
        <v>2.5333000000000001</v>
      </c>
      <c r="X268" s="180">
        <v>0</v>
      </c>
      <c r="Y268" s="180">
        <v>0.57150000000000001</v>
      </c>
      <c r="Z268" s="180">
        <v>0.74029999999999996</v>
      </c>
      <c r="AA268" s="180">
        <v>5.0434999999999999</v>
      </c>
      <c r="AB268" s="180">
        <v>0</v>
      </c>
      <c r="AC268" s="180">
        <v>0</v>
      </c>
      <c r="AD268" s="180">
        <v>3.2038000000000002</v>
      </c>
      <c r="AE268" s="180">
        <v>1.0851999999999999</v>
      </c>
      <c r="AF268" s="180">
        <v>0.55979999999999996</v>
      </c>
      <c r="AG268" s="180">
        <v>0</v>
      </c>
      <c r="AH268" s="180">
        <v>9.8332999999999995</v>
      </c>
      <c r="AI268" s="180">
        <v>1.2797000000000001</v>
      </c>
      <c r="AJ268" s="180">
        <v>0.78859999999999997</v>
      </c>
      <c r="AK268" s="180">
        <v>2.0775999999999999</v>
      </c>
      <c r="AL268" s="180">
        <v>2.2141999999999999</v>
      </c>
      <c r="AM268" s="180">
        <v>0</v>
      </c>
      <c r="AN268" s="180">
        <v>3.4573999999999998</v>
      </c>
      <c r="AO268" s="180">
        <v>0</v>
      </c>
      <c r="AP268" s="180">
        <v>0</v>
      </c>
      <c r="AQ268" s="180">
        <v>2.3370000000000002</v>
      </c>
      <c r="AR268" s="180">
        <v>0</v>
      </c>
      <c r="AS268" s="180">
        <v>1.7509999999999999</v>
      </c>
      <c r="AT268" s="180">
        <v>2.3972000000000002</v>
      </c>
      <c r="AU268" s="180">
        <v>2.5851000000000002</v>
      </c>
      <c r="AV268" s="180">
        <v>0</v>
      </c>
      <c r="AW268" s="180">
        <v>0</v>
      </c>
      <c r="AX268" s="180">
        <v>0.42349999999999999</v>
      </c>
      <c r="AY268" s="180">
        <v>0</v>
      </c>
      <c r="AZ268" s="180">
        <v>0</v>
      </c>
      <c r="BA268" s="180">
        <v>0.872</v>
      </c>
      <c r="BB268" s="180">
        <v>0.40050000000000002</v>
      </c>
      <c r="BC268" s="180">
        <v>0.86260000000000003</v>
      </c>
      <c r="BD268" s="180">
        <v>0</v>
      </c>
      <c r="BE268" s="180">
        <v>0</v>
      </c>
      <c r="BF268" s="180">
        <v>0.54490000000000005</v>
      </c>
      <c r="BG268" s="180">
        <v>0</v>
      </c>
      <c r="BH268" s="180">
        <v>0</v>
      </c>
      <c r="BI268" s="180">
        <v>0.3659</v>
      </c>
      <c r="BJ268" s="180">
        <v>0</v>
      </c>
      <c r="BK268" s="180">
        <v>0.35070000000000001</v>
      </c>
      <c r="BL268" s="180">
        <v>4.391</v>
      </c>
      <c r="BM268" s="180">
        <v>1.7707999999999999</v>
      </c>
      <c r="BN268" s="180">
        <v>0</v>
      </c>
      <c r="BO268" s="180">
        <v>0.24110000000000001</v>
      </c>
      <c r="BP268" s="180">
        <v>1.5719000000000001</v>
      </c>
      <c r="BQ268" s="180">
        <v>0</v>
      </c>
      <c r="BR268" s="180">
        <v>0</v>
      </c>
      <c r="BS268" s="180">
        <v>1.7034</v>
      </c>
      <c r="BT268" s="180">
        <v>0</v>
      </c>
      <c r="BU268" s="180">
        <v>-2.41E-2</v>
      </c>
      <c r="BV268" s="180">
        <v>0</v>
      </c>
      <c r="BW268" s="180">
        <v>0.37969999999999998</v>
      </c>
      <c r="BX268" s="180">
        <v>0.23569999999999999</v>
      </c>
      <c r="BY268" s="180">
        <v>0</v>
      </c>
      <c r="BZ268" s="180">
        <v>2.0764</v>
      </c>
      <c r="CA268" s="180">
        <v>0.55559999999999998</v>
      </c>
      <c r="CB268" s="180">
        <v>2.1002999999999998</v>
      </c>
      <c r="CC268" s="180">
        <v>2.3393999999999999</v>
      </c>
      <c r="CD268" s="180">
        <v>4.1999999999999997E-3</v>
      </c>
      <c r="CE268" s="180">
        <v>0</v>
      </c>
      <c r="CF268" s="180">
        <v>1.3729</v>
      </c>
      <c r="CG268" s="180">
        <v>0</v>
      </c>
      <c r="CH268" s="180">
        <v>0.35980000000000001</v>
      </c>
      <c r="CI268" s="180">
        <v>0</v>
      </c>
      <c r="CJ268" s="180">
        <v>0</v>
      </c>
      <c r="CK268" s="180">
        <v>3.85E-2</v>
      </c>
    </row>
    <row r="269" spans="1:89" s="180" customFormat="1" x14ac:dyDescent="0.3">
      <c r="A269" s="155">
        <v>9013</v>
      </c>
      <c r="B269" s="556" t="s">
        <v>1062</v>
      </c>
      <c r="C269" s="556" t="s">
        <v>1063</v>
      </c>
      <c r="D269" s="180">
        <v>57.75</v>
      </c>
      <c r="E269" s="180">
        <v>0</v>
      </c>
      <c r="F269" s="180">
        <v>60.53</v>
      </c>
      <c r="G269" s="180">
        <v>1.39</v>
      </c>
      <c r="H269" s="180">
        <v>0</v>
      </c>
      <c r="I269" s="180">
        <v>14.04</v>
      </c>
      <c r="J269" s="180">
        <v>0</v>
      </c>
      <c r="K269" s="180">
        <v>2.2599999999999998</v>
      </c>
      <c r="L269" s="180">
        <v>0</v>
      </c>
      <c r="M269" s="180">
        <v>0</v>
      </c>
      <c r="N269" s="180">
        <v>0</v>
      </c>
      <c r="O269" s="180">
        <v>16.48</v>
      </c>
      <c r="P269" s="180">
        <v>0</v>
      </c>
      <c r="Q269" s="180">
        <v>0</v>
      </c>
      <c r="R269" s="180">
        <v>0</v>
      </c>
      <c r="S269" s="180">
        <v>0</v>
      </c>
      <c r="T269" s="180">
        <v>0</v>
      </c>
      <c r="U269" s="180">
        <v>0</v>
      </c>
      <c r="V269" s="180">
        <v>19.23</v>
      </c>
      <c r="W269" s="180">
        <v>8.69</v>
      </c>
      <c r="X269" s="180">
        <v>0</v>
      </c>
      <c r="Y269" s="180">
        <v>1.06</v>
      </c>
      <c r="Z269" s="180">
        <v>1.8</v>
      </c>
      <c r="AA269" s="180">
        <v>50.91</v>
      </c>
      <c r="AB269" s="180">
        <v>0</v>
      </c>
      <c r="AC269" s="180">
        <v>0</v>
      </c>
      <c r="AD269" s="180">
        <v>14.39</v>
      </c>
      <c r="AE269" s="180">
        <v>14.95</v>
      </c>
      <c r="AF269" s="180">
        <v>1.45</v>
      </c>
      <c r="AG269" s="180">
        <v>0</v>
      </c>
      <c r="AH269" s="180">
        <v>0</v>
      </c>
      <c r="AI269" s="180">
        <v>10.99</v>
      </c>
      <c r="AJ269" s="180">
        <v>15.69</v>
      </c>
      <c r="AK269" s="180">
        <v>17.399999999999999</v>
      </c>
      <c r="AL269" s="180">
        <v>6.82</v>
      </c>
      <c r="AM269" s="180">
        <v>0</v>
      </c>
      <c r="AN269" s="180">
        <v>20.54</v>
      </c>
      <c r="AO269" s="180">
        <v>0</v>
      </c>
      <c r="AP269" s="180">
        <v>0</v>
      </c>
      <c r="AQ269" s="180">
        <v>20.36</v>
      </c>
      <c r="AR269" s="180">
        <v>0</v>
      </c>
      <c r="AS269" s="180">
        <v>0</v>
      </c>
      <c r="AT269" s="180">
        <v>15.19</v>
      </c>
      <c r="AU269" s="180">
        <v>17.260000000000002</v>
      </c>
      <c r="AV269" s="180">
        <v>0</v>
      </c>
      <c r="AW269" s="180">
        <v>0</v>
      </c>
      <c r="AX269" s="180">
        <v>2.4300000000000002</v>
      </c>
      <c r="AY269" s="180">
        <v>0</v>
      </c>
      <c r="AZ269" s="180">
        <v>0</v>
      </c>
      <c r="BA269" s="180">
        <v>30.89</v>
      </c>
      <c r="BB269" s="180">
        <v>0</v>
      </c>
      <c r="BC269" s="180">
        <v>12.01</v>
      </c>
      <c r="BD269" s="180">
        <v>0</v>
      </c>
      <c r="BE269" s="180">
        <v>0</v>
      </c>
      <c r="BF269" s="180">
        <v>4.04</v>
      </c>
      <c r="BG269" s="180">
        <v>0</v>
      </c>
      <c r="BH269" s="180">
        <v>0</v>
      </c>
      <c r="BI269" s="180">
        <v>8.91</v>
      </c>
      <c r="BJ269" s="180">
        <v>0</v>
      </c>
      <c r="BK269" s="180">
        <v>3.01</v>
      </c>
      <c r="BL269" s="180">
        <v>1.27</v>
      </c>
      <c r="BM269" s="180">
        <v>5.0599999999999996</v>
      </c>
      <c r="BN269" s="180">
        <v>0</v>
      </c>
      <c r="BO269" s="180">
        <v>1.8</v>
      </c>
      <c r="BP269" s="180">
        <v>3.75</v>
      </c>
      <c r="BQ269" s="180">
        <v>0</v>
      </c>
      <c r="BR269" s="180">
        <v>0</v>
      </c>
      <c r="BS269" s="180">
        <v>16.52</v>
      </c>
      <c r="BT269" s="180">
        <v>0</v>
      </c>
      <c r="BU269" s="180">
        <v>0</v>
      </c>
      <c r="BV269" s="180">
        <v>0</v>
      </c>
      <c r="BW269" s="180">
        <v>3.2</v>
      </c>
      <c r="BX269" s="180">
        <v>5.0199999999999996</v>
      </c>
      <c r="BY269" s="180">
        <v>0</v>
      </c>
      <c r="BZ269" s="180">
        <v>11.79</v>
      </c>
      <c r="CA269" s="180">
        <v>19.309999999999999</v>
      </c>
      <c r="CB269" s="180">
        <v>14.61</v>
      </c>
      <c r="CC269" s="180">
        <v>1808.51</v>
      </c>
      <c r="CD269" s="180">
        <v>67.66</v>
      </c>
      <c r="CE269" s="180">
        <v>0</v>
      </c>
      <c r="CF269" s="180">
        <v>12.07</v>
      </c>
      <c r="CG269" s="180">
        <v>0</v>
      </c>
      <c r="CH269" s="180">
        <v>9.93</v>
      </c>
      <c r="CI269" s="180">
        <v>0</v>
      </c>
      <c r="CJ269" s="180">
        <v>0</v>
      </c>
      <c r="CK269" s="180">
        <v>1.95</v>
      </c>
    </row>
    <row r="270" spans="1:89" s="180" customFormat="1" x14ac:dyDescent="0.3">
      <c r="A270" s="155">
        <v>9014</v>
      </c>
      <c r="B270" s="571" t="s">
        <v>1064</v>
      </c>
      <c r="C270" s="571" t="s">
        <v>1065</v>
      </c>
      <c r="D270" s="180">
        <v>0</v>
      </c>
      <c r="E270" s="180">
        <v>0</v>
      </c>
      <c r="F270" s="180">
        <v>0</v>
      </c>
      <c r="G270" s="180">
        <v>0</v>
      </c>
      <c r="H270" s="180">
        <v>0</v>
      </c>
      <c r="I270" s="180">
        <v>0</v>
      </c>
      <c r="J270" s="180">
        <v>0</v>
      </c>
      <c r="K270" s="180">
        <v>0</v>
      </c>
      <c r="L270" s="180">
        <v>0</v>
      </c>
      <c r="M270" s="180">
        <v>0</v>
      </c>
      <c r="N270" s="180">
        <v>0</v>
      </c>
      <c r="O270" s="180">
        <v>0</v>
      </c>
      <c r="P270" s="180">
        <v>0</v>
      </c>
      <c r="Q270" s="180">
        <v>0</v>
      </c>
      <c r="R270" s="180">
        <v>0</v>
      </c>
      <c r="S270" s="180">
        <v>0</v>
      </c>
      <c r="T270" s="180">
        <v>0</v>
      </c>
      <c r="U270" s="180">
        <v>0</v>
      </c>
      <c r="V270" s="180">
        <v>0</v>
      </c>
      <c r="W270" s="180">
        <v>0</v>
      </c>
      <c r="X270" s="180">
        <v>0</v>
      </c>
      <c r="Y270" s="180">
        <v>0</v>
      </c>
      <c r="Z270" s="180">
        <v>9.43</v>
      </c>
      <c r="AA270" s="180">
        <v>0</v>
      </c>
      <c r="AB270" s="180">
        <v>0</v>
      </c>
      <c r="AC270" s="180">
        <v>0</v>
      </c>
      <c r="AD270" s="180">
        <v>0</v>
      </c>
      <c r="AE270" s="180">
        <v>0</v>
      </c>
      <c r="AF270" s="180">
        <v>2.7</v>
      </c>
      <c r="AG270" s="180">
        <v>0</v>
      </c>
      <c r="AH270" s="180">
        <v>0</v>
      </c>
      <c r="AI270" s="180">
        <v>0</v>
      </c>
      <c r="AJ270" s="180">
        <v>0</v>
      </c>
      <c r="AK270" s="180">
        <v>0</v>
      </c>
      <c r="AL270" s="180">
        <v>0</v>
      </c>
      <c r="AM270" s="180">
        <v>0</v>
      </c>
      <c r="AN270" s="180">
        <v>0</v>
      </c>
      <c r="AO270" s="180">
        <v>0</v>
      </c>
      <c r="AP270" s="180">
        <v>0</v>
      </c>
      <c r="AQ270" s="180">
        <v>8.2100000000000009</v>
      </c>
      <c r="AR270" s="180">
        <v>0</v>
      </c>
      <c r="AS270" s="180">
        <v>0</v>
      </c>
      <c r="AT270" s="180">
        <v>0</v>
      </c>
      <c r="AU270" s="180">
        <v>0</v>
      </c>
      <c r="AV270" s="180">
        <v>0</v>
      </c>
      <c r="AW270" s="180">
        <v>6.83</v>
      </c>
      <c r="AX270" s="180">
        <v>0</v>
      </c>
      <c r="AY270" s="180">
        <v>0</v>
      </c>
      <c r="AZ270" s="180">
        <v>0</v>
      </c>
      <c r="BA270" s="180">
        <v>0</v>
      </c>
      <c r="BB270" s="180">
        <v>0</v>
      </c>
      <c r="BC270" s="180">
        <v>10.88</v>
      </c>
      <c r="BD270" s="180">
        <v>0</v>
      </c>
      <c r="BE270" s="180">
        <v>0</v>
      </c>
      <c r="BF270" s="180">
        <v>0</v>
      </c>
      <c r="BG270" s="180">
        <v>0</v>
      </c>
      <c r="BH270" s="180">
        <v>0</v>
      </c>
      <c r="BI270" s="180">
        <v>0</v>
      </c>
      <c r="BJ270" s="180">
        <v>0</v>
      </c>
      <c r="BK270" s="180">
        <v>0</v>
      </c>
      <c r="BL270" s="180">
        <v>18.39</v>
      </c>
      <c r="BM270" s="180">
        <v>0</v>
      </c>
      <c r="BN270" s="180">
        <v>0</v>
      </c>
      <c r="BO270" s="180">
        <v>0</v>
      </c>
      <c r="BP270" s="180">
        <v>0</v>
      </c>
      <c r="BQ270" s="180">
        <v>0</v>
      </c>
      <c r="BR270" s="180">
        <v>0</v>
      </c>
      <c r="BS270" s="180">
        <v>0</v>
      </c>
      <c r="BT270" s="180">
        <v>0</v>
      </c>
      <c r="BU270" s="180">
        <v>0</v>
      </c>
      <c r="BV270" s="180">
        <v>0</v>
      </c>
      <c r="BW270" s="180">
        <v>0</v>
      </c>
      <c r="BX270" s="180">
        <v>1.99</v>
      </c>
      <c r="BY270" s="180">
        <v>0</v>
      </c>
      <c r="BZ270" s="180">
        <v>0</v>
      </c>
      <c r="CA270" s="180">
        <v>0</v>
      </c>
      <c r="CB270" s="180">
        <v>0</v>
      </c>
      <c r="CC270" s="180">
        <v>0</v>
      </c>
      <c r="CD270" s="180">
        <v>0</v>
      </c>
      <c r="CE270" s="180">
        <v>0</v>
      </c>
      <c r="CF270" s="180">
        <v>0</v>
      </c>
      <c r="CG270" s="180">
        <v>0</v>
      </c>
      <c r="CH270" s="180">
        <v>17.55</v>
      </c>
      <c r="CI270" s="180">
        <v>0</v>
      </c>
      <c r="CJ270" s="180">
        <v>0</v>
      </c>
      <c r="CK270" s="180">
        <v>0</v>
      </c>
    </row>
    <row r="271" spans="1:89" s="180" customFormat="1" x14ac:dyDescent="0.3">
      <c r="A271" s="155">
        <v>9015</v>
      </c>
      <c r="B271" s="571" t="s">
        <v>1792</v>
      </c>
      <c r="C271" s="571" t="s">
        <v>351</v>
      </c>
      <c r="D271" s="180">
        <v>0</v>
      </c>
      <c r="E271" s="180">
        <v>0</v>
      </c>
      <c r="F271" s="180">
        <v>0</v>
      </c>
      <c r="G271" s="180">
        <v>0</v>
      </c>
      <c r="H271" s="180">
        <v>0</v>
      </c>
      <c r="I271" s="180">
        <v>0</v>
      </c>
      <c r="J271" s="180">
        <v>0</v>
      </c>
      <c r="K271" s="180">
        <v>0</v>
      </c>
      <c r="L271" s="180">
        <v>0</v>
      </c>
      <c r="M271" s="180">
        <v>0</v>
      </c>
      <c r="N271" s="180">
        <v>0</v>
      </c>
      <c r="O271" s="180">
        <v>0</v>
      </c>
      <c r="P271" s="180">
        <v>0</v>
      </c>
      <c r="Q271" s="180">
        <v>0</v>
      </c>
      <c r="R271" s="180">
        <v>0</v>
      </c>
      <c r="S271" s="180">
        <v>0</v>
      </c>
      <c r="T271" s="180">
        <v>0</v>
      </c>
      <c r="U271" s="180">
        <v>0</v>
      </c>
      <c r="V271" s="180">
        <v>0</v>
      </c>
      <c r="W271" s="180">
        <v>0</v>
      </c>
      <c r="X271" s="180">
        <v>0</v>
      </c>
      <c r="Y271" s="180">
        <v>0</v>
      </c>
      <c r="Z271" s="180">
        <v>768854</v>
      </c>
      <c r="AA271" s="180">
        <v>0</v>
      </c>
      <c r="AB271" s="180">
        <v>0</v>
      </c>
      <c r="AC271" s="180">
        <v>0</v>
      </c>
      <c r="AD271" s="180">
        <v>0</v>
      </c>
      <c r="AE271" s="180">
        <v>0</v>
      </c>
      <c r="AF271" s="180">
        <v>988232</v>
      </c>
      <c r="AG271" s="180">
        <v>0</v>
      </c>
      <c r="AH271" s="180">
        <v>0</v>
      </c>
      <c r="AI271" s="180">
        <v>0</v>
      </c>
      <c r="AJ271" s="180">
        <v>0</v>
      </c>
      <c r="AK271" s="180">
        <v>0</v>
      </c>
      <c r="AL271" s="180">
        <v>0</v>
      </c>
      <c r="AM271" s="180">
        <v>0</v>
      </c>
      <c r="AN271" s="180">
        <v>0</v>
      </c>
      <c r="AO271" s="180">
        <v>0</v>
      </c>
      <c r="AP271" s="180">
        <v>0</v>
      </c>
      <c r="AQ271" s="180">
        <v>-1791236</v>
      </c>
      <c r="AR271" s="180">
        <v>0</v>
      </c>
      <c r="AS271" s="180">
        <v>0</v>
      </c>
      <c r="AT271" s="180">
        <v>0</v>
      </c>
      <c r="AU271" s="180">
        <v>0</v>
      </c>
      <c r="AV271" s="180">
        <v>0</v>
      </c>
      <c r="AW271" s="180">
        <v>413142</v>
      </c>
      <c r="AX271" s="180">
        <v>0</v>
      </c>
      <c r="AY271" s="180">
        <v>0</v>
      </c>
      <c r="AZ271" s="180">
        <v>0</v>
      </c>
      <c r="BA271" s="180">
        <v>0</v>
      </c>
      <c r="BB271" s="180">
        <v>0</v>
      </c>
      <c r="BC271" s="180">
        <v>2153837</v>
      </c>
      <c r="BD271" s="180">
        <v>0</v>
      </c>
      <c r="BE271" s="180">
        <v>0</v>
      </c>
      <c r="BF271" s="180">
        <v>0</v>
      </c>
      <c r="BG271" s="180">
        <v>0</v>
      </c>
      <c r="BH271" s="180">
        <v>0</v>
      </c>
      <c r="BI271" s="180">
        <v>0</v>
      </c>
      <c r="BJ271" s="180">
        <v>0</v>
      </c>
      <c r="BK271" s="180">
        <v>0</v>
      </c>
      <c r="BL271" s="180">
        <v>205625</v>
      </c>
      <c r="BM271" s="180">
        <v>0</v>
      </c>
      <c r="BN271" s="180">
        <v>0</v>
      </c>
      <c r="BO271" s="180">
        <v>0</v>
      </c>
      <c r="BP271" s="180">
        <v>0</v>
      </c>
      <c r="BQ271" s="180">
        <v>0</v>
      </c>
      <c r="BR271" s="180">
        <v>0</v>
      </c>
      <c r="BS271" s="180">
        <v>0</v>
      </c>
      <c r="BT271" s="180">
        <v>0</v>
      </c>
      <c r="BU271" s="180">
        <v>0</v>
      </c>
      <c r="BV271" s="180">
        <v>0</v>
      </c>
      <c r="BW271" s="180">
        <v>0</v>
      </c>
      <c r="BX271" s="180">
        <v>455346</v>
      </c>
      <c r="BY271" s="180">
        <v>0</v>
      </c>
      <c r="BZ271" s="180">
        <v>0</v>
      </c>
      <c r="CA271" s="180">
        <v>0</v>
      </c>
      <c r="CB271" s="180">
        <v>0</v>
      </c>
      <c r="CC271" s="180">
        <v>0</v>
      </c>
      <c r="CD271" s="180">
        <v>0</v>
      </c>
      <c r="CE271" s="180">
        <v>0</v>
      </c>
      <c r="CF271" s="180">
        <v>0</v>
      </c>
      <c r="CG271" s="180">
        <v>0</v>
      </c>
      <c r="CH271" s="180">
        <v>197236</v>
      </c>
      <c r="CI271" s="180">
        <v>0</v>
      </c>
      <c r="CJ271" s="180">
        <v>0</v>
      </c>
      <c r="CK271" s="180">
        <v>0</v>
      </c>
    </row>
    <row r="272" spans="1:89" s="180" customFormat="1" x14ac:dyDescent="0.3">
      <c r="A272" s="155">
        <v>9016</v>
      </c>
      <c r="B272" s="571" t="s">
        <v>1793</v>
      </c>
      <c r="C272" s="571" t="s">
        <v>351</v>
      </c>
      <c r="D272" s="180">
        <v>0</v>
      </c>
      <c r="E272" s="180">
        <v>0</v>
      </c>
      <c r="F272" s="180">
        <v>0</v>
      </c>
      <c r="G272" s="180">
        <v>0</v>
      </c>
      <c r="H272" s="180">
        <v>0</v>
      </c>
      <c r="I272" s="180">
        <v>0</v>
      </c>
      <c r="J272" s="180">
        <v>0</v>
      </c>
      <c r="K272" s="180">
        <v>0</v>
      </c>
      <c r="L272" s="180">
        <v>0</v>
      </c>
      <c r="M272" s="180">
        <v>0</v>
      </c>
      <c r="N272" s="180">
        <v>0</v>
      </c>
      <c r="O272" s="180">
        <v>0</v>
      </c>
      <c r="P272" s="180">
        <v>0</v>
      </c>
      <c r="Q272" s="180">
        <v>0</v>
      </c>
      <c r="R272" s="180">
        <v>0</v>
      </c>
      <c r="S272" s="180">
        <v>0</v>
      </c>
      <c r="T272" s="180">
        <v>0</v>
      </c>
      <c r="U272" s="180">
        <v>0</v>
      </c>
      <c r="V272" s="180">
        <v>0</v>
      </c>
      <c r="W272" s="180">
        <v>0</v>
      </c>
      <c r="X272" s="180">
        <v>0</v>
      </c>
      <c r="Y272" s="180">
        <v>0</v>
      </c>
      <c r="Z272" s="180">
        <v>0.55400000000000005</v>
      </c>
      <c r="AA272" s="180">
        <v>0</v>
      </c>
      <c r="AB272" s="180">
        <v>0</v>
      </c>
      <c r="AC272" s="180">
        <v>0</v>
      </c>
      <c r="AD272" s="180">
        <v>0</v>
      </c>
      <c r="AE272" s="180">
        <v>0</v>
      </c>
      <c r="AF272" s="180">
        <v>0.33329999999999999</v>
      </c>
      <c r="AG272" s="180">
        <v>0</v>
      </c>
      <c r="AH272" s="180">
        <v>0</v>
      </c>
      <c r="AI272" s="180">
        <v>0</v>
      </c>
      <c r="AJ272" s="180">
        <v>0</v>
      </c>
      <c r="AK272" s="180">
        <v>0</v>
      </c>
      <c r="AL272" s="180">
        <v>0</v>
      </c>
      <c r="AM272" s="180">
        <v>0</v>
      </c>
      <c r="AN272" s="180">
        <v>0</v>
      </c>
      <c r="AO272" s="180">
        <v>0</v>
      </c>
      <c r="AP272" s="180">
        <v>0</v>
      </c>
      <c r="AQ272" s="180">
        <v>0.97970000000000002</v>
      </c>
      <c r="AR272" s="180">
        <v>0</v>
      </c>
      <c r="AS272" s="180">
        <v>0</v>
      </c>
      <c r="AT272" s="180">
        <v>0</v>
      </c>
      <c r="AU272" s="180">
        <v>0</v>
      </c>
      <c r="AV272" s="180">
        <v>0</v>
      </c>
      <c r="AW272" s="180">
        <v>0.85270000000000001</v>
      </c>
      <c r="AX272" s="180">
        <v>0</v>
      </c>
      <c r="AY272" s="180">
        <v>0</v>
      </c>
      <c r="AZ272" s="180">
        <v>0</v>
      </c>
      <c r="BA272" s="180">
        <v>0</v>
      </c>
      <c r="BB272" s="180">
        <v>0</v>
      </c>
      <c r="BC272" s="180">
        <v>0.67449999999999999</v>
      </c>
      <c r="BD272" s="180">
        <v>0</v>
      </c>
      <c r="BE272" s="180">
        <v>0</v>
      </c>
      <c r="BF272" s="180">
        <v>0</v>
      </c>
      <c r="BG272" s="180">
        <v>0</v>
      </c>
      <c r="BH272" s="180">
        <v>0</v>
      </c>
      <c r="BI272" s="180">
        <v>0</v>
      </c>
      <c r="BJ272" s="180">
        <v>0</v>
      </c>
      <c r="BK272" s="180">
        <v>0</v>
      </c>
      <c r="BL272" s="180">
        <v>1.9063000000000001</v>
      </c>
      <c r="BM272" s="180">
        <v>0</v>
      </c>
      <c r="BN272" s="180">
        <v>0</v>
      </c>
      <c r="BO272" s="180">
        <v>0</v>
      </c>
      <c r="BP272" s="180">
        <v>0</v>
      </c>
      <c r="BQ272" s="180">
        <v>0</v>
      </c>
      <c r="BR272" s="180">
        <v>0</v>
      </c>
      <c r="BS272" s="180">
        <v>0</v>
      </c>
      <c r="BT272" s="180">
        <v>0</v>
      </c>
      <c r="BU272" s="180">
        <v>0</v>
      </c>
      <c r="BV272" s="180">
        <v>0</v>
      </c>
      <c r="BW272" s="180">
        <v>0</v>
      </c>
      <c r="BX272" s="180">
        <v>0.17130000000000001</v>
      </c>
      <c r="BY272" s="180">
        <v>0</v>
      </c>
      <c r="BZ272" s="180">
        <v>0</v>
      </c>
      <c r="CA272" s="180">
        <v>0</v>
      </c>
      <c r="CB272" s="180">
        <v>0</v>
      </c>
      <c r="CC272" s="180">
        <v>0</v>
      </c>
      <c r="CD272" s="180">
        <v>0</v>
      </c>
      <c r="CE272" s="180">
        <v>0</v>
      </c>
      <c r="CF272" s="180">
        <v>0</v>
      </c>
      <c r="CG272" s="180">
        <v>0</v>
      </c>
      <c r="CH272" s="180">
        <v>3.0110999999999999</v>
      </c>
      <c r="CI272" s="180">
        <v>0</v>
      </c>
      <c r="CJ272" s="180">
        <v>0</v>
      </c>
      <c r="CK272" s="180">
        <v>0</v>
      </c>
    </row>
    <row r="273" spans="1:104" s="180" customFormat="1" x14ac:dyDescent="0.3">
      <c r="A273" s="155">
        <v>9017</v>
      </c>
      <c r="B273" s="556" t="s">
        <v>1066</v>
      </c>
      <c r="C273" s="556" t="s">
        <v>1067</v>
      </c>
      <c r="D273" s="180">
        <v>0</v>
      </c>
      <c r="E273" s="180">
        <v>0</v>
      </c>
      <c r="F273" s="180">
        <v>0</v>
      </c>
      <c r="G273" s="180">
        <v>0</v>
      </c>
      <c r="H273" s="180">
        <v>0</v>
      </c>
      <c r="I273" s="180">
        <v>0</v>
      </c>
      <c r="J273" s="180">
        <v>0</v>
      </c>
      <c r="K273" s="180">
        <v>0</v>
      </c>
      <c r="L273" s="180">
        <v>0</v>
      </c>
      <c r="M273" s="180">
        <v>0</v>
      </c>
      <c r="N273" s="180">
        <v>0</v>
      </c>
      <c r="O273" s="180">
        <v>0</v>
      </c>
      <c r="P273" s="180">
        <v>0</v>
      </c>
      <c r="Q273" s="180">
        <v>0</v>
      </c>
      <c r="R273" s="180">
        <v>0</v>
      </c>
      <c r="S273" s="180">
        <v>0</v>
      </c>
      <c r="T273" s="180">
        <v>0</v>
      </c>
      <c r="U273" s="180">
        <v>0</v>
      </c>
      <c r="V273" s="180">
        <v>0</v>
      </c>
      <c r="W273" s="180">
        <v>0</v>
      </c>
      <c r="X273" s="180">
        <v>0</v>
      </c>
      <c r="Y273" s="180">
        <v>0</v>
      </c>
      <c r="Z273" s="180">
        <v>9.43</v>
      </c>
      <c r="AA273" s="180">
        <v>0</v>
      </c>
      <c r="AB273" s="180">
        <v>0</v>
      </c>
      <c r="AC273" s="180">
        <v>0</v>
      </c>
      <c r="AD273" s="180">
        <v>0</v>
      </c>
      <c r="AE273" s="180">
        <v>0</v>
      </c>
      <c r="AF273" s="180">
        <v>2.7</v>
      </c>
      <c r="AG273" s="180">
        <v>0</v>
      </c>
      <c r="AH273" s="180">
        <v>0</v>
      </c>
      <c r="AI273" s="180">
        <v>0</v>
      </c>
      <c r="AJ273" s="180">
        <v>0</v>
      </c>
      <c r="AK273" s="180">
        <v>0</v>
      </c>
      <c r="AL273" s="180">
        <v>0</v>
      </c>
      <c r="AM273" s="180">
        <v>0</v>
      </c>
      <c r="AN273" s="180">
        <v>0</v>
      </c>
      <c r="AO273" s="180">
        <v>0</v>
      </c>
      <c r="AP273" s="180">
        <v>0</v>
      </c>
      <c r="AQ273" s="180">
        <v>8.2100000000000009</v>
      </c>
      <c r="AR273" s="180">
        <v>0</v>
      </c>
      <c r="AS273" s="180">
        <v>0</v>
      </c>
      <c r="AT273" s="180">
        <v>0</v>
      </c>
      <c r="AU273" s="180">
        <v>0</v>
      </c>
      <c r="AV273" s="180">
        <v>0</v>
      </c>
      <c r="AW273" s="180">
        <v>6.83</v>
      </c>
      <c r="AX273" s="180">
        <v>0</v>
      </c>
      <c r="AY273" s="180">
        <v>0</v>
      </c>
      <c r="AZ273" s="180">
        <v>0</v>
      </c>
      <c r="BA273" s="180">
        <v>0</v>
      </c>
      <c r="BB273" s="180">
        <v>0</v>
      </c>
      <c r="BC273" s="180">
        <v>10.88</v>
      </c>
      <c r="BD273" s="180">
        <v>0</v>
      </c>
      <c r="BE273" s="180">
        <v>0</v>
      </c>
      <c r="BF273" s="180">
        <v>0</v>
      </c>
      <c r="BG273" s="180">
        <v>0</v>
      </c>
      <c r="BH273" s="180">
        <v>0</v>
      </c>
      <c r="BI273" s="180">
        <v>0</v>
      </c>
      <c r="BJ273" s="180">
        <v>0</v>
      </c>
      <c r="BK273" s="180">
        <v>0</v>
      </c>
      <c r="BL273" s="180">
        <v>18.39</v>
      </c>
      <c r="BM273" s="180">
        <v>0</v>
      </c>
      <c r="BN273" s="180">
        <v>0</v>
      </c>
      <c r="BO273" s="180">
        <v>0</v>
      </c>
      <c r="BP273" s="180">
        <v>0</v>
      </c>
      <c r="BQ273" s="180">
        <v>0</v>
      </c>
      <c r="BR273" s="180">
        <v>0</v>
      </c>
      <c r="BS273" s="180">
        <v>0</v>
      </c>
      <c r="BT273" s="180">
        <v>0</v>
      </c>
      <c r="BU273" s="180">
        <v>0</v>
      </c>
      <c r="BV273" s="180">
        <v>0</v>
      </c>
      <c r="BW273" s="180">
        <v>0</v>
      </c>
      <c r="BX273" s="180">
        <v>1.99</v>
      </c>
      <c r="BY273" s="180">
        <v>0</v>
      </c>
      <c r="BZ273" s="180">
        <v>0</v>
      </c>
      <c r="CA273" s="180">
        <v>0</v>
      </c>
      <c r="CB273" s="180">
        <v>0</v>
      </c>
      <c r="CC273" s="180">
        <v>0</v>
      </c>
      <c r="CD273" s="180">
        <v>0</v>
      </c>
      <c r="CE273" s="180">
        <v>0</v>
      </c>
      <c r="CF273" s="180">
        <v>0</v>
      </c>
      <c r="CG273" s="180">
        <v>0</v>
      </c>
      <c r="CH273" s="180">
        <v>17.55</v>
      </c>
      <c r="CI273" s="180">
        <v>0</v>
      </c>
      <c r="CJ273" s="180">
        <v>0</v>
      </c>
      <c r="CK273" s="180">
        <v>0</v>
      </c>
    </row>
    <row r="274" spans="1:104" s="180" customFormat="1" ht="172.8" x14ac:dyDescent="0.3">
      <c r="A274" s="155">
        <v>9018</v>
      </c>
      <c r="B274" s="526" t="s">
        <v>1068</v>
      </c>
      <c r="C274" s="526" t="s">
        <v>1069</v>
      </c>
      <c r="D274" s="180">
        <v>296092</v>
      </c>
      <c r="E274" s="180">
        <v>210669</v>
      </c>
      <c r="F274" s="180">
        <v>22098</v>
      </c>
      <c r="G274" s="180">
        <v>36223</v>
      </c>
      <c r="H274" s="180">
        <v>0</v>
      </c>
      <c r="I274" s="180">
        <v>287817</v>
      </c>
      <c r="J274" s="180">
        <v>56397</v>
      </c>
      <c r="K274" s="180">
        <v>2269765</v>
      </c>
      <c r="L274" s="180">
        <v>0</v>
      </c>
      <c r="M274" s="180">
        <v>6330524</v>
      </c>
      <c r="N274" s="180">
        <v>0</v>
      </c>
      <c r="O274" s="180">
        <v>77561123</v>
      </c>
      <c r="P274" s="180">
        <v>1014</v>
      </c>
      <c r="Q274" s="180">
        <v>4765</v>
      </c>
      <c r="R274" s="180">
        <v>75011</v>
      </c>
      <c r="S274" s="180">
        <v>324837</v>
      </c>
      <c r="T274" s="180">
        <v>299012</v>
      </c>
      <c r="U274" s="180">
        <v>9107</v>
      </c>
      <c r="V274" s="180">
        <v>98943</v>
      </c>
      <c r="W274" s="180">
        <v>34749</v>
      </c>
      <c r="X274" s="180">
        <v>24253666</v>
      </c>
      <c r="Y274" s="180">
        <v>386817000</v>
      </c>
      <c r="Z274" s="180">
        <v>968355</v>
      </c>
      <c r="AA274" s="180">
        <v>46768</v>
      </c>
      <c r="AB274" s="180">
        <v>500286</v>
      </c>
      <c r="AC274" s="180">
        <v>0</v>
      </c>
      <c r="AD274" s="180">
        <v>463076</v>
      </c>
      <c r="AE274" s="180">
        <v>205634</v>
      </c>
      <c r="AF274" s="180">
        <v>3612903</v>
      </c>
      <c r="AG274" s="180">
        <v>2988143</v>
      </c>
      <c r="AH274" s="180">
        <v>24823</v>
      </c>
      <c r="AI274" s="180">
        <v>964794</v>
      </c>
      <c r="AJ274" s="180">
        <v>94346</v>
      </c>
      <c r="AK274" s="180">
        <v>5068</v>
      </c>
      <c r="AL274" s="180">
        <v>70568</v>
      </c>
      <c r="AM274" s="180">
        <v>0</v>
      </c>
      <c r="AN274" s="180">
        <v>8520</v>
      </c>
      <c r="AO274" s="180">
        <v>0</v>
      </c>
      <c r="AP274" s="180">
        <v>1299</v>
      </c>
      <c r="AQ274" s="180">
        <v>34874789</v>
      </c>
      <c r="AR274" s="180">
        <v>34454</v>
      </c>
      <c r="AS274" s="180">
        <v>238585</v>
      </c>
      <c r="AT274" s="180">
        <v>2045495</v>
      </c>
      <c r="AU274" s="180">
        <v>35530</v>
      </c>
      <c r="AV274" s="180">
        <v>2784</v>
      </c>
      <c r="AW274" s="180">
        <v>11951108</v>
      </c>
      <c r="AX274" s="180">
        <v>7813</v>
      </c>
      <c r="AY274" s="180">
        <v>900401</v>
      </c>
      <c r="AZ274" s="180">
        <v>302471</v>
      </c>
      <c r="BA274" s="180">
        <v>552</v>
      </c>
      <c r="BB274" s="180">
        <v>2458</v>
      </c>
      <c r="BC274" s="180">
        <v>1391659</v>
      </c>
      <c r="BD274" s="180">
        <v>29863</v>
      </c>
      <c r="BE274" s="180">
        <v>4111599</v>
      </c>
      <c r="BF274" s="180">
        <v>27452</v>
      </c>
      <c r="BG274" s="180">
        <v>46289</v>
      </c>
      <c r="BH274" s="180">
        <v>137827</v>
      </c>
      <c r="BI274" s="180">
        <v>384532</v>
      </c>
      <c r="BJ274" s="180">
        <v>36137</v>
      </c>
      <c r="BK274" s="180">
        <v>106626</v>
      </c>
      <c r="BL274" s="180">
        <v>313272</v>
      </c>
      <c r="BM274" s="180">
        <v>87603</v>
      </c>
      <c r="BN274" s="180">
        <v>3797623</v>
      </c>
      <c r="BO274" s="180">
        <v>4257483</v>
      </c>
      <c r="BP274" s="180">
        <v>147478223</v>
      </c>
      <c r="BQ274" s="180">
        <v>691</v>
      </c>
      <c r="BR274" s="180">
        <v>0</v>
      </c>
      <c r="BS274" s="180">
        <v>103603</v>
      </c>
      <c r="BT274" s="180">
        <v>0</v>
      </c>
      <c r="BU274" s="180">
        <v>104178</v>
      </c>
      <c r="BV274" s="180">
        <v>85629</v>
      </c>
      <c r="BW274" s="180">
        <v>2569511</v>
      </c>
      <c r="BX274" s="180">
        <v>1474896</v>
      </c>
      <c r="BY274" s="180">
        <v>0</v>
      </c>
      <c r="BZ274" s="180">
        <v>1356077</v>
      </c>
      <c r="CA274" s="180">
        <v>47655</v>
      </c>
      <c r="CB274" s="180">
        <v>311364</v>
      </c>
      <c r="CC274" s="180">
        <v>6857</v>
      </c>
      <c r="CD274" s="180">
        <v>19374</v>
      </c>
      <c r="CE274" s="180">
        <v>0</v>
      </c>
      <c r="CF274" s="180">
        <v>2305334</v>
      </c>
      <c r="CG274" s="180">
        <v>3037399</v>
      </c>
      <c r="CH274" s="180">
        <v>411678</v>
      </c>
      <c r="CI274" s="180">
        <v>946131</v>
      </c>
      <c r="CJ274" s="180">
        <v>0</v>
      </c>
      <c r="CK274" s="180">
        <v>647</v>
      </c>
    </row>
    <row r="275" spans="1:104" s="180" customFormat="1" ht="201.6" x14ac:dyDescent="0.3">
      <c r="A275" s="155">
        <v>9019</v>
      </c>
      <c r="B275" s="556" t="s">
        <v>1070</v>
      </c>
      <c r="C275" s="577" t="s">
        <v>1071</v>
      </c>
      <c r="D275" s="180">
        <v>296092</v>
      </c>
      <c r="E275" s="180">
        <v>210669</v>
      </c>
      <c r="F275" s="180">
        <v>22098</v>
      </c>
      <c r="G275" s="180">
        <v>36223</v>
      </c>
      <c r="H275" s="180">
        <v>0</v>
      </c>
      <c r="I275" s="180">
        <v>287817</v>
      </c>
      <c r="J275" s="180">
        <v>56397</v>
      </c>
      <c r="K275" s="180">
        <v>2269765</v>
      </c>
      <c r="L275" s="180">
        <v>0</v>
      </c>
      <c r="M275" s="180">
        <v>6330524</v>
      </c>
      <c r="N275" s="180">
        <v>0</v>
      </c>
      <c r="O275" s="180">
        <v>77561123</v>
      </c>
      <c r="P275" s="180">
        <v>1014</v>
      </c>
      <c r="Q275" s="180">
        <v>4765</v>
      </c>
      <c r="R275" s="180">
        <v>75011</v>
      </c>
      <c r="S275" s="180">
        <v>324837</v>
      </c>
      <c r="T275" s="180">
        <v>299012</v>
      </c>
      <c r="U275" s="180">
        <v>9107</v>
      </c>
      <c r="V275" s="180">
        <v>98943</v>
      </c>
      <c r="W275" s="180">
        <v>34749</v>
      </c>
      <c r="X275" s="180">
        <v>24253666</v>
      </c>
      <c r="Y275" s="180">
        <v>386817000</v>
      </c>
      <c r="Z275" s="180">
        <v>968355</v>
      </c>
      <c r="AA275" s="180">
        <v>46768</v>
      </c>
      <c r="AB275" s="180">
        <v>500286</v>
      </c>
      <c r="AC275" s="180">
        <v>0</v>
      </c>
      <c r="AD275" s="180">
        <v>463076</v>
      </c>
      <c r="AE275" s="180">
        <v>205634</v>
      </c>
      <c r="AF275" s="180">
        <v>3612903</v>
      </c>
      <c r="AG275" s="180">
        <v>2988143</v>
      </c>
      <c r="AH275" s="180">
        <v>24823</v>
      </c>
      <c r="AI275" s="180">
        <v>964794</v>
      </c>
      <c r="AJ275" s="180">
        <v>94346</v>
      </c>
      <c r="AK275" s="180">
        <v>5068</v>
      </c>
      <c r="AL275" s="180">
        <v>70568</v>
      </c>
      <c r="AM275" s="180">
        <v>0</v>
      </c>
      <c r="AN275" s="180">
        <v>8520</v>
      </c>
      <c r="AO275" s="180">
        <v>0</v>
      </c>
      <c r="AP275" s="180">
        <v>1299</v>
      </c>
      <c r="AQ275" s="180">
        <v>34874789</v>
      </c>
      <c r="AR275" s="180">
        <v>34454</v>
      </c>
      <c r="AS275" s="180">
        <v>238585</v>
      </c>
      <c r="AT275" s="180">
        <v>2045495</v>
      </c>
      <c r="AU275" s="180">
        <v>35530</v>
      </c>
      <c r="AV275" s="180">
        <v>2784</v>
      </c>
      <c r="AW275" s="180">
        <v>11951108</v>
      </c>
      <c r="AX275" s="180">
        <v>7813</v>
      </c>
      <c r="AY275" s="180">
        <v>900401</v>
      </c>
      <c r="AZ275" s="180">
        <v>302471</v>
      </c>
      <c r="BA275" s="180">
        <v>552</v>
      </c>
      <c r="BB275" s="180">
        <v>2458</v>
      </c>
      <c r="BC275" s="180">
        <v>1391659</v>
      </c>
      <c r="BD275" s="180">
        <v>29863</v>
      </c>
      <c r="BE275" s="180">
        <v>4111599</v>
      </c>
      <c r="BF275" s="180">
        <v>27452</v>
      </c>
      <c r="BG275" s="180">
        <v>46289</v>
      </c>
      <c r="BH275" s="180">
        <v>137827</v>
      </c>
      <c r="BI275" s="180">
        <v>384532</v>
      </c>
      <c r="BJ275" s="180">
        <v>36137</v>
      </c>
      <c r="BK275" s="180">
        <v>106626</v>
      </c>
      <c r="BL275" s="180">
        <v>313272</v>
      </c>
      <c r="BM275" s="180">
        <v>87603</v>
      </c>
      <c r="BN275" s="180">
        <v>3797623</v>
      </c>
      <c r="BO275" s="180">
        <v>4257483</v>
      </c>
      <c r="BP275" s="180">
        <v>147478223</v>
      </c>
      <c r="BQ275" s="180">
        <v>691</v>
      </c>
      <c r="BR275" s="180">
        <v>0</v>
      </c>
      <c r="BS275" s="180">
        <v>103603</v>
      </c>
      <c r="BT275" s="180">
        <v>0</v>
      </c>
      <c r="BU275" s="180">
        <v>104178</v>
      </c>
      <c r="BV275" s="180">
        <v>85629</v>
      </c>
      <c r="BW275" s="180">
        <v>2569511</v>
      </c>
      <c r="BX275" s="180">
        <v>1474896</v>
      </c>
      <c r="BY275" s="180">
        <v>0</v>
      </c>
      <c r="BZ275" s="180">
        <v>1356077</v>
      </c>
      <c r="CA275" s="180">
        <v>47655</v>
      </c>
      <c r="CB275" s="180">
        <v>311364</v>
      </c>
      <c r="CC275" s="180">
        <v>6857</v>
      </c>
      <c r="CD275" s="180">
        <v>19374</v>
      </c>
      <c r="CE275" s="180">
        <v>0</v>
      </c>
      <c r="CF275" s="180">
        <v>2305334</v>
      </c>
      <c r="CG275" s="180">
        <v>3037399</v>
      </c>
      <c r="CH275" s="180">
        <v>411678</v>
      </c>
      <c r="CI275" s="180">
        <v>946131</v>
      </c>
      <c r="CJ275" s="180">
        <v>0</v>
      </c>
      <c r="CK275" s="180">
        <v>647</v>
      </c>
    </row>
    <row r="276" spans="1:104" s="798" customFormat="1" ht="57.6" x14ac:dyDescent="0.3">
      <c r="A276" s="799"/>
      <c r="B276" s="798" t="s">
        <v>2007</v>
      </c>
      <c r="C276" s="932" t="s">
        <v>1798</v>
      </c>
      <c r="D276" s="798">
        <f t="shared" ref="D276:J276" si="0">(D106+D135-D3-D4-D5-D8+D191)/(D132+D109+D11-D133-D108-D240)</f>
        <v>5.2877921911636427</v>
      </c>
      <c r="E276" s="798">
        <f t="shared" si="0"/>
        <v>1.3964617705417086</v>
      </c>
      <c r="F276" s="798">
        <f t="shared" si="0"/>
        <v>2.3463954811654602</v>
      </c>
      <c r="G276" s="798">
        <f t="shared" si="0"/>
        <v>3.0920329256158476</v>
      </c>
      <c r="H276" s="798" t="e">
        <f t="shared" si="0"/>
        <v>#DIV/0!</v>
      </c>
      <c r="I276" s="798">
        <f t="shared" si="0"/>
        <v>0.39891388336312161</v>
      </c>
      <c r="J276" s="798">
        <f t="shared" si="0"/>
        <v>1.0193459863387766</v>
      </c>
      <c r="K276" s="798">
        <f>(L106+L135-L3-L4-L5-L8+L191)/(L132+L109+L11-L133-L108-L240)</f>
        <v>1.5482317381443962</v>
      </c>
      <c r="L276" s="798">
        <f t="shared" ref="L276:T276" si="1">(L106+L135-L3-L4-L5-L8+L191)/(L132+L109+L11-L133-L108-L240)</f>
        <v>1.5482317381443962</v>
      </c>
      <c r="M276" s="798">
        <f t="shared" si="1"/>
        <v>0.39042293310909465</v>
      </c>
      <c r="N276" s="798" t="e">
        <f t="shared" si="1"/>
        <v>#DIV/0!</v>
      </c>
      <c r="O276" s="798">
        <f t="shared" si="1"/>
        <v>0.64011574620110689</v>
      </c>
      <c r="P276" s="798">
        <f t="shared" si="1"/>
        <v>2.024322446143155</v>
      </c>
      <c r="Q276" s="798">
        <f t="shared" si="1"/>
        <v>1.6406473470727532</v>
      </c>
      <c r="R276" s="798">
        <f t="shared" si="1"/>
        <v>0.92879666865872101</v>
      </c>
      <c r="S276" s="798">
        <f t="shared" si="1"/>
        <v>1.2762871340403368</v>
      </c>
      <c r="T276" s="798">
        <f t="shared" si="1"/>
        <v>0.56995630010603582</v>
      </c>
      <c r="V276" s="798">
        <f t="shared" ref="V276:AU276" si="2">(V106+V135-V3-V4-V5-V8+V191)/(V132+V109+V11-V133-V108-V240)</f>
        <v>1.4263656129143978</v>
      </c>
      <c r="W276" s="798">
        <f t="shared" si="2"/>
        <v>1.2114739636455412</v>
      </c>
      <c r="X276" s="798">
        <f t="shared" si="2"/>
        <v>0.53453243864953603</v>
      </c>
      <c r="Y276" s="798">
        <f t="shared" si="2"/>
        <v>0.44335886955718862</v>
      </c>
      <c r="Z276" s="798">
        <f t="shared" si="2"/>
        <v>0.73013284915082655</v>
      </c>
      <c r="AA276" s="798">
        <f t="shared" si="2"/>
        <v>0.94859509078097703</v>
      </c>
      <c r="AB276" s="798">
        <f t="shared" si="2"/>
        <v>0.62926928911251212</v>
      </c>
      <c r="AC276" s="798" t="e">
        <f t="shared" si="2"/>
        <v>#DIV/0!</v>
      </c>
      <c r="AD276" s="798">
        <f t="shared" si="2"/>
        <v>0.88012129271665063</v>
      </c>
      <c r="AE276" s="798">
        <f t="shared" si="2"/>
        <v>4.1209661604528334</v>
      </c>
      <c r="AF276" s="798">
        <f t="shared" si="2"/>
        <v>0.6470642382659676</v>
      </c>
      <c r="AG276" s="798">
        <f t="shared" si="2"/>
        <v>1.1070895230415154</v>
      </c>
      <c r="AH276" s="798">
        <f t="shared" si="2"/>
        <v>1.7974475600037818</v>
      </c>
      <c r="AI276" s="798">
        <f t="shared" si="2"/>
        <v>0.53500600275203869</v>
      </c>
      <c r="AJ276" s="798">
        <f t="shared" si="2"/>
        <v>1.1416323619097404</v>
      </c>
      <c r="AK276" s="798">
        <f t="shared" si="2"/>
        <v>1.1163551297730854</v>
      </c>
      <c r="AL276" s="798">
        <f t="shared" si="2"/>
        <v>2.1008645947721507</v>
      </c>
      <c r="AM276" s="798" t="e">
        <f t="shared" si="2"/>
        <v>#DIV/0!</v>
      </c>
      <c r="AN276" s="798">
        <f t="shared" si="2"/>
        <v>1.8330239387454688</v>
      </c>
      <c r="AO276" s="798" t="e">
        <f t="shared" si="2"/>
        <v>#DIV/0!</v>
      </c>
      <c r="AP276" s="798">
        <f t="shared" si="2"/>
        <v>3.25419422487498</v>
      </c>
      <c r="AQ276" s="798">
        <f t="shared" si="2"/>
        <v>0.57061832730773665</v>
      </c>
      <c r="AR276" s="798">
        <f t="shared" si="2"/>
        <v>2.3972320898800215</v>
      </c>
      <c r="AS276" s="798">
        <f t="shared" si="2"/>
        <v>3.5712553467766575</v>
      </c>
      <c r="AT276" s="798">
        <f t="shared" si="2"/>
        <v>0.88022103887537506</v>
      </c>
      <c r="AU276" s="798">
        <f t="shared" si="2"/>
        <v>0.74152607517093494</v>
      </c>
      <c r="AV276" s="798">
        <f>(AW106+AW135-AW3-AW4-AW5-AW8+AW191)/(AW132+AW109+AW11-AW133-AW108-AW240)</f>
        <v>0.89769598005530005</v>
      </c>
      <c r="AW276" s="798">
        <f t="shared" ref="AW276:BR276" si="3">(AW106+AW135-AW3-AW4-AW5-AW8+AW191)/(AW132+AW109+AW11-AW133-AW108-AW240)</f>
        <v>0.89769598005530005</v>
      </c>
      <c r="AX276" s="798">
        <f t="shared" si="3"/>
        <v>0.42147404052378046</v>
      </c>
      <c r="AY276" s="798">
        <f t="shared" si="3"/>
        <v>0.53995064858396891</v>
      </c>
      <c r="AZ276" s="798">
        <f t="shared" si="3"/>
        <v>2.2019418618248228</v>
      </c>
      <c r="BA276" s="798">
        <f t="shared" si="3"/>
        <v>3.2228574449944811</v>
      </c>
      <c r="BB276" s="798">
        <f t="shared" si="3"/>
        <v>2.6735848522852645</v>
      </c>
      <c r="BC276" s="798">
        <f t="shared" si="3"/>
        <v>0.85768692158202253</v>
      </c>
      <c r="BD276" s="798">
        <f t="shared" si="3"/>
        <v>2.2493086808003038</v>
      </c>
      <c r="BE276" s="798">
        <f t="shared" si="3"/>
        <v>0.77571319367378522</v>
      </c>
      <c r="BF276" s="798">
        <f t="shared" si="3"/>
        <v>1.6701182188141124</v>
      </c>
      <c r="BG276" s="798">
        <f t="shared" si="3"/>
        <v>1.3392714434726791</v>
      </c>
      <c r="BH276" s="798">
        <f t="shared" si="3"/>
        <v>1.5840621011163385</v>
      </c>
      <c r="BI276" s="798">
        <f t="shared" si="3"/>
        <v>0.73345675798856569</v>
      </c>
      <c r="BJ276" s="798">
        <f t="shared" si="3"/>
        <v>6.8430742725321574</v>
      </c>
      <c r="BK276" s="798">
        <f t="shared" si="3"/>
        <v>5.5913143412996323E-2</v>
      </c>
      <c r="BL276" s="798">
        <f t="shared" si="3"/>
        <v>1.7606685304421055</v>
      </c>
      <c r="BM276" s="798">
        <f t="shared" si="3"/>
        <v>2.467083011496495</v>
      </c>
      <c r="BN276" s="798">
        <f t="shared" si="3"/>
        <v>0.98929622783700411</v>
      </c>
      <c r="BO276" s="798">
        <f t="shared" si="3"/>
        <v>0.38089443952582797</v>
      </c>
      <c r="BP276" s="798">
        <f t="shared" si="3"/>
        <v>0.53212382010429793</v>
      </c>
      <c r="BQ276" s="798">
        <f t="shared" si="3"/>
        <v>1.1939492795836733</v>
      </c>
      <c r="BR276" s="798" t="e">
        <f t="shared" si="3"/>
        <v>#DIV/0!</v>
      </c>
      <c r="BS276" s="798">
        <f t="shared" ref="BS276:CK276" si="4">(BS106+BS135-BS3-BS4-BS5-BS8+BS191)/(BS132+BS109+BS11-BS133-BS108-BS240)</f>
        <v>2.4365195899861574</v>
      </c>
      <c r="BT276" s="798" t="e">
        <f t="shared" si="4"/>
        <v>#DIV/0!</v>
      </c>
      <c r="BU276" s="798">
        <f t="shared" si="4"/>
        <v>0.64314403476840121</v>
      </c>
      <c r="BV276" s="798">
        <f t="shared" si="4"/>
        <v>4.2023850639061591</v>
      </c>
      <c r="BW276" s="798">
        <f t="shared" si="4"/>
        <v>0.58258168360784301</v>
      </c>
      <c r="BX276" s="798">
        <f t="shared" si="4"/>
        <v>0.44885284391836583</v>
      </c>
      <c r="BY276" s="798" t="e">
        <f t="shared" si="4"/>
        <v>#DIV/0!</v>
      </c>
      <c r="BZ276" s="798">
        <f t="shared" si="4"/>
        <v>0.28056855289821769</v>
      </c>
      <c r="CA276" s="798">
        <f t="shared" si="4"/>
        <v>2.3513570718009862</v>
      </c>
      <c r="CB276" s="798">
        <f t="shared" si="4"/>
        <v>0.98094664430450385</v>
      </c>
      <c r="CC276" s="798">
        <f t="shared" si="4"/>
        <v>2.7609255361644562</v>
      </c>
      <c r="CD276" s="798">
        <f t="shared" si="4"/>
        <v>0.84719052800164329</v>
      </c>
      <c r="CE276" s="798" t="e">
        <f t="shared" si="4"/>
        <v>#DIV/0!</v>
      </c>
      <c r="CF276" s="798">
        <f t="shared" si="4"/>
        <v>1.0421953880199271</v>
      </c>
      <c r="CG276" s="798">
        <f t="shared" si="4"/>
        <v>0.22392103846160288</v>
      </c>
      <c r="CH276" s="798">
        <f t="shared" si="4"/>
        <v>1.6096741381704024E-2</v>
      </c>
      <c r="CI276" s="798">
        <f t="shared" si="4"/>
        <v>1.1094533286733634</v>
      </c>
      <c r="CJ276" s="798" t="e">
        <f t="shared" si="4"/>
        <v>#DIV/0!</v>
      </c>
      <c r="CK276" s="798">
        <f t="shared" si="4"/>
        <v>1.0050922558031876</v>
      </c>
    </row>
    <row r="277" spans="1:104" s="570" customFormat="1" ht="25.2" customHeight="1" x14ac:dyDescent="0.3">
      <c r="A277" s="569" t="s">
        <v>2016</v>
      </c>
      <c r="B277" s="570" t="s">
        <v>2017</v>
      </c>
      <c r="D277" s="979">
        <f t="shared" ref="D277:AI277" si="5">1-((D123+D124+D125+D126)/(D115+D116+D117+D118))</f>
        <v>0.60136411947412372</v>
      </c>
      <c r="E277" s="979" t="e">
        <f t="shared" si="5"/>
        <v>#DIV/0!</v>
      </c>
      <c r="F277" s="979">
        <f t="shared" si="5"/>
        <v>0.65728748751294264</v>
      </c>
      <c r="G277" s="979">
        <f t="shared" si="5"/>
        <v>0.27826845184518456</v>
      </c>
      <c r="H277" s="979" t="e">
        <f t="shared" si="5"/>
        <v>#DIV/0!</v>
      </c>
      <c r="I277" s="979">
        <f t="shared" si="5"/>
        <v>0.6509742254007217</v>
      </c>
      <c r="J277" s="979" t="e">
        <f t="shared" si="5"/>
        <v>#DIV/0!</v>
      </c>
      <c r="K277" s="979">
        <f t="shared" si="5"/>
        <v>0.63799756639586591</v>
      </c>
      <c r="L277" s="979" t="e">
        <f t="shared" si="5"/>
        <v>#DIV/0!</v>
      </c>
      <c r="M277" s="979" t="e">
        <f t="shared" si="5"/>
        <v>#DIV/0!</v>
      </c>
      <c r="N277" s="979" t="e">
        <f t="shared" si="5"/>
        <v>#DIV/0!</v>
      </c>
      <c r="O277" s="979">
        <f t="shared" si="5"/>
        <v>0.6782330161736928</v>
      </c>
      <c r="P277" s="979" t="e">
        <f t="shared" si="5"/>
        <v>#DIV/0!</v>
      </c>
      <c r="Q277" s="979" t="e">
        <f t="shared" si="5"/>
        <v>#DIV/0!</v>
      </c>
      <c r="R277" s="979" t="e">
        <f t="shared" si="5"/>
        <v>#DIV/0!</v>
      </c>
      <c r="S277" s="979" t="e">
        <f t="shared" si="5"/>
        <v>#DIV/0!</v>
      </c>
      <c r="T277" s="979" t="e">
        <f t="shared" si="5"/>
        <v>#DIV/0!</v>
      </c>
      <c r="U277" s="979" t="e">
        <f t="shared" si="5"/>
        <v>#DIV/0!</v>
      </c>
      <c r="V277" s="979">
        <f t="shared" si="5"/>
        <v>0.64077064103333448</v>
      </c>
      <c r="W277" s="979">
        <f t="shared" si="5"/>
        <v>0.68297530291605524</v>
      </c>
      <c r="X277" s="979" t="e">
        <f t="shared" si="5"/>
        <v>#DIV/0!</v>
      </c>
      <c r="Y277" s="979">
        <f t="shared" si="5"/>
        <v>0.65346658945770597</v>
      </c>
      <c r="Z277" s="979">
        <f t="shared" si="5"/>
        <v>0.45530605737915308</v>
      </c>
      <c r="AA277" s="979">
        <f t="shared" si="5"/>
        <v>0.72182566794545466</v>
      </c>
      <c r="AB277" s="979" t="e">
        <f t="shared" si="5"/>
        <v>#DIV/0!</v>
      </c>
      <c r="AC277" s="979" t="e">
        <f t="shared" si="5"/>
        <v>#DIV/0!</v>
      </c>
      <c r="AD277" s="979">
        <f t="shared" si="5"/>
        <v>0.39186873417983892</v>
      </c>
      <c r="AE277" s="979">
        <f t="shared" si="5"/>
        <v>0.58347117398301651</v>
      </c>
      <c r="AF277" s="979">
        <f t="shared" si="5"/>
        <v>0.7404914360871937</v>
      </c>
      <c r="AG277" s="979" t="e">
        <f t="shared" si="5"/>
        <v>#DIV/0!</v>
      </c>
      <c r="AH277" s="979">
        <f t="shared" si="5"/>
        <v>0.45989979630196198</v>
      </c>
      <c r="AI277" s="979">
        <f t="shared" si="5"/>
        <v>0.41651269550866166</v>
      </c>
      <c r="AJ277" s="979">
        <f t="shared" ref="AJ277:BR277" si="6">1-((AJ123+AJ124+AJ125+AJ126)/(AJ115+AJ116+AJ117+AJ118))</f>
        <v>0.61439785728651486</v>
      </c>
      <c r="AK277" s="979">
        <f t="shared" si="6"/>
        <v>0.15994663827792688</v>
      </c>
      <c r="AL277" s="979">
        <f t="shared" si="6"/>
        <v>0.516921850694118</v>
      </c>
      <c r="AM277" s="979" t="e">
        <f t="shared" si="6"/>
        <v>#DIV/0!</v>
      </c>
      <c r="AN277" s="979">
        <f t="shared" si="6"/>
        <v>0.65152346536462769</v>
      </c>
      <c r="AO277" s="979" t="e">
        <f t="shared" si="6"/>
        <v>#DIV/0!</v>
      </c>
      <c r="AP277" s="979" t="e">
        <f t="shared" si="6"/>
        <v>#DIV/0!</v>
      </c>
      <c r="AQ277" s="979">
        <f t="shared" si="6"/>
        <v>0.54061218135140077</v>
      </c>
      <c r="AR277" s="979" t="e">
        <f t="shared" si="6"/>
        <v>#DIV/0!</v>
      </c>
      <c r="AS277" s="979">
        <f t="shared" si="6"/>
        <v>0.47757588330417911</v>
      </c>
      <c r="AT277" s="979">
        <f t="shared" si="6"/>
        <v>0.54082842136389986</v>
      </c>
      <c r="AU277" s="979">
        <f t="shared" si="6"/>
        <v>0.53097014035069112</v>
      </c>
      <c r="AV277" s="979" t="e">
        <f t="shared" si="6"/>
        <v>#DIV/0!</v>
      </c>
      <c r="AW277" s="979" t="e">
        <f t="shared" si="6"/>
        <v>#DIV/0!</v>
      </c>
      <c r="AX277" s="979">
        <f t="shared" si="6"/>
        <v>0.69575252092374773</v>
      </c>
      <c r="AY277" s="979" t="e">
        <f t="shared" si="6"/>
        <v>#DIV/0!</v>
      </c>
      <c r="AZ277" s="979" t="e">
        <f t="shared" si="6"/>
        <v>#DIV/0!</v>
      </c>
      <c r="BA277" s="979">
        <f t="shared" si="6"/>
        <v>0.61206132302487026</v>
      </c>
      <c r="BB277" s="979">
        <f t="shared" si="6"/>
        <v>0.56595784167579644</v>
      </c>
      <c r="BC277" s="979">
        <f t="shared" si="6"/>
        <v>0.47046249654025452</v>
      </c>
      <c r="BD277" s="979" t="e">
        <f t="shared" si="6"/>
        <v>#DIV/0!</v>
      </c>
      <c r="BE277" s="979" t="e">
        <f t="shared" si="6"/>
        <v>#DIV/0!</v>
      </c>
      <c r="BF277" s="979">
        <f t="shared" si="6"/>
        <v>0.52625161486226091</v>
      </c>
      <c r="BG277" s="979" t="e">
        <f t="shared" si="6"/>
        <v>#DIV/0!</v>
      </c>
      <c r="BH277" s="979" t="e">
        <f t="shared" si="6"/>
        <v>#DIV/0!</v>
      </c>
      <c r="BI277" s="979">
        <f t="shared" si="6"/>
        <v>0.6499790752318827</v>
      </c>
      <c r="BJ277" s="979" t="e">
        <f t="shared" si="6"/>
        <v>#DIV/0!</v>
      </c>
      <c r="BK277" s="979">
        <f t="shared" si="6"/>
        <v>0.74123311970914929</v>
      </c>
      <c r="BL277" s="979">
        <f t="shared" si="6"/>
        <v>0.10677946253839721</v>
      </c>
      <c r="BM277" s="979">
        <f t="shared" si="6"/>
        <v>0.56889431947763758</v>
      </c>
      <c r="BN277" s="979" t="e">
        <f t="shared" si="6"/>
        <v>#DIV/0!</v>
      </c>
      <c r="BO277" s="979">
        <f t="shared" si="6"/>
        <v>0.52873505060239889</v>
      </c>
      <c r="BP277" s="979">
        <f t="shared" si="6"/>
        <v>0.54125323190916519</v>
      </c>
      <c r="BQ277" s="979" t="e">
        <f t="shared" si="6"/>
        <v>#DIV/0!</v>
      </c>
      <c r="BR277" s="979" t="e">
        <f t="shared" si="6"/>
        <v>#DIV/0!</v>
      </c>
      <c r="BS277" s="979">
        <f t="shared" ref="BS277:CK277" si="7">1-((BS123+BS124+BS125+BS126)/(BS115+BS116+BS117+BS118))</f>
        <v>0.3445283023419633</v>
      </c>
      <c r="BT277" s="979" t="e">
        <f t="shared" si="7"/>
        <v>#DIV/0!</v>
      </c>
      <c r="BU277" s="979">
        <f t="shared" si="7"/>
        <v>0.60525123929426439</v>
      </c>
      <c r="BV277" s="979" t="e">
        <f t="shared" si="7"/>
        <v>#DIV/0!</v>
      </c>
      <c r="BW277" s="979">
        <f t="shared" si="7"/>
        <v>0.46824088496509886</v>
      </c>
      <c r="BX277" s="979">
        <f t="shared" si="7"/>
        <v>0.30480502072135929</v>
      </c>
      <c r="BY277" s="979" t="e">
        <f t="shared" si="7"/>
        <v>#DIV/0!</v>
      </c>
      <c r="BZ277" s="979">
        <f t="shared" si="7"/>
        <v>0.46607036660376155</v>
      </c>
      <c r="CA277" s="979">
        <f t="shared" si="7"/>
        <v>0.43568828587725394</v>
      </c>
      <c r="CB277" s="979">
        <f t="shared" si="7"/>
        <v>0.53361112477736106</v>
      </c>
      <c r="CC277" s="979">
        <f t="shared" si="7"/>
        <v>0.58716941887812624</v>
      </c>
      <c r="CD277" s="979">
        <f t="shared" si="7"/>
        <v>0.7178458334968465</v>
      </c>
      <c r="CE277" s="979" t="e">
        <f t="shared" si="7"/>
        <v>#DIV/0!</v>
      </c>
      <c r="CF277" s="979">
        <f t="shared" si="7"/>
        <v>0.50665176556907643</v>
      </c>
      <c r="CG277" s="979" t="e">
        <f t="shared" si="7"/>
        <v>#DIV/0!</v>
      </c>
      <c r="CH277" s="979">
        <f t="shared" si="7"/>
        <v>0.43693347719211117</v>
      </c>
      <c r="CI277" s="979" t="e">
        <f t="shared" si="7"/>
        <v>#DIV/0!</v>
      </c>
      <c r="CJ277" s="979" t="e">
        <f t="shared" si="7"/>
        <v>#DIV/0!</v>
      </c>
      <c r="CK277" s="979">
        <f t="shared" si="7"/>
        <v>0.5670259048291193</v>
      </c>
    </row>
    <row r="278" spans="1:104" s="561" customFormat="1" x14ac:dyDescent="0.3">
      <c r="A278" s="560"/>
      <c r="D278" s="948"/>
      <c r="E278" s="948"/>
      <c r="F278" s="948"/>
      <c r="G278" s="948"/>
      <c r="H278" s="948"/>
      <c r="I278" s="948"/>
      <c r="J278" s="948"/>
      <c r="K278" s="948"/>
      <c r="L278"/>
      <c r="M278" s="948"/>
      <c r="N278" s="948"/>
      <c r="O278" s="948"/>
      <c r="P278" s="948"/>
      <c r="Q278" s="948"/>
      <c r="R278" s="948"/>
      <c r="S278" s="948"/>
      <c r="T278" s="948"/>
      <c r="U278" s="948"/>
      <c r="V278" s="948"/>
      <c r="W278" s="948"/>
      <c r="X278" s="948"/>
      <c r="Y278" s="948"/>
      <c r="Z278" s="948"/>
      <c r="AA278" s="948"/>
      <c r="AB278" s="948"/>
      <c r="AC278" s="948"/>
      <c r="AD278" s="948"/>
      <c r="AE278" s="948"/>
      <c r="AF278" s="948"/>
      <c r="AG278" s="948"/>
      <c r="AH278" s="948"/>
      <c r="AI278" s="948"/>
      <c r="AJ278" s="948"/>
      <c r="AK278" s="948"/>
      <c r="AL278" s="948"/>
      <c r="AM278" s="948"/>
      <c r="AN278" s="948"/>
      <c r="AO278" s="948"/>
      <c r="AP278" s="948"/>
      <c r="AQ278" s="948"/>
      <c r="AR278" s="948"/>
      <c r="AS278" s="948"/>
      <c r="AT278" s="948"/>
      <c r="AU278" s="948"/>
      <c r="AV278" s="948"/>
      <c r="AW278" s="948"/>
      <c r="AX278" s="948"/>
      <c r="AY278" s="948"/>
      <c r="AZ278" s="948"/>
      <c r="BA278" s="948"/>
      <c r="BB278" s="948"/>
      <c r="BC278" s="948"/>
      <c r="BD278" s="948"/>
      <c r="BE278" s="948"/>
      <c r="BF278" s="948"/>
      <c r="BG278" s="948"/>
      <c r="BH278" s="948"/>
      <c r="BI278" s="948"/>
      <c r="BJ278" s="948"/>
      <c r="BK278" s="948"/>
      <c r="BL278" s="948"/>
      <c r="BM278" s="948"/>
      <c r="BN278" s="948"/>
      <c r="BO278" s="948"/>
      <c r="BP278" s="948"/>
      <c r="BQ278" s="948"/>
      <c r="BR278" s="948"/>
    </row>
    <row r="279" spans="1:104" s="561" customFormat="1" x14ac:dyDescent="0.3">
      <c r="A279" s="560"/>
      <c r="D279" s="948"/>
      <c r="E279" s="948"/>
      <c r="F279" s="948"/>
      <c r="G279" s="948"/>
      <c r="H279" s="948"/>
      <c r="I279" s="948"/>
      <c r="J279" s="948"/>
      <c r="K279" s="948"/>
      <c r="L279"/>
      <c r="M279" s="948"/>
      <c r="N279" s="948"/>
      <c r="O279" s="948"/>
      <c r="P279" s="948"/>
      <c r="Q279" s="948"/>
      <c r="R279" s="948"/>
      <c r="S279" s="948"/>
      <c r="T279" s="948"/>
      <c r="U279" s="948"/>
      <c r="V279" s="948"/>
      <c r="W279" s="948"/>
      <c r="X279" s="948"/>
      <c r="Y279" s="948"/>
      <c r="Z279" s="948"/>
      <c r="AA279" s="948"/>
      <c r="AB279" s="948"/>
      <c r="AC279" s="948"/>
      <c r="AD279" s="948"/>
      <c r="AE279" s="948"/>
      <c r="AF279" s="948"/>
      <c r="AG279" s="948"/>
      <c r="AH279" s="948"/>
      <c r="AI279" s="948"/>
      <c r="AJ279" s="948"/>
      <c r="AK279" s="948"/>
      <c r="AL279" s="948"/>
      <c r="AM279" s="948"/>
      <c r="AN279" s="948"/>
      <c r="AO279" s="948"/>
      <c r="AP279" s="948"/>
      <c r="AQ279" s="948"/>
      <c r="AR279" s="948"/>
      <c r="AS279" s="948"/>
      <c r="AT279" s="948"/>
      <c r="AU279" s="948"/>
      <c r="AV279" s="948"/>
      <c r="AW279" s="948"/>
      <c r="AX279" s="948"/>
      <c r="AY279" s="948"/>
      <c r="AZ279" s="948"/>
      <c r="BA279" s="948"/>
      <c r="BB279" s="948"/>
      <c r="BC279" s="948"/>
      <c r="BD279" s="948"/>
      <c r="BE279" s="948"/>
      <c r="BF279" s="948"/>
      <c r="BG279" s="948"/>
      <c r="BH279" s="948"/>
      <c r="BI279" s="948"/>
      <c r="BJ279" s="948"/>
      <c r="BK279" s="948"/>
      <c r="BL279" s="948"/>
      <c r="BM279" s="948"/>
      <c r="BN279" s="948"/>
      <c r="BO279" s="948"/>
      <c r="BP279" s="948"/>
      <c r="BQ279" s="948"/>
      <c r="BR279" s="948"/>
    </row>
    <row r="280" spans="1:104" x14ac:dyDescent="0.3">
      <c r="B280" s="180"/>
      <c r="C280" s="180" t="s">
        <v>1797</v>
      </c>
      <c r="D280" s="573">
        <f t="shared" ref="D280:AI280" si="8">D257</f>
        <v>45772004.009999998</v>
      </c>
      <c r="E280" s="573">
        <f t="shared" si="8"/>
        <v>35600952.777500004</v>
      </c>
      <c r="F280" s="573">
        <f t="shared" si="8"/>
        <v>34728327.700000003</v>
      </c>
      <c r="G280" s="573">
        <f t="shared" si="8"/>
        <v>14175638.529999999</v>
      </c>
      <c r="H280" s="573">
        <f t="shared" si="8"/>
        <v>50112.01</v>
      </c>
      <c r="I280" s="573">
        <f t="shared" si="8"/>
        <v>225662021.09</v>
      </c>
      <c r="J280" s="573">
        <f t="shared" si="8"/>
        <v>44105632.072499998</v>
      </c>
      <c r="K280" s="573">
        <f t="shared" si="8"/>
        <v>671016925.96500003</v>
      </c>
      <c r="L280" s="573">
        <f t="shared" si="8"/>
        <v>85441314.651600003</v>
      </c>
      <c r="M280" s="573">
        <f t="shared" si="8"/>
        <v>604287104.47490001</v>
      </c>
      <c r="N280" s="573">
        <f t="shared" si="8"/>
        <v>50117.01</v>
      </c>
      <c r="O280" s="573">
        <f t="shared" si="8"/>
        <v>14129844789.125</v>
      </c>
      <c r="P280" s="573">
        <f t="shared" si="8"/>
        <v>1540185.93</v>
      </c>
      <c r="Q280" s="573">
        <f t="shared" si="8"/>
        <v>5419549.6200000001</v>
      </c>
      <c r="R280" s="573">
        <f t="shared" si="8"/>
        <v>45601732.560000002</v>
      </c>
      <c r="S280" s="573">
        <f t="shared" si="8"/>
        <v>23096442.309999999</v>
      </c>
      <c r="T280" s="573">
        <f t="shared" si="8"/>
        <v>39470910.907499999</v>
      </c>
      <c r="U280" s="573">
        <f t="shared" si="8"/>
        <v>5806859.1399999997</v>
      </c>
      <c r="V280" s="573">
        <f t="shared" si="8"/>
        <v>18063003.559999999</v>
      </c>
      <c r="W280" s="573">
        <f t="shared" si="8"/>
        <v>106513242.95999999</v>
      </c>
      <c r="X280" s="573">
        <f t="shared" si="8"/>
        <v>1998709635.572</v>
      </c>
      <c r="Y280" s="573">
        <f t="shared" si="8"/>
        <v>67842275895.190002</v>
      </c>
      <c r="Z280" s="573">
        <f t="shared" si="8"/>
        <v>339477073.36000001</v>
      </c>
      <c r="AA280" s="573">
        <f t="shared" si="8"/>
        <v>32845497.399999999</v>
      </c>
      <c r="AB280" s="573">
        <f t="shared" si="8"/>
        <v>84371714.030000001</v>
      </c>
      <c r="AC280" s="573">
        <f t="shared" si="8"/>
        <v>50128.01</v>
      </c>
      <c r="AD280" s="573">
        <f t="shared" si="8"/>
        <v>171590924.28999999</v>
      </c>
      <c r="AE280" s="573">
        <f t="shared" si="8"/>
        <v>57608306.030000001</v>
      </c>
      <c r="AF280" s="573">
        <f t="shared" si="8"/>
        <v>1769522579.5899999</v>
      </c>
      <c r="AG280" s="573">
        <f t="shared" si="8"/>
        <v>327926739.47500002</v>
      </c>
      <c r="AH280" s="573">
        <f t="shared" si="8"/>
        <v>79376561.159999996</v>
      </c>
      <c r="AI280" s="573">
        <f t="shared" si="8"/>
        <v>456654644.35000002</v>
      </c>
      <c r="AJ280" s="573">
        <f t="shared" ref="AJ280:CK280" si="9">AJ257</f>
        <v>53477019.07</v>
      </c>
      <c r="AK280" s="573">
        <f t="shared" si="9"/>
        <v>43752819.289999999</v>
      </c>
      <c r="AL280" s="573">
        <f t="shared" si="9"/>
        <v>27847307.059999999</v>
      </c>
      <c r="AM280" s="573">
        <f t="shared" si="9"/>
        <v>50136.01</v>
      </c>
      <c r="AN280" s="573">
        <f t="shared" si="9"/>
        <v>88305949.721000001</v>
      </c>
      <c r="AO280" s="573">
        <f t="shared" si="9"/>
        <v>50138.01</v>
      </c>
      <c r="AP280" s="573">
        <f t="shared" si="9"/>
        <v>1110358.97</v>
      </c>
      <c r="AQ280" s="573">
        <f t="shared" si="9"/>
        <v>8133820486.6199999</v>
      </c>
      <c r="AR280" s="573">
        <f t="shared" si="9"/>
        <v>4208218.1100000003</v>
      </c>
      <c r="AS280" s="573">
        <f t="shared" si="9"/>
        <v>37181860.82</v>
      </c>
      <c r="AT280" s="573">
        <f t="shared" si="9"/>
        <v>644074456.91999996</v>
      </c>
      <c r="AU280" s="573">
        <f t="shared" si="9"/>
        <v>37827537.850000001</v>
      </c>
      <c r="AV280" s="573">
        <f t="shared" si="9"/>
        <v>14824535.380000001</v>
      </c>
      <c r="AW280" s="573">
        <f t="shared" si="9"/>
        <v>987820591.98199999</v>
      </c>
      <c r="AX280" s="573">
        <f t="shared" si="9"/>
        <v>27405990.850000001</v>
      </c>
      <c r="AY280" s="573">
        <f t="shared" si="9"/>
        <v>142768558.85499999</v>
      </c>
      <c r="AZ280" s="573">
        <f t="shared" si="9"/>
        <v>181757014.35499999</v>
      </c>
      <c r="BA280" s="573">
        <f t="shared" si="9"/>
        <v>33088513.600000001</v>
      </c>
      <c r="BB280" s="573">
        <f t="shared" si="9"/>
        <v>10126269.76</v>
      </c>
      <c r="BC280" s="573">
        <f t="shared" si="9"/>
        <v>292330633.64999998</v>
      </c>
      <c r="BD280" s="573">
        <f t="shared" si="9"/>
        <v>2345148.79</v>
      </c>
      <c r="BE280" s="573">
        <f t="shared" si="9"/>
        <v>485248998.21499997</v>
      </c>
      <c r="BF280" s="573">
        <f t="shared" si="9"/>
        <v>114092785.01000001</v>
      </c>
      <c r="BG280" s="573">
        <f t="shared" si="9"/>
        <v>11193145.550000001</v>
      </c>
      <c r="BH280" s="573">
        <f t="shared" si="9"/>
        <v>9066967.3200000003</v>
      </c>
      <c r="BI280" s="573">
        <f t="shared" si="9"/>
        <v>108835285.73999999</v>
      </c>
      <c r="BJ280" s="573">
        <f t="shared" si="9"/>
        <v>27344939</v>
      </c>
      <c r="BK280" s="573">
        <f t="shared" si="9"/>
        <v>39554387.530000001</v>
      </c>
      <c r="BL280" s="573">
        <f t="shared" si="9"/>
        <v>113807008.01000001</v>
      </c>
      <c r="BM280" s="573">
        <f t="shared" si="9"/>
        <v>29437255.870000001</v>
      </c>
      <c r="BN280" s="573">
        <f t="shared" si="9"/>
        <v>250434828.56</v>
      </c>
      <c r="BO280" s="573">
        <f t="shared" si="9"/>
        <v>453541759.17000002</v>
      </c>
      <c r="BP280" s="573">
        <f t="shared" si="9"/>
        <v>14913367813.203699</v>
      </c>
      <c r="BQ280" s="573">
        <f t="shared" si="9"/>
        <v>1613737.66</v>
      </c>
      <c r="BR280" s="573">
        <f t="shared" si="9"/>
        <v>50511.01</v>
      </c>
      <c r="BS280" s="573">
        <f t="shared" si="9"/>
        <v>23657842.940000001</v>
      </c>
      <c r="BT280" s="573">
        <f t="shared" si="9"/>
        <v>50162</v>
      </c>
      <c r="BU280" s="573">
        <f t="shared" si="9"/>
        <v>64201404.390000001</v>
      </c>
      <c r="BV280" s="573">
        <f t="shared" si="9"/>
        <v>75098397.510000005</v>
      </c>
      <c r="BW280" s="573">
        <f t="shared" si="9"/>
        <v>818317219.16999996</v>
      </c>
      <c r="BX280" s="573">
        <f t="shared" si="9"/>
        <v>306743189.77999997</v>
      </c>
      <c r="BY280" s="573">
        <f t="shared" si="9"/>
        <v>50166.09</v>
      </c>
      <c r="BZ280" s="573">
        <f t="shared" si="9"/>
        <v>265195182.76499999</v>
      </c>
      <c r="CA280" s="573">
        <f t="shared" si="9"/>
        <v>26387915.93</v>
      </c>
      <c r="CB280" s="573">
        <f t="shared" si="9"/>
        <v>193716691.28549999</v>
      </c>
      <c r="CC280" s="573">
        <f t="shared" si="9"/>
        <v>35738799.289999999</v>
      </c>
      <c r="CD280" s="573">
        <f t="shared" si="9"/>
        <v>49803235.219999999</v>
      </c>
      <c r="CE280" s="573">
        <f t="shared" si="9"/>
        <v>50172.01</v>
      </c>
      <c r="CF280" s="573">
        <f t="shared" si="9"/>
        <v>283519509.44999999</v>
      </c>
      <c r="CG280" s="573">
        <f t="shared" si="9"/>
        <v>214465690.79499999</v>
      </c>
      <c r="CH280" s="573">
        <f t="shared" si="9"/>
        <v>180875037.127</v>
      </c>
      <c r="CI280" s="573">
        <f t="shared" si="9"/>
        <v>85537630.849999994</v>
      </c>
      <c r="CJ280" s="573">
        <f t="shared" si="9"/>
        <v>50177.01</v>
      </c>
      <c r="CK280" s="573">
        <f t="shared" si="9"/>
        <v>10033721.07</v>
      </c>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80"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5">
        <v>906</v>
      </c>
      <c r="B285" s="180"/>
      <c r="C285" s="180">
        <v>204</v>
      </c>
      <c r="D285" s="180">
        <f t="shared" ref="D285:AI285" si="10">D203</f>
        <v>1</v>
      </c>
      <c r="E285" s="180">
        <f t="shared" si="10"/>
        <v>1</v>
      </c>
      <c r="F285" s="180">
        <f t="shared" si="10"/>
        <v>1</v>
      </c>
      <c r="G285" s="180">
        <f t="shared" si="10"/>
        <v>1</v>
      </c>
      <c r="H285" s="180">
        <f t="shared" si="10"/>
        <v>0</v>
      </c>
      <c r="I285" s="180">
        <f t="shared" si="10"/>
        <v>1</v>
      </c>
      <c r="J285" s="180">
        <f t="shared" si="10"/>
        <v>1</v>
      </c>
      <c r="K285" s="180">
        <f t="shared" si="10"/>
        <v>1</v>
      </c>
      <c r="L285" s="180">
        <f t="shared" si="10"/>
        <v>1</v>
      </c>
      <c r="M285" s="180">
        <f t="shared" si="10"/>
        <v>1</v>
      </c>
      <c r="N285" s="180">
        <f t="shared" si="10"/>
        <v>0</v>
      </c>
      <c r="O285" s="180">
        <f t="shared" si="10"/>
        <v>1</v>
      </c>
      <c r="P285" s="180">
        <f t="shared" si="10"/>
        <v>1</v>
      </c>
      <c r="Q285" s="180">
        <f t="shared" si="10"/>
        <v>1</v>
      </c>
      <c r="R285" s="180">
        <f t="shared" si="10"/>
        <v>1</v>
      </c>
      <c r="S285" s="180">
        <f t="shared" si="10"/>
        <v>1</v>
      </c>
      <c r="T285" s="180">
        <f t="shared" si="10"/>
        <v>1</v>
      </c>
      <c r="U285" s="180">
        <f t="shared" si="10"/>
        <v>1</v>
      </c>
      <c r="V285" s="180">
        <f t="shared" si="10"/>
        <v>1</v>
      </c>
      <c r="W285" s="180">
        <f t="shared" si="10"/>
        <v>1</v>
      </c>
      <c r="X285" s="180">
        <f t="shared" si="10"/>
        <v>1</v>
      </c>
      <c r="Y285" s="180">
        <f t="shared" si="10"/>
        <v>1</v>
      </c>
      <c r="Z285" s="180">
        <f t="shared" si="10"/>
        <v>1</v>
      </c>
      <c r="AA285" s="180">
        <f t="shared" si="10"/>
        <v>1</v>
      </c>
      <c r="AB285" s="180">
        <f t="shared" si="10"/>
        <v>1</v>
      </c>
      <c r="AC285" s="180">
        <f t="shared" si="10"/>
        <v>0</v>
      </c>
      <c r="AD285" s="180">
        <f t="shared" si="10"/>
        <v>1</v>
      </c>
      <c r="AE285" s="180">
        <f t="shared" si="10"/>
        <v>1</v>
      </c>
      <c r="AF285" s="180">
        <f t="shared" si="10"/>
        <v>1</v>
      </c>
      <c r="AG285" s="180">
        <f t="shared" si="10"/>
        <v>1</v>
      </c>
      <c r="AH285" s="180">
        <f t="shared" si="10"/>
        <v>1</v>
      </c>
      <c r="AI285" s="180">
        <f t="shared" si="10"/>
        <v>1</v>
      </c>
      <c r="AJ285" s="180">
        <f t="shared" ref="AJ285:BO285" si="11">AJ203</f>
        <v>1</v>
      </c>
      <c r="AK285" s="180">
        <f t="shared" si="11"/>
        <v>1</v>
      </c>
      <c r="AL285" s="180">
        <f t="shared" si="11"/>
        <v>1</v>
      </c>
      <c r="AM285" s="180">
        <f t="shared" si="11"/>
        <v>0</v>
      </c>
      <c r="AN285" s="180">
        <f t="shared" si="11"/>
        <v>1</v>
      </c>
      <c r="AO285" s="180">
        <f t="shared" si="11"/>
        <v>0</v>
      </c>
      <c r="AP285" s="180">
        <f t="shared" si="11"/>
        <v>1</v>
      </c>
      <c r="AQ285" s="180">
        <f t="shared" si="11"/>
        <v>1</v>
      </c>
      <c r="AR285" s="180">
        <f t="shared" si="11"/>
        <v>1</v>
      </c>
      <c r="AS285" s="180">
        <f t="shared" si="11"/>
        <v>1</v>
      </c>
      <c r="AT285" s="180">
        <f t="shared" si="11"/>
        <v>1</v>
      </c>
      <c r="AU285" s="180">
        <f t="shared" si="11"/>
        <v>1</v>
      </c>
      <c r="AV285" s="180">
        <f t="shared" si="11"/>
        <v>1</v>
      </c>
      <c r="AW285" s="180">
        <f t="shared" si="11"/>
        <v>1</v>
      </c>
      <c r="AX285" s="180">
        <f t="shared" si="11"/>
        <v>1</v>
      </c>
      <c r="AY285" s="180">
        <f t="shared" si="11"/>
        <v>1</v>
      </c>
      <c r="AZ285" s="180">
        <f t="shared" si="11"/>
        <v>1</v>
      </c>
      <c r="BA285" s="180">
        <f t="shared" si="11"/>
        <v>1</v>
      </c>
      <c r="BB285" s="180">
        <f t="shared" si="11"/>
        <v>1</v>
      </c>
      <c r="BC285" s="180">
        <f t="shared" si="11"/>
        <v>1</v>
      </c>
      <c r="BD285" s="180">
        <f t="shared" si="11"/>
        <v>1</v>
      </c>
      <c r="BE285" s="180">
        <f t="shared" si="11"/>
        <v>1</v>
      </c>
      <c r="BF285" s="180">
        <f t="shared" si="11"/>
        <v>1</v>
      </c>
      <c r="BG285" s="180">
        <f t="shared" si="11"/>
        <v>1</v>
      </c>
      <c r="BH285" s="180">
        <f t="shared" si="11"/>
        <v>1</v>
      </c>
      <c r="BI285" s="180">
        <f t="shared" si="11"/>
        <v>1</v>
      </c>
      <c r="BJ285" s="180">
        <f t="shared" si="11"/>
        <v>1</v>
      </c>
      <c r="BK285" s="180">
        <f t="shared" si="11"/>
        <v>1</v>
      </c>
      <c r="BL285" s="180">
        <f t="shared" si="11"/>
        <v>1</v>
      </c>
      <c r="BM285" s="180">
        <f t="shared" si="11"/>
        <v>1</v>
      </c>
      <c r="BN285" s="180">
        <f t="shared" si="11"/>
        <v>1</v>
      </c>
      <c r="BO285" s="180">
        <f t="shared" si="11"/>
        <v>1</v>
      </c>
      <c r="BP285" s="180">
        <f t="shared" ref="BP285:CZ285" si="12">BP203</f>
        <v>1</v>
      </c>
      <c r="BQ285" s="180">
        <f t="shared" si="12"/>
        <v>1</v>
      </c>
      <c r="BR285" s="180">
        <f t="shared" si="12"/>
        <v>0</v>
      </c>
      <c r="BS285" s="180">
        <f t="shared" si="12"/>
        <v>1</v>
      </c>
      <c r="BT285" s="180">
        <f t="shared" si="12"/>
        <v>0</v>
      </c>
      <c r="BU285" s="180">
        <f t="shared" si="12"/>
        <v>1</v>
      </c>
      <c r="BV285" s="180">
        <f t="shared" si="12"/>
        <v>1</v>
      </c>
      <c r="BW285" s="180">
        <f t="shared" si="12"/>
        <v>1</v>
      </c>
      <c r="BX285" s="180">
        <f t="shared" si="12"/>
        <v>1</v>
      </c>
      <c r="BY285" s="180">
        <f t="shared" si="12"/>
        <v>0</v>
      </c>
      <c r="BZ285" s="180">
        <f t="shared" si="12"/>
        <v>1</v>
      </c>
      <c r="CA285" s="180">
        <f t="shared" si="12"/>
        <v>1</v>
      </c>
      <c r="CB285" s="180">
        <f t="shared" si="12"/>
        <v>1</v>
      </c>
      <c r="CC285" s="180">
        <f t="shared" si="12"/>
        <v>1</v>
      </c>
      <c r="CD285" s="180">
        <f t="shared" si="12"/>
        <v>1</v>
      </c>
      <c r="CE285" s="180">
        <f t="shared" si="12"/>
        <v>0</v>
      </c>
      <c r="CF285" s="180">
        <f t="shared" si="12"/>
        <v>1</v>
      </c>
      <c r="CG285" s="180">
        <f t="shared" si="12"/>
        <v>1</v>
      </c>
      <c r="CH285" s="180">
        <f t="shared" si="12"/>
        <v>1</v>
      </c>
      <c r="CI285" s="180">
        <f t="shared" si="12"/>
        <v>1</v>
      </c>
      <c r="CJ285" s="180">
        <f t="shared" si="12"/>
        <v>0</v>
      </c>
      <c r="CK285" s="180">
        <f t="shared" si="12"/>
        <v>1</v>
      </c>
      <c r="CL285" s="180">
        <f t="shared" si="12"/>
        <v>0</v>
      </c>
      <c r="CM285" s="180">
        <f t="shared" si="12"/>
        <v>0</v>
      </c>
      <c r="CN285" s="180">
        <f t="shared" si="12"/>
        <v>0</v>
      </c>
      <c r="CO285" s="180">
        <f t="shared" si="12"/>
        <v>0</v>
      </c>
      <c r="CP285" s="180">
        <f t="shared" si="12"/>
        <v>0</v>
      </c>
      <c r="CQ285" s="180">
        <f t="shared" si="12"/>
        <v>0</v>
      </c>
      <c r="CR285" s="180">
        <f t="shared" si="12"/>
        <v>0</v>
      </c>
      <c r="CS285" s="180">
        <f t="shared" si="12"/>
        <v>0</v>
      </c>
      <c r="CT285" s="180">
        <f t="shared" si="12"/>
        <v>0</v>
      </c>
      <c r="CU285" s="180">
        <f t="shared" si="12"/>
        <v>0</v>
      </c>
      <c r="CV285" s="180">
        <f t="shared" si="12"/>
        <v>0</v>
      </c>
      <c r="CW285" s="180">
        <f t="shared" si="12"/>
        <v>0</v>
      </c>
      <c r="CX285" s="180">
        <f t="shared" si="12"/>
        <v>0</v>
      </c>
      <c r="CY285" s="180">
        <f t="shared" si="12"/>
        <v>0</v>
      </c>
      <c r="CZ285" s="180">
        <f t="shared" si="12"/>
        <v>0</v>
      </c>
    </row>
    <row r="286" spans="1:104" x14ac:dyDescent="0.3">
      <c r="A286" s="555">
        <v>907</v>
      </c>
      <c r="B286" s="180"/>
      <c r="C286" s="180">
        <v>205</v>
      </c>
      <c r="D286" s="180">
        <f t="shared" ref="D286:AI286" si="13">D204</f>
        <v>1</v>
      </c>
      <c r="E286" s="180">
        <f t="shared" si="13"/>
        <v>1</v>
      </c>
      <c r="F286" s="180">
        <f t="shared" si="13"/>
        <v>1</v>
      </c>
      <c r="G286" s="180">
        <f t="shared" si="13"/>
        <v>1</v>
      </c>
      <c r="H286" s="180">
        <f t="shared" si="13"/>
        <v>0</v>
      </c>
      <c r="I286" s="180">
        <f t="shared" si="13"/>
        <v>2</v>
      </c>
      <c r="J286" s="180">
        <f t="shared" si="13"/>
        <v>1</v>
      </c>
      <c r="K286" s="180">
        <f t="shared" si="13"/>
        <v>2</v>
      </c>
      <c r="L286" s="180">
        <f t="shared" si="13"/>
        <v>2</v>
      </c>
      <c r="M286" s="180">
        <f t="shared" si="13"/>
        <v>2</v>
      </c>
      <c r="N286" s="180">
        <f t="shared" si="13"/>
        <v>0</v>
      </c>
      <c r="O286" s="180">
        <f t="shared" si="13"/>
        <v>2</v>
      </c>
      <c r="P286" s="180">
        <f t="shared" si="13"/>
        <v>1</v>
      </c>
      <c r="Q286" s="180">
        <f t="shared" si="13"/>
        <v>1</v>
      </c>
      <c r="R286" s="180">
        <f t="shared" si="13"/>
        <v>1</v>
      </c>
      <c r="S286" s="180">
        <f t="shared" si="13"/>
        <v>2</v>
      </c>
      <c r="T286" s="180">
        <f t="shared" si="13"/>
        <v>2</v>
      </c>
      <c r="U286" s="180">
        <f t="shared" si="13"/>
        <v>2</v>
      </c>
      <c r="V286" s="180">
        <f t="shared" si="13"/>
        <v>1</v>
      </c>
      <c r="W286" s="180">
        <f t="shared" si="13"/>
        <v>2</v>
      </c>
      <c r="X286" s="180">
        <f t="shared" si="13"/>
        <v>2</v>
      </c>
      <c r="Y286" s="180">
        <f t="shared" si="13"/>
        <v>2</v>
      </c>
      <c r="Z286" s="180">
        <f t="shared" si="13"/>
        <v>2</v>
      </c>
      <c r="AA286" s="180">
        <f t="shared" si="13"/>
        <v>2</v>
      </c>
      <c r="AB286" s="180">
        <f t="shared" si="13"/>
        <v>2</v>
      </c>
      <c r="AC286" s="180">
        <f t="shared" si="13"/>
        <v>0</v>
      </c>
      <c r="AD286" s="180">
        <f t="shared" si="13"/>
        <v>2</v>
      </c>
      <c r="AE286" s="180">
        <f t="shared" si="13"/>
        <v>1</v>
      </c>
      <c r="AF286" s="180">
        <f t="shared" si="13"/>
        <v>2</v>
      </c>
      <c r="AG286" s="180">
        <f t="shared" si="13"/>
        <v>1</v>
      </c>
      <c r="AH286" s="180">
        <f t="shared" si="13"/>
        <v>2</v>
      </c>
      <c r="AI286" s="180">
        <f t="shared" si="13"/>
        <v>2</v>
      </c>
      <c r="AJ286" s="180">
        <f t="shared" ref="AJ286:BO286" si="14">AJ204</f>
        <v>2</v>
      </c>
      <c r="AK286" s="180">
        <f t="shared" si="14"/>
        <v>1</v>
      </c>
      <c r="AL286" s="180">
        <f t="shared" si="14"/>
        <v>2</v>
      </c>
      <c r="AM286" s="180">
        <f t="shared" si="14"/>
        <v>0</v>
      </c>
      <c r="AN286" s="180">
        <f t="shared" si="14"/>
        <v>1</v>
      </c>
      <c r="AO286" s="180">
        <f t="shared" si="14"/>
        <v>0</v>
      </c>
      <c r="AP286" s="180">
        <f t="shared" si="14"/>
        <v>2</v>
      </c>
      <c r="AQ286" s="180">
        <f t="shared" si="14"/>
        <v>1</v>
      </c>
      <c r="AR286" s="180">
        <f t="shared" si="14"/>
        <v>1</v>
      </c>
      <c r="AS286" s="180">
        <f t="shared" si="14"/>
        <v>1</v>
      </c>
      <c r="AT286" s="180">
        <f t="shared" si="14"/>
        <v>2</v>
      </c>
      <c r="AU286" s="180">
        <f t="shared" si="14"/>
        <v>1</v>
      </c>
      <c r="AV286" s="180">
        <f t="shared" si="14"/>
        <v>1</v>
      </c>
      <c r="AW286" s="180">
        <f t="shared" si="14"/>
        <v>2</v>
      </c>
      <c r="AX286" s="180">
        <f t="shared" si="14"/>
        <v>1</v>
      </c>
      <c r="AY286" s="180">
        <f t="shared" si="14"/>
        <v>2</v>
      </c>
      <c r="AZ286" s="180">
        <f t="shared" si="14"/>
        <v>2</v>
      </c>
      <c r="BA286" s="180">
        <f t="shared" si="14"/>
        <v>2</v>
      </c>
      <c r="BB286" s="180">
        <f t="shared" si="14"/>
        <v>2</v>
      </c>
      <c r="BC286" s="180">
        <f t="shared" si="14"/>
        <v>2</v>
      </c>
      <c r="BD286" s="180">
        <f t="shared" si="14"/>
        <v>1</v>
      </c>
      <c r="BE286" s="180">
        <f t="shared" si="14"/>
        <v>2</v>
      </c>
      <c r="BF286" s="180">
        <f t="shared" si="14"/>
        <v>2</v>
      </c>
      <c r="BG286" s="180">
        <f t="shared" si="14"/>
        <v>1</v>
      </c>
      <c r="BH286" s="180">
        <f t="shared" si="14"/>
        <v>1</v>
      </c>
      <c r="BI286" s="180">
        <f t="shared" si="14"/>
        <v>2</v>
      </c>
      <c r="BJ286" s="180">
        <f t="shared" si="14"/>
        <v>2</v>
      </c>
      <c r="BK286" s="180">
        <f t="shared" si="14"/>
        <v>1</v>
      </c>
      <c r="BL286" s="180">
        <f t="shared" si="14"/>
        <v>2</v>
      </c>
      <c r="BM286" s="180">
        <f t="shared" si="14"/>
        <v>1</v>
      </c>
      <c r="BN286" s="180">
        <f t="shared" si="14"/>
        <v>2</v>
      </c>
      <c r="BO286" s="180">
        <f t="shared" si="14"/>
        <v>2</v>
      </c>
      <c r="BP286" s="180">
        <f t="shared" ref="BP286:CZ286" si="15">BP204</f>
        <v>2</v>
      </c>
      <c r="BQ286" s="180">
        <f t="shared" si="15"/>
        <v>1</v>
      </c>
      <c r="BR286" s="180">
        <f t="shared" si="15"/>
        <v>0</v>
      </c>
      <c r="BS286" s="180">
        <f t="shared" si="15"/>
        <v>2</v>
      </c>
      <c r="BT286" s="180">
        <f t="shared" si="15"/>
        <v>0</v>
      </c>
      <c r="BU286" s="180">
        <f t="shared" si="15"/>
        <v>2</v>
      </c>
      <c r="BV286" s="180">
        <f t="shared" si="15"/>
        <v>1</v>
      </c>
      <c r="BW286" s="180">
        <f t="shared" si="15"/>
        <v>2</v>
      </c>
      <c r="BX286" s="180">
        <f t="shared" si="15"/>
        <v>2</v>
      </c>
      <c r="BY286" s="180">
        <f t="shared" si="15"/>
        <v>0</v>
      </c>
      <c r="BZ286" s="180">
        <f t="shared" si="15"/>
        <v>1</v>
      </c>
      <c r="CA286" s="180">
        <f t="shared" si="15"/>
        <v>2</v>
      </c>
      <c r="CB286" s="180">
        <f t="shared" si="15"/>
        <v>2</v>
      </c>
      <c r="CC286" s="180">
        <f t="shared" si="15"/>
        <v>1</v>
      </c>
      <c r="CD286" s="180">
        <f t="shared" si="15"/>
        <v>1</v>
      </c>
      <c r="CE286" s="180">
        <f t="shared" si="15"/>
        <v>0</v>
      </c>
      <c r="CF286" s="180">
        <f t="shared" si="15"/>
        <v>2</v>
      </c>
      <c r="CG286" s="180">
        <f t="shared" si="15"/>
        <v>2</v>
      </c>
      <c r="CH286" s="180">
        <f t="shared" si="15"/>
        <v>2</v>
      </c>
      <c r="CI286" s="180">
        <f t="shared" si="15"/>
        <v>1</v>
      </c>
      <c r="CJ286" s="180">
        <f t="shared" si="15"/>
        <v>0</v>
      </c>
      <c r="CK286" s="180">
        <f t="shared" si="15"/>
        <v>1</v>
      </c>
      <c r="CL286" s="180">
        <f t="shared" si="15"/>
        <v>0</v>
      </c>
      <c r="CM286" s="180">
        <f t="shared" si="15"/>
        <v>0</v>
      </c>
      <c r="CN286" s="180">
        <f t="shared" si="15"/>
        <v>0</v>
      </c>
      <c r="CO286" s="180">
        <f t="shared" si="15"/>
        <v>0</v>
      </c>
      <c r="CP286" s="180">
        <f t="shared" si="15"/>
        <v>0</v>
      </c>
      <c r="CQ286" s="180">
        <f t="shared" si="15"/>
        <v>0</v>
      </c>
      <c r="CR286" s="180">
        <f t="shared" si="15"/>
        <v>0</v>
      </c>
      <c r="CS286" s="180">
        <f t="shared" si="15"/>
        <v>0</v>
      </c>
      <c r="CT286" s="180">
        <f t="shared" si="15"/>
        <v>0</v>
      </c>
      <c r="CU286" s="180">
        <f t="shared" si="15"/>
        <v>0</v>
      </c>
      <c r="CV286" s="180">
        <f t="shared" si="15"/>
        <v>0</v>
      </c>
      <c r="CW286" s="180">
        <f t="shared" si="15"/>
        <v>0</v>
      </c>
      <c r="CX286" s="180">
        <f t="shared" si="15"/>
        <v>0</v>
      </c>
      <c r="CY286" s="180">
        <f t="shared" si="15"/>
        <v>0</v>
      </c>
      <c r="CZ286" s="180">
        <f t="shared" si="15"/>
        <v>0</v>
      </c>
    </row>
    <row r="287" spans="1:104" x14ac:dyDescent="0.3">
      <c r="A287" s="555">
        <v>951</v>
      </c>
      <c r="B287" s="180"/>
      <c r="C287" s="180">
        <v>209</v>
      </c>
      <c r="D287" s="180">
        <f t="shared" ref="D287:AI287" si="16">D209</f>
        <v>2</v>
      </c>
      <c r="E287" s="180">
        <f t="shared" si="16"/>
        <v>2</v>
      </c>
      <c r="F287" s="180">
        <f t="shared" si="16"/>
        <v>2</v>
      </c>
      <c r="G287" s="180">
        <f t="shared" si="16"/>
        <v>1</v>
      </c>
      <c r="H287" s="180">
        <f t="shared" si="16"/>
        <v>0</v>
      </c>
      <c r="I287" s="180">
        <f t="shared" si="16"/>
        <v>2</v>
      </c>
      <c r="J287" s="180">
        <f t="shared" si="16"/>
        <v>2</v>
      </c>
      <c r="K287" s="180">
        <f t="shared" si="16"/>
        <v>2</v>
      </c>
      <c r="L287" s="180">
        <f t="shared" si="16"/>
        <v>2</v>
      </c>
      <c r="M287" s="180">
        <f t="shared" si="16"/>
        <v>2</v>
      </c>
      <c r="N287" s="180">
        <f t="shared" si="16"/>
        <v>0</v>
      </c>
      <c r="O287" s="180">
        <f t="shared" si="16"/>
        <v>2</v>
      </c>
      <c r="P287" s="180">
        <f t="shared" si="16"/>
        <v>1</v>
      </c>
      <c r="Q287" s="180">
        <f t="shared" si="16"/>
        <v>1</v>
      </c>
      <c r="R287" s="180">
        <f t="shared" si="16"/>
        <v>2</v>
      </c>
      <c r="S287" s="180">
        <f t="shared" si="16"/>
        <v>2</v>
      </c>
      <c r="T287" s="180">
        <f t="shared" si="16"/>
        <v>2</v>
      </c>
      <c r="U287" s="180">
        <f t="shared" si="16"/>
        <v>2</v>
      </c>
      <c r="V287" s="180">
        <f t="shared" si="16"/>
        <v>1</v>
      </c>
      <c r="W287" s="180">
        <f t="shared" si="16"/>
        <v>2</v>
      </c>
      <c r="X287" s="180">
        <f t="shared" si="16"/>
        <v>2</v>
      </c>
      <c r="Y287" s="180">
        <f t="shared" si="16"/>
        <v>2</v>
      </c>
      <c r="Z287" s="180">
        <f t="shared" si="16"/>
        <v>2</v>
      </c>
      <c r="AA287" s="180">
        <f t="shared" si="16"/>
        <v>2</v>
      </c>
      <c r="AB287" s="180">
        <f t="shared" si="16"/>
        <v>2</v>
      </c>
      <c r="AC287" s="180">
        <f t="shared" si="16"/>
        <v>0</v>
      </c>
      <c r="AD287" s="180">
        <f t="shared" si="16"/>
        <v>2</v>
      </c>
      <c r="AE287" s="180">
        <f t="shared" si="16"/>
        <v>2</v>
      </c>
      <c r="AF287" s="180">
        <f t="shared" si="16"/>
        <v>2</v>
      </c>
      <c r="AG287" s="180">
        <f t="shared" si="16"/>
        <v>2</v>
      </c>
      <c r="AH287" s="180">
        <f t="shared" si="16"/>
        <v>2</v>
      </c>
      <c r="AI287" s="180">
        <f t="shared" si="16"/>
        <v>2</v>
      </c>
      <c r="AJ287" s="180">
        <f t="shared" ref="AJ287:BO287" si="17">AJ209</f>
        <v>2</v>
      </c>
      <c r="AK287" s="180">
        <f t="shared" si="17"/>
        <v>2</v>
      </c>
      <c r="AL287" s="180">
        <f t="shared" si="17"/>
        <v>2</v>
      </c>
      <c r="AM287" s="180">
        <f t="shared" si="17"/>
        <v>0</v>
      </c>
      <c r="AN287" s="180">
        <f t="shared" si="17"/>
        <v>2</v>
      </c>
      <c r="AO287" s="180">
        <f t="shared" si="17"/>
        <v>0</v>
      </c>
      <c r="AP287" s="180">
        <f t="shared" si="17"/>
        <v>2</v>
      </c>
      <c r="AQ287" s="180">
        <f t="shared" si="17"/>
        <v>2</v>
      </c>
      <c r="AR287" s="180">
        <f t="shared" si="17"/>
        <v>1</v>
      </c>
      <c r="AS287" s="180">
        <f t="shared" si="17"/>
        <v>2</v>
      </c>
      <c r="AT287" s="180">
        <f t="shared" si="17"/>
        <v>2</v>
      </c>
      <c r="AU287" s="180">
        <f t="shared" si="17"/>
        <v>1</v>
      </c>
      <c r="AV287" s="180">
        <f t="shared" si="17"/>
        <v>2</v>
      </c>
      <c r="AW287" s="180">
        <f t="shared" si="17"/>
        <v>2</v>
      </c>
      <c r="AX287" s="180">
        <f t="shared" si="17"/>
        <v>2</v>
      </c>
      <c r="AY287" s="180">
        <f t="shared" si="17"/>
        <v>2</v>
      </c>
      <c r="AZ287" s="180">
        <f t="shared" si="17"/>
        <v>2</v>
      </c>
      <c r="BA287" s="180">
        <f t="shared" si="17"/>
        <v>2</v>
      </c>
      <c r="BB287" s="180">
        <f t="shared" si="17"/>
        <v>2</v>
      </c>
      <c r="BC287" s="180">
        <f t="shared" si="17"/>
        <v>2</v>
      </c>
      <c r="BD287" s="180">
        <f t="shared" si="17"/>
        <v>2</v>
      </c>
      <c r="BE287" s="180">
        <f t="shared" si="17"/>
        <v>2</v>
      </c>
      <c r="BF287" s="180">
        <f t="shared" si="17"/>
        <v>2</v>
      </c>
      <c r="BG287" s="180">
        <f t="shared" si="17"/>
        <v>2</v>
      </c>
      <c r="BH287" s="180">
        <f t="shared" si="17"/>
        <v>2</v>
      </c>
      <c r="BI287" s="180">
        <f t="shared" si="17"/>
        <v>2</v>
      </c>
      <c r="BJ287" s="180">
        <f t="shared" si="17"/>
        <v>2</v>
      </c>
      <c r="BK287" s="180">
        <f t="shared" si="17"/>
        <v>2</v>
      </c>
      <c r="BL287" s="180">
        <f t="shared" si="17"/>
        <v>2</v>
      </c>
      <c r="BM287" s="180">
        <f t="shared" si="17"/>
        <v>2</v>
      </c>
      <c r="BN287" s="180">
        <f t="shared" si="17"/>
        <v>2</v>
      </c>
      <c r="BO287" s="180">
        <f t="shared" si="17"/>
        <v>2</v>
      </c>
      <c r="BP287" s="180">
        <f t="shared" ref="BP287:CZ287" si="18">BP209</f>
        <v>2</v>
      </c>
      <c r="BQ287" s="180">
        <f t="shared" si="18"/>
        <v>1</v>
      </c>
      <c r="BR287" s="180">
        <f t="shared" si="18"/>
        <v>0</v>
      </c>
      <c r="BS287" s="180">
        <f t="shared" si="18"/>
        <v>2</v>
      </c>
      <c r="BT287" s="180">
        <f t="shared" si="18"/>
        <v>0</v>
      </c>
      <c r="BU287" s="180">
        <f t="shared" si="18"/>
        <v>2</v>
      </c>
      <c r="BV287" s="180">
        <f t="shared" si="18"/>
        <v>2</v>
      </c>
      <c r="BW287" s="180">
        <f t="shared" si="18"/>
        <v>2</v>
      </c>
      <c r="BX287" s="180">
        <f t="shared" si="18"/>
        <v>2</v>
      </c>
      <c r="BY287" s="180">
        <f t="shared" si="18"/>
        <v>0</v>
      </c>
      <c r="BZ287" s="180">
        <f t="shared" si="18"/>
        <v>2</v>
      </c>
      <c r="CA287" s="180">
        <f t="shared" si="18"/>
        <v>2</v>
      </c>
      <c r="CB287" s="180">
        <f t="shared" si="18"/>
        <v>2</v>
      </c>
      <c r="CC287" s="180">
        <f t="shared" si="18"/>
        <v>1</v>
      </c>
      <c r="CD287" s="180">
        <f t="shared" si="18"/>
        <v>2</v>
      </c>
      <c r="CE287" s="180">
        <f t="shared" si="18"/>
        <v>0</v>
      </c>
      <c r="CF287" s="180">
        <f t="shared" si="18"/>
        <v>2</v>
      </c>
      <c r="CG287" s="180">
        <f t="shared" si="18"/>
        <v>2</v>
      </c>
      <c r="CH287" s="180">
        <f t="shared" si="18"/>
        <v>2</v>
      </c>
      <c r="CI287" s="180">
        <f t="shared" si="18"/>
        <v>2</v>
      </c>
      <c r="CJ287" s="180">
        <f t="shared" si="18"/>
        <v>0</v>
      </c>
      <c r="CK287" s="180">
        <f t="shared" si="18"/>
        <v>1</v>
      </c>
      <c r="CL287" s="180">
        <f t="shared" si="18"/>
        <v>0</v>
      </c>
      <c r="CM287" s="180">
        <f t="shared" si="18"/>
        <v>0</v>
      </c>
      <c r="CN287" s="180">
        <f t="shared" si="18"/>
        <v>0</v>
      </c>
      <c r="CO287" s="180">
        <f t="shared" si="18"/>
        <v>0</v>
      </c>
      <c r="CP287" s="180">
        <f t="shared" si="18"/>
        <v>0</v>
      </c>
      <c r="CQ287" s="180">
        <f t="shared" si="18"/>
        <v>0</v>
      </c>
      <c r="CR287" s="180">
        <f t="shared" si="18"/>
        <v>0</v>
      </c>
      <c r="CS287" s="180">
        <f t="shared" si="18"/>
        <v>0</v>
      </c>
      <c r="CT287" s="180">
        <f t="shared" si="18"/>
        <v>0</v>
      </c>
      <c r="CU287" s="180">
        <f t="shared" si="18"/>
        <v>0</v>
      </c>
      <c r="CV287" s="180">
        <f t="shared" si="18"/>
        <v>0</v>
      </c>
      <c r="CW287" s="180">
        <f t="shared" si="18"/>
        <v>0</v>
      </c>
      <c r="CX287" s="180">
        <f t="shared" si="18"/>
        <v>0</v>
      </c>
      <c r="CY287" s="180">
        <f t="shared" si="18"/>
        <v>0</v>
      </c>
      <c r="CZ287" s="180">
        <f t="shared" si="18"/>
        <v>0</v>
      </c>
    </row>
    <row r="288" spans="1:104" x14ac:dyDescent="0.3">
      <c r="A288" s="555">
        <v>953</v>
      </c>
      <c r="B288" s="180"/>
      <c r="C288" s="180">
        <v>211</v>
      </c>
      <c r="D288" s="180">
        <f t="shared" ref="D288:AI288" si="19">D211</f>
        <v>2</v>
      </c>
      <c r="E288" s="180">
        <f t="shared" si="19"/>
        <v>2</v>
      </c>
      <c r="F288" s="180">
        <f t="shared" si="19"/>
        <v>2</v>
      </c>
      <c r="G288" s="180">
        <f t="shared" si="19"/>
        <v>2</v>
      </c>
      <c r="H288" s="180">
        <f t="shared" si="19"/>
        <v>0</v>
      </c>
      <c r="I288" s="180">
        <f t="shared" si="19"/>
        <v>2</v>
      </c>
      <c r="J288" s="180">
        <f t="shared" si="19"/>
        <v>2</v>
      </c>
      <c r="K288" s="180">
        <f t="shared" si="19"/>
        <v>2</v>
      </c>
      <c r="L288" s="180">
        <f t="shared" si="19"/>
        <v>2</v>
      </c>
      <c r="M288" s="180">
        <f t="shared" si="19"/>
        <v>2</v>
      </c>
      <c r="N288" s="180">
        <f t="shared" si="19"/>
        <v>0</v>
      </c>
      <c r="O288" s="180">
        <f t="shared" si="19"/>
        <v>2</v>
      </c>
      <c r="P288" s="180">
        <f t="shared" si="19"/>
        <v>2</v>
      </c>
      <c r="Q288" s="180">
        <f t="shared" si="19"/>
        <v>2</v>
      </c>
      <c r="R288" s="180">
        <f t="shared" si="19"/>
        <v>2</v>
      </c>
      <c r="S288" s="180">
        <f t="shared" si="19"/>
        <v>2</v>
      </c>
      <c r="T288" s="180">
        <f t="shared" si="19"/>
        <v>2</v>
      </c>
      <c r="U288" s="180">
        <f t="shared" si="19"/>
        <v>2</v>
      </c>
      <c r="V288" s="180">
        <f t="shared" si="19"/>
        <v>2</v>
      </c>
      <c r="W288" s="180">
        <f t="shared" si="19"/>
        <v>2</v>
      </c>
      <c r="X288" s="180">
        <f t="shared" si="19"/>
        <v>2</v>
      </c>
      <c r="Y288" s="180">
        <f t="shared" si="19"/>
        <v>2</v>
      </c>
      <c r="Z288" s="180">
        <f t="shared" si="19"/>
        <v>2</v>
      </c>
      <c r="AA288" s="180">
        <f t="shared" si="19"/>
        <v>2</v>
      </c>
      <c r="AB288" s="180">
        <f t="shared" si="19"/>
        <v>2</v>
      </c>
      <c r="AC288" s="180">
        <f t="shared" si="19"/>
        <v>0</v>
      </c>
      <c r="AD288" s="180">
        <f t="shared" si="19"/>
        <v>2</v>
      </c>
      <c r="AE288" s="180">
        <f t="shared" si="19"/>
        <v>2</v>
      </c>
      <c r="AF288" s="180">
        <f t="shared" si="19"/>
        <v>2</v>
      </c>
      <c r="AG288" s="180">
        <f t="shared" si="19"/>
        <v>2</v>
      </c>
      <c r="AH288" s="180">
        <f t="shared" si="19"/>
        <v>2</v>
      </c>
      <c r="AI288" s="180">
        <f t="shared" si="19"/>
        <v>2</v>
      </c>
      <c r="AJ288" s="180">
        <f t="shared" ref="AJ288:BO288" si="20">AJ211</f>
        <v>2</v>
      </c>
      <c r="AK288" s="180">
        <f t="shared" si="20"/>
        <v>2</v>
      </c>
      <c r="AL288" s="180">
        <f t="shared" si="20"/>
        <v>2</v>
      </c>
      <c r="AM288" s="180">
        <f t="shared" si="20"/>
        <v>0</v>
      </c>
      <c r="AN288" s="180">
        <f t="shared" si="20"/>
        <v>2</v>
      </c>
      <c r="AO288" s="180">
        <f t="shared" si="20"/>
        <v>0</v>
      </c>
      <c r="AP288" s="180">
        <f t="shared" si="20"/>
        <v>2</v>
      </c>
      <c r="AQ288" s="180">
        <f t="shared" si="20"/>
        <v>2</v>
      </c>
      <c r="AR288" s="180">
        <f t="shared" si="20"/>
        <v>2</v>
      </c>
      <c r="AS288" s="180">
        <f t="shared" si="20"/>
        <v>2</v>
      </c>
      <c r="AT288" s="180">
        <f t="shared" si="20"/>
        <v>2</v>
      </c>
      <c r="AU288" s="180">
        <f t="shared" si="20"/>
        <v>2</v>
      </c>
      <c r="AV288" s="180">
        <f t="shared" si="20"/>
        <v>2</v>
      </c>
      <c r="AW288" s="180">
        <f t="shared" si="20"/>
        <v>2</v>
      </c>
      <c r="AX288" s="180">
        <f t="shared" si="20"/>
        <v>2</v>
      </c>
      <c r="AY288" s="180">
        <f t="shared" si="20"/>
        <v>2</v>
      </c>
      <c r="AZ288" s="180">
        <f t="shared" si="20"/>
        <v>2</v>
      </c>
      <c r="BA288" s="180">
        <f t="shared" si="20"/>
        <v>2</v>
      </c>
      <c r="BB288" s="180">
        <f t="shared" si="20"/>
        <v>2</v>
      </c>
      <c r="BC288" s="180">
        <f t="shared" si="20"/>
        <v>2</v>
      </c>
      <c r="BD288" s="180">
        <f t="shared" si="20"/>
        <v>2</v>
      </c>
      <c r="BE288" s="180">
        <f t="shared" si="20"/>
        <v>2</v>
      </c>
      <c r="BF288" s="180">
        <f t="shared" si="20"/>
        <v>2</v>
      </c>
      <c r="BG288" s="180">
        <f t="shared" si="20"/>
        <v>2</v>
      </c>
      <c r="BH288" s="180">
        <f t="shared" si="20"/>
        <v>2</v>
      </c>
      <c r="BI288" s="180">
        <f t="shared" si="20"/>
        <v>2</v>
      </c>
      <c r="BJ288" s="180">
        <f t="shared" si="20"/>
        <v>2</v>
      </c>
      <c r="BK288" s="180">
        <f t="shared" si="20"/>
        <v>2</v>
      </c>
      <c r="BL288" s="180">
        <f t="shared" si="20"/>
        <v>2</v>
      </c>
      <c r="BM288" s="180">
        <f t="shared" si="20"/>
        <v>2</v>
      </c>
      <c r="BN288" s="180">
        <f t="shared" si="20"/>
        <v>2</v>
      </c>
      <c r="BO288" s="180">
        <f t="shared" si="20"/>
        <v>2</v>
      </c>
      <c r="BP288" s="180">
        <f t="shared" ref="BP288:CZ288" si="21">BP211</f>
        <v>2</v>
      </c>
      <c r="BQ288" s="180">
        <f t="shared" si="21"/>
        <v>2</v>
      </c>
      <c r="BR288" s="180">
        <f t="shared" si="21"/>
        <v>0</v>
      </c>
      <c r="BS288" s="180">
        <f t="shared" si="21"/>
        <v>2</v>
      </c>
      <c r="BT288" s="180">
        <f t="shared" si="21"/>
        <v>0</v>
      </c>
      <c r="BU288" s="180">
        <f t="shared" si="21"/>
        <v>2</v>
      </c>
      <c r="BV288" s="180">
        <f t="shared" si="21"/>
        <v>2</v>
      </c>
      <c r="BW288" s="180">
        <f t="shared" si="21"/>
        <v>2</v>
      </c>
      <c r="BX288" s="180">
        <f t="shared" si="21"/>
        <v>2</v>
      </c>
      <c r="BY288" s="180">
        <f t="shared" si="21"/>
        <v>0</v>
      </c>
      <c r="BZ288" s="180">
        <f t="shared" si="21"/>
        <v>2</v>
      </c>
      <c r="CA288" s="180">
        <f t="shared" si="21"/>
        <v>2</v>
      </c>
      <c r="CB288" s="180">
        <f t="shared" si="21"/>
        <v>2</v>
      </c>
      <c r="CC288" s="180">
        <f t="shared" si="21"/>
        <v>2</v>
      </c>
      <c r="CD288" s="180">
        <f t="shared" si="21"/>
        <v>2</v>
      </c>
      <c r="CE288" s="180">
        <f t="shared" si="21"/>
        <v>0</v>
      </c>
      <c r="CF288" s="180">
        <f t="shared" si="21"/>
        <v>2</v>
      </c>
      <c r="CG288" s="180">
        <f t="shared" si="21"/>
        <v>2</v>
      </c>
      <c r="CH288" s="180">
        <f t="shared" si="21"/>
        <v>2</v>
      </c>
      <c r="CI288" s="180">
        <f t="shared" si="21"/>
        <v>2</v>
      </c>
      <c r="CJ288" s="180">
        <f t="shared" si="21"/>
        <v>0</v>
      </c>
      <c r="CK288" s="180">
        <f t="shared" si="21"/>
        <v>2</v>
      </c>
      <c r="CL288" s="180">
        <f t="shared" si="21"/>
        <v>0</v>
      </c>
      <c r="CM288" s="180">
        <f t="shared" si="21"/>
        <v>0</v>
      </c>
      <c r="CN288" s="180">
        <f t="shared" si="21"/>
        <v>0</v>
      </c>
      <c r="CO288" s="180">
        <f t="shared" si="21"/>
        <v>0</v>
      </c>
      <c r="CP288" s="180">
        <f t="shared" si="21"/>
        <v>0</v>
      </c>
      <c r="CQ288" s="180">
        <f t="shared" si="21"/>
        <v>0</v>
      </c>
      <c r="CR288" s="180">
        <f t="shared" si="21"/>
        <v>0</v>
      </c>
      <c r="CS288" s="180">
        <f t="shared" si="21"/>
        <v>0</v>
      </c>
      <c r="CT288" s="180">
        <f t="shared" si="21"/>
        <v>0</v>
      </c>
      <c r="CU288" s="180">
        <f t="shared" si="21"/>
        <v>0</v>
      </c>
      <c r="CV288" s="180">
        <f t="shared" si="21"/>
        <v>0</v>
      </c>
      <c r="CW288" s="180">
        <f t="shared" si="21"/>
        <v>0</v>
      </c>
      <c r="CX288" s="180">
        <f t="shared" si="21"/>
        <v>0</v>
      </c>
      <c r="CY288" s="180">
        <f t="shared" si="21"/>
        <v>0</v>
      </c>
      <c r="CZ288" s="180">
        <f t="shared" si="21"/>
        <v>0</v>
      </c>
    </row>
    <row r="289" spans="1:104" x14ac:dyDescent="0.3">
      <c r="A289" s="555">
        <v>955</v>
      </c>
      <c r="B289" s="180"/>
      <c r="C289" s="180">
        <v>213</v>
      </c>
      <c r="D289" s="180">
        <f t="shared" ref="D289:AI289" si="22">D213</f>
        <v>2</v>
      </c>
      <c r="E289" s="180">
        <f t="shared" si="22"/>
        <v>0</v>
      </c>
      <c r="F289" s="180">
        <f t="shared" si="22"/>
        <v>1</v>
      </c>
      <c r="G289" s="180">
        <f t="shared" si="22"/>
        <v>1</v>
      </c>
      <c r="H289" s="180">
        <f t="shared" si="22"/>
        <v>0</v>
      </c>
      <c r="I289" s="180">
        <f t="shared" si="22"/>
        <v>0</v>
      </c>
      <c r="J289" s="180">
        <f t="shared" si="22"/>
        <v>0</v>
      </c>
      <c r="K289" s="180">
        <f t="shared" si="22"/>
        <v>0</v>
      </c>
      <c r="L289" s="180">
        <f t="shared" si="22"/>
        <v>0</v>
      </c>
      <c r="M289" s="180">
        <f t="shared" si="22"/>
        <v>0</v>
      </c>
      <c r="N289" s="180">
        <f t="shared" si="22"/>
        <v>0</v>
      </c>
      <c r="O289" s="180">
        <f t="shared" si="22"/>
        <v>0</v>
      </c>
      <c r="P289" s="180">
        <f t="shared" si="22"/>
        <v>0</v>
      </c>
      <c r="Q289" s="180">
        <f t="shared" si="22"/>
        <v>0</v>
      </c>
      <c r="R289" s="180">
        <f t="shared" si="22"/>
        <v>0</v>
      </c>
      <c r="S289" s="180">
        <f t="shared" si="22"/>
        <v>0</v>
      </c>
      <c r="T289" s="180">
        <f t="shared" si="22"/>
        <v>0</v>
      </c>
      <c r="U289" s="180">
        <f t="shared" si="22"/>
        <v>0</v>
      </c>
      <c r="V289" s="180">
        <f t="shared" si="22"/>
        <v>1</v>
      </c>
      <c r="W289" s="180">
        <f t="shared" si="22"/>
        <v>0</v>
      </c>
      <c r="X289" s="180">
        <f t="shared" si="22"/>
        <v>0</v>
      </c>
      <c r="Y289" s="180">
        <f t="shared" si="22"/>
        <v>0</v>
      </c>
      <c r="Z289" s="180">
        <f t="shared" si="22"/>
        <v>0</v>
      </c>
      <c r="AA289" s="180">
        <f t="shared" si="22"/>
        <v>0</v>
      </c>
      <c r="AB289" s="180">
        <f t="shared" si="22"/>
        <v>0</v>
      </c>
      <c r="AC289" s="180">
        <f t="shared" si="22"/>
        <v>0</v>
      </c>
      <c r="AD289" s="180">
        <f t="shared" si="22"/>
        <v>0</v>
      </c>
      <c r="AE289" s="180">
        <f t="shared" si="22"/>
        <v>0</v>
      </c>
      <c r="AF289" s="180">
        <f t="shared" si="22"/>
        <v>1</v>
      </c>
      <c r="AG289" s="180">
        <f t="shared" si="22"/>
        <v>0</v>
      </c>
      <c r="AH289" s="180">
        <f t="shared" si="22"/>
        <v>0</v>
      </c>
      <c r="AI289" s="180">
        <f t="shared" si="22"/>
        <v>0</v>
      </c>
      <c r="AJ289" s="180">
        <f t="shared" ref="AJ289:BO289" si="23">AJ213</f>
        <v>0</v>
      </c>
      <c r="AK289" s="180">
        <f t="shared" si="23"/>
        <v>0</v>
      </c>
      <c r="AL289" s="180">
        <f t="shared" si="23"/>
        <v>2</v>
      </c>
      <c r="AM289" s="180">
        <f t="shared" si="23"/>
        <v>0</v>
      </c>
      <c r="AN289" s="180">
        <f t="shared" si="23"/>
        <v>2</v>
      </c>
      <c r="AO289" s="180">
        <f t="shared" si="23"/>
        <v>0</v>
      </c>
      <c r="AP289" s="180">
        <f t="shared" si="23"/>
        <v>0</v>
      </c>
      <c r="AQ289" s="180">
        <f t="shared" si="23"/>
        <v>0</v>
      </c>
      <c r="AR289" s="180">
        <f t="shared" si="23"/>
        <v>0</v>
      </c>
      <c r="AS289" s="180">
        <f t="shared" si="23"/>
        <v>2</v>
      </c>
      <c r="AT289" s="180">
        <f t="shared" si="23"/>
        <v>1</v>
      </c>
      <c r="AU289" s="180">
        <f t="shared" si="23"/>
        <v>1</v>
      </c>
      <c r="AV289" s="180">
        <f t="shared" si="23"/>
        <v>0</v>
      </c>
      <c r="AW289" s="180">
        <f t="shared" si="23"/>
        <v>0</v>
      </c>
      <c r="AX289" s="180">
        <f t="shared" si="23"/>
        <v>2</v>
      </c>
      <c r="AY289" s="180">
        <f t="shared" si="23"/>
        <v>0</v>
      </c>
      <c r="AZ289" s="180">
        <f t="shared" si="23"/>
        <v>0</v>
      </c>
      <c r="BA289" s="180">
        <f t="shared" si="23"/>
        <v>0</v>
      </c>
      <c r="BB289" s="180">
        <f t="shared" si="23"/>
        <v>0</v>
      </c>
      <c r="BC289" s="180">
        <f t="shared" si="23"/>
        <v>0</v>
      </c>
      <c r="BD289" s="180">
        <f t="shared" si="23"/>
        <v>0</v>
      </c>
      <c r="BE289" s="180">
        <f t="shared" si="23"/>
        <v>0</v>
      </c>
      <c r="BF289" s="180">
        <f t="shared" si="23"/>
        <v>0</v>
      </c>
      <c r="BG289" s="180">
        <f t="shared" si="23"/>
        <v>1</v>
      </c>
      <c r="BH289" s="180">
        <f t="shared" si="23"/>
        <v>0</v>
      </c>
      <c r="BI289" s="180">
        <f t="shared" si="23"/>
        <v>0</v>
      </c>
      <c r="BJ289" s="180">
        <f t="shared" si="23"/>
        <v>0</v>
      </c>
      <c r="BK289" s="180">
        <f t="shared" si="23"/>
        <v>3</v>
      </c>
      <c r="BL289" s="180">
        <f t="shared" si="23"/>
        <v>1</v>
      </c>
      <c r="BM289" s="180">
        <f t="shared" si="23"/>
        <v>1</v>
      </c>
      <c r="BN289" s="180">
        <f t="shared" si="23"/>
        <v>0</v>
      </c>
      <c r="BO289" s="180">
        <f t="shared" si="23"/>
        <v>0</v>
      </c>
      <c r="BP289" s="180">
        <f t="shared" ref="BP289:CZ289" si="24">BP213</f>
        <v>0</v>
      </c>
      <c r="BQ289" s="180">
        <f t="shared" si="24"/>
        <v>0</v>
      </c>
      <c r="BR289" s="180">
        <f t="shared" si="24"/>
        <v>0</v>
      </c>
      <c r="BS289" s="180">
        <f t="shared" si="24"/>
        <v>0</v>
      </c>
      <c r="BT289" s="180">
        <f t="shared" si="24"/>
        <v>0</v>
      </c>
      <c r="BU289" s="180">
        <f t="shared" si="24"/>
        <v>1</v>
      </c>
      <c r="BV289" s="180">
        <f t="shared" si="24"/>
        <v>1</v>
      </c>
      <c r="BW289" s="180">
        <f t="shared" si="24"/>
        <v>0</v>
      </c>
      <c r="BX289" s="180">
        <f t="shared" si="24"/>
        <v>0</v>
      </c>
      <c r="BY289" s="180">
        <f t="shared" si="24"/>
        <v>0</v>
      </c>
      <c r="BZ289" s="180">
        <f t="shared" si="24"/>
        <v>1</v>
      </c>
      <c r="CA289" s="180">
        <f t="shared" si="24"/>
        <v>0</v>
      </c>
      <c r="CB289" s="180">
        <f t="shared" si="24"/>
        <v>0</v>
      </c>
      <c r="CC289" s="180">
        <f t="shared" si="24"/>
        <v>0</v>
      </c>
      <c r="CD289" s="180">
        <f t="shared" si="24"/>
        <v>0</v>
      </c>
      <c r="CE289" s="180">
        <f t="shared" si="24"/>
        <v>0</v>
      </c>
      <c r="CF289" s="180">
        <f t="shared" si="24"/>
        <v>0</v>
      </c>
      <c r="CG289" s="180">
        <f t="shared" si="24"/>
        <v>0</v>
      </c>
      <c r="CH289" s="180">
        <f t="shared" si="24"/>
        <v>0</v>
      </c>
      <c r="CI289" s="180">
        <f t="shared" si="24"/>
        <v>0</v>
      </c>
      <c r="CJ289" s="180">
        <f t="shared" si="24"/>
        <v>0</v>
      </c>
      <c r="CK289" s="180">
        <f t="shared" si="24"/>
        <v>2</v>
      </c>
      <c r="CL289" s="180">
        <f t="shared" si="24"/>
        <v>0</v>
      </c>
      <c r="CM289" s="180">
        <f t="shared" si="24"/>
        <v>0</v>
      </c>
      <c r="CN289" s="180">
        <f t="shared" si="24"/>
        <v>0</v>
      </c>
      <c r="CO289" s="180">
        <f t="shared" si="24"/>
        <v>0</v>
      </c>
      <c r="CP289" s="180">
        <f t="shared" si="24"/>
        <v>0</v>
      </c>
      <c r="CQ289" s="180">
        <f t="shared" si="24"/>
        <v>0</v>
      </c>
      <c r="CR289" s="180">
        <f t="shared" si="24"/>
        <v>0</v>
      </c>
      <c r="CS289" s="180">
        <f t="shared" si="24"/>
        <v>0</v>
      </c>
      <c r="CT289" s="180">
        <f t="shared" si="24"/>
        <v>0</v>
      </c>
      <c r="CU289" s="180">
        <f t="shared" si="24"/>
        <v>0</v>
      </c>
      <c r="CV289" s="180">
        <f t="shared" si="24"/>
        <v>0</v>
      </c>
      <c r="CW289" s="180">
        <f t="shared" si="24"/>
        <v>0</v>
      </c>
      <c r="CX289" s="180">
        <f t="shared" si="24"/>
        <v>0</v>
      </c>
      <c r="CY289" s="180">
        <f t="shared" si="24"/>
        <v>0</v>
      </c>
      <c r="CZ289" s="180">
        <f t="shared" si="24"/>
        <v>0</v>
      </c>
    </row>
    <row r="290" spans="1:104" x14ac:dyDescent="0.3">
      <c r="A290" s="555">
        <v>957</v>
      </c>
      <c r="B290" s="180"/>
      <c r="C290" s="180">
        <v>215</v>
      </c>
      <c r="D290" s="180">
        <f t="shared" ref="D290:AI290" si="25">D215</f>
        <v>0</v>
      </c>
      <c r="E290" s="180">
        <f t="shared" si="25"/>
        <v>0</v>
      </c>
      <c r="F290" s="180">
        <f t="shared" si="25"/>
        <v>0</v>
      </c>
      <c r="G290" s="180">
        <f t="shared" si="25"/>
        <v>1</v>
      </c>
      <c r="H290" s="180">
        <f t="shared" si="25"/>
        <v>0</v>
      </c>
      <c r="I290" s="180">
        <f t="shared" si="25"/>
        <v>0</v>
      </c>
      <c r="J290" s="180">
        <f t="shared" si="25"/>
        <v>1</v>
      </c>
      <c r="K290" s="180">
        <f t="shared" si="25"/>
        <v>0</v>
      </c>
      <c r="L290" s="180">
        <f t="shared" si="25"/>
        <v>0</v>
      </c>
      <c r="M290" s="180">
        <f t="shared" si="25"/>
        <v>1</v>
      </c>
      <c r="N290" s="180">
        <f t="shared" si="25"/>
        <v>0</v>
      </c>
      <c r="O290" s="180">
        <f t="shared" si="25"/>
        <v>0</v>
      </c>
      <c r="P290" s="180">
        <f t="shared" si="25"/>
        <v>0</v>
      </c>
      <c r="Q290" s="180">
        <f t="shared" si="25"/>
        <v>0</v>
      </c>
      <c r="R290" s="180">
        <f t="shared" si="25"/>
        <v>0</v>
      </c>
      <c r="S290" s="180">
        <f t="shared" si="25"/>
        <v>0</v>
      </c>
      <c r="T290" s="180">
        <f t="shared" si="25"/>
        <v>0</v>
      </c>
      <c r="U290" s="180">
        <f t="shared" si="25"/>
        <v>0</v>
      </c>
      <c r="V290" s="180">
        <f t="shared" si="25"/>
        <v>0</v>
      </c>
      <c r="W290" s="180">
        <f t="shared" si="25"/>
        <v>0</v>
      </c>
      <c r="X290" s="180">
        <f t="shared" si="25"/>
        <v>0</v>
      </c>
      <c r="Y290" s="180">
        <f t="shared" si="25"/>
        <v>1</v>
      </c>
      <c r="Z290" s="180">
        <f t="shared" si="25"/>
        <v>0</v>
      </c>
      <c r="AA290" s="180">
        <f t="shared" si="25"/>
        <v>1</v>
      </c>
      <c r="AB290" s="180">
        <f t="shared" si="25"/>
        <v>0</v>
      </c>
      <c r="AC290" s="180">
        <f t="shared" si="25"/>
        <v>0</v>
      </c>
      <c r="AD290" s="180">
        <f t="shared" si="25"/>
        <v>0</v>
      </c>
      <c r="AE290" s="180">
        <f t="shared" si="25"/>
        <v>0</v>
      </c>
      <c r="AF290" s="180">
        <f t="shared" si="25"/>
        <v>0</v>
      </c>
      <c r="AG290" s="180">
        <f t="shared" si="25"/>
        <v>1</v>
      </c>
      <c r="AH290" s="180">
        <f t="shared" si="25"/>
        <v>0</v>
      </c>
      <c r="AI290" s="180">
        <f t="shared" si="25"/>
        <v>0</v>
      </c>
      <c r="AJ290" s="180">
        <f t="shared" ref="AJ290:BO290" si="26">AJ215</f>
        <v>0</v>
      </c>
      <c r="AK290" s="180">
        <f t="shared" si="26"/>
        <v>1</v>
      </c>
      <c r="AL290" s="180">
        <f t="shared" si="26"/>
        <v>4</v>
      </c>
      <c r="AM290" s="180">
        <f t="shared" si="26"/>
        <v>0</v>
      </c>
      <c r="AN290" s="180">
        <f t="shared" si="26"/>
        <v>0</v>
      </c>
      <c r="AO290" s="180">
        <f t="shared" si="26"/>
        <v>0</v>
      </c>
      <c r="AP290" s="180">
        <f t="shared" si="26"/>
        <v>0</v>
      </c>
      <c r="AQ290" s="180">
        <f t="shared" si="26"/>
        <v>0</v>
      </c>
      <c r="AR290" s="180">
        <f t="shared" si="26"/>
        <v>10</v>
      </c>
      <c r="AS290" s="180">
        <f t="shared" si="26"/>
        <v>0</v>
      </c>
      <c r="AT290" s="180">
        <f t="shared" si="26"/>
        <v>1</v>
      </c>
      <c r="AU290" s="180">
        <f t="shared" si="26"/>
        <v>0</v>
      </c>
      <c r="AV290" s="180">
        <f t="shared" si="26"/>
        <v>0</v>
      </c>
      <c r="AW290" s="180">
        <f t="shared" si="26"/>
        <v>0</v>
      </c>
      <c r="AX290" s="180">
        <f t="shared" si="26"/>
        <v>0</v>
      </c>
      <c r="AY290" s="180">
        <f t="shared" si="26"/>
        <v>0</v>
      </c>
      <c r="AZ290" s="180">
        <f t="shared" si="26"/>
        <v>0</v>
      </c>
      <c r="BA290" s="180">
        <f t="shared" si="26"/>
        <v>3</v>
      </c>
      <c r="BB290" s="180">
        <f t="shared" si="26"/>
        <v>0</v>
      </c>
      <c r="BC290" s="180">
        <f t="shared" si="26"/>
        <v>0</v>
      </c>
      <c r="BD290" s="180">
        <f t="shared" si="26"/>
        <v>0</v>
      </c>
      <c r="BE290" s="180">
        <f t="shared" si="26"/>
        <v>0</v>
      </c>
      <c r="BF290" s="180">
        <f t="shared" si="26"/>
        <v>0</v>
      </c>
      <c r="BG290" s="180">
        <f t="shared" si="26"/>
        <v>0</v>
      </c>
      <c r="BH290" s="180">
        <f t="shared" si="26"/>
        <v>0</v>
      </c>
      <c r="BI290" s="180">
        <f t="shared" si="26"/>
        <v>0</v>
      </c>
      <c r="BJ290" s="180">
        <f t="shared" si="26"/>
        <v>0</v>
      </c>
      <c r="BK290" s="180">
        <f t="shared" si="26"/>
        <v>7</v>
      </c>
      <c r="BL290" s="180">
        <f t="shared" si="26"/>
        <v>0</v>
      </c>
      <c r="BM290" s="180">
        <f t="shared" si="26"/>
        <v>0</v>
      </c>
      <c r="BN290" s="180">
        <f t="shared" si="26"/>
        <v>0</v>
      </c>
      <c r="BO290" s="180">
        <f t="shared" si="26"/>
        <v>2</v>
      </c>
      <c r="BP290" s="180">
        <f t="shared" ref="BP290:CZ290" si="27">BP215</f>
        <v>0</v>
      </c>
      <c r="BQ290" s="180">
        <f t="shared" si="27"/>
        <v>0</v>
      </c>
      <c r="BR290" s="180">
        <f t="shared" si="27"/>
        <v>0</v>
      </c>
      <c r="BS290" s="180">
        <f t="shared" si="27"/>
        <v>0</v>
      </c>
      <c r="BT290" s="180">
        <f t="shared" si="27"/>
        <v>0</v>
      </c>
      <c r="BU290" s="180">
        <f t="shared" si="27"/>
        <v>2</v>
      </c>
      <c r="BV290" s="180">
        <f t="shared" si="27"/>
        <v>0</v>
      </c>
      <c r="BW290" s="180">
        <f t="shared" si="27"/>
        <v>0</v>
      </c>
      <c r="BX290" s="180">
        <f t="shared" si="27"/>
        <v>0</v>
      </c>
      <c r="BY290" s="180">
        <f t="shared" si="27"/>
        <v>0</v>
      </c>
      <c r="BZ290" s="180">
        <f t="shared" si="27"/>
        <v>0</v>
      </c>
      <c r="CA290" s="180">
        <f t="shared" si="27"/>
        <v>0</v>
      </c>
      <c r="CB290" s="180">
        <f t="shared" si="27"/>
        <v>0</v>
      </c>
      <c r="CC290" s="180">
        <f t="shared" si="27"/>
        <v>0</v>
      </c>
      <c r="CD290" s="180">
        <f t="shared" si="27"/>
        <v>1</v>
      </c>
      <c r="CE290" s="180">
        <f t="shared" si="27"/>
        <v>0</v>
      </c>
      <c r="CF290" s="180">
        <f t="shared" si="27"/>
        <v>0</v>
      </c>
      <c r="CG290" s="180">
        <f t="shared" si="27"/>
        <v>0</v>
      </c>
      <c r="CH290" s="180">
        <f t="shared" si="27"/>
        <v>1</v>
      </c>
      <c r="CI290" s="180">
        <f t="shared" si="27"/>
        <v>0</v>
      </c>
      <c r="CJ290" s="180">
        <f t="shared" si="27"/>
        <v>0</v>
      </c>
      <c r="CK290" s="180">
        <f t="shared" si="27"/>
        <v>1</v>
      </c>
      <c r="CL290" s="180">
        <f t="shared" si="27"/>
        <v>0</v>
      </c>
      <c r="CM290" s="180">
        <f t="shared" si="27"/>
        <v>0</v>
      </c>
      <c r="CN290" s="180">
        <f t="shared" si="27"/>
        <v>0</v>
      </c>
      <c r="CO290" s="180">
        <f t="shared" si="27"/>
        <v>0</v>
      </c>
      <c r="CP290" s="180">
        <f t="shared" si="27"/>
        <v>0</v>
      </c>
      <c r="CQ290" s="180">
        <f t="shared" si="27"/>
        <v>0</v>
      </c>
      <c r="CR290" s="180">
        <f t="shared" si="27"/>
        <v>0</v>
      </c>
      <c r="CS290" s="180">
        <f t="shared" si="27"/>
        <v>0</v>
      </c>
      <c r="CT290" s="180">
        <f t="shared" si="27"/>
        <v>0</v>
      </c>
      <c r="CU290" s="180">
        <f t="shared" si="27"/>
        <v>0</v>
      </c>
      <c r="CV290" s="180">
        <f t="shared" si="27"/>
        <v>0</v>
      </c>
      <c r="CW290" s="180">
        <f t="shared" si="27"/>
        <v>0</v>
      </c>
      <c r="CX290" s="180">
        <f t="shared" si="27"/>
        <v>0</v>
      </c>
      <c r="CY290" s="180">
        <f t="shared" si="27"/>
        <v>0</v>
      </c>
      <c r="CZ290" s="180">
        <f t="shared" si="27"/>
        <v>0</v>
      </c>
    </row>
    <row r="291" spans="1:104" x14ac:dyDescent="0.3">
      <c r="A291" s="555">
        <v>959</v>
      </c>
      <c r="B291" s="180"/>
      <c r="C291" s="180">
        <v>217</v>
      </c>
      <c r="D291" s="180">
        <f t="shared" ref="D291:AI291" si="28">D217</f>
        <v>2</v>
      </c>
      <c r="E291" s="180">
        <f t="shared" si="28"/>
        <v>2</v>
      </c>
      <c r="F291" s="180">
        <f t="shared" si="28"/>
        <v>2</v>
      </c>
      <c r="G291" s="180">
        <f t="shared" si="28"/>
        <v>2</v>
      </c>
      <c r="H291" s="180">
        <f t="shared" si="28"/>
        <v>0</v>
      </c>
      <c r="I291" s="180">
        <f t="shared" si="28"/>
        <v>2</v>
      </c>
      <c r="J291" s="180">
        <f t="shared" si="28"/>
        <v>2</v>
      </c>
      <c r="K291" s="180">
        <f t="shared" si="28"/>
        <v>2</v>
      </c>
      <c r="L291" s="180">
        <f t="shared" si="28"/>
        <v>3</v>
      </c>
      <c r="M291" s="180">
        <f t="shared" si="28"/>
        <v>2</v>
      </c>
      <c r="N291" s="180">
        <f t="shared" si="28"/>
        <v>0</v>
      </c>
      <c r="O291" s="180">
        <f t="shared" si="28"/>
        <v>2</v>
      </c>
      <c r="P291" s="180">
        <f t="shared" si="28"/>
        <v>3</v>
      </c>
      <c r="Q291" s="180">
        <f t="shared" si="28"/>
        <v>3</v>
      </c>
      <c r="R291" s="180">
        <f t="shared" si="28"/>
        <v>3</v>
      </c>
      <c r="S291" s="180">
        <f t="shared" si="28"/>
        <v>3</v>
      </c>
      <c r="T291" s="180">
        <f t="shared" si="28"/>
        <v>2</v>
      </c>
      <c r="U291" s="180">
        <f t="shared" si="28"/>
        <v>2</v>
      </c>
      <c r="V291" s="180">
        <f t="shared" si="28"/>
        <v>2</v>
      </c>
      <c r="W291" s="180">
        <f t="shared" si="28"/>
        <v>2</v>
      </c>
      <c r="X291" s="180">
        <f t="shared" si="28"/>
        <v>2</v>
      </c>
      <c r="Y291" s="180">
        <f t="shared" si="28"/>
        <v>2</v>
      </c>
      <c r="Z291" s="180">
        <f t="shared" si="28"/>
        <v>2</v>
      </c>
      <c r="AA291" s="180">
        <f t="shared" si="28"/>
        <v>2</v>
      </c>
      <c r="AB291" s="180">
        <f t="shared" si="28"/>
        <v>2</v>
      </c>
      <c r="AC291" s="180">
        <f t="shared" si="28"/>
        <v>0</v>
      </c>
      <c r="AD291" s="180">
        <f t="shared" si="28"/>
        <v>2</v>
      </c>
      <c r="AE291" s="180">
        <f t="shared" si="28"/>
        <v>3</v>
      </c>
      <c r="AF291" s="180">
        <f t="shared" si="28"/>
        <v>2</v>
      </c>
      <c r="AG291" s="180">
        <f t="shared" si="28"/>
        <v>3</v>
      </c>
      <c r="AH291" s="180">
        <f t="shared" si="28"/>
        <v>2</v>
      </c>
      <c r="AI291" s="180">
        <f t="shared" si="28"/>
        <v>2</v>
      </c>
      <c r="AJ291" s="180">
        <f t="shared" ref="AJ291:BO291" si="29">AJ217</f>
        <v>2</v>
      </c>
      <c r="AK291" s="180">
        <f t="shared" si="29"/>
        <v>2</v>
      </c>
      <c r="AL291" s="180">
        <f t="shared" si="29"/>
        <v>2</v>
      </c>
      <c r="AM291" s="180">
        <f t="shared" si="29"/>
        <v>0</v>
      </c>
      <c r="AN291" s="180">
        <f t="shared" si="29"/>
        <v>2</v>
      </c>
      <c r="AO291" s="180">
        <f t="shared" si="29"/>
        <v>0</v>
      </c>
      <c r="AP291" s="180">
        <f t="shared" si="29"/>
        <v>2</v>
      </c>
      <c r="AQ291" s="180">
        <f t="shared" si="29"/>
        <v>3</v>
      </c>
      <c r="AR291" s="180">
        <f t="shared" si="29"/>
        <v>3</v>
      </c>
      <c r="AS291" s="180">
        <f t="shared" si="29"/>
        <v>2</v>
      </c>
      <c r="AT291" s="180">
        <f t="shared" si="29"/>
        <v>2</v>
      </c>
      <c r="AU291" s="180">
        <f t="shared" si="29"/>
        <v>2</v>
      </c>
      <c r="AV291" s="180">
        <f t="shared" si="29"/>
        <v>2</v>
      </c>
      <c r="AW291" s="180">
        <f t="shared" si="29"/>
        <v>2</v>
      </c>
      <c r="AX291" s="180">
        <f t="shared" si="29"/>
        <v>2</v>
      </c>
      <c r="AY291" s="180">
        <f t="shared" si="29"/>
        <v>2</v>
      </c>
      <c r="AZ291" s="180">
        <f t="shared" si="29"/>
        <v>2</v>
      </c>
      <c r="BA291" s="180">
        <f t="shared" si="29"/>
        <v>2</v>
      </c>
      <c r="BB291" s="180">
        <f t="shared" si="29"/>
        <v>2</v>
      </c>
      <c r="BC291" s="180">
        <f t="shared" si="29"/>
        <v>2</v>
      </c>
      <c r="BD291" s="180">
        <f t="shared" si="29"/>
        <v>3</v>
      </c>
      <c r="BE291" s="180">
        <f t="shared" si="29"/>
        <v>2</v>
      </c>
      <c r="BF291" s="180">
        <f t="shared" si="29"/>
        <v>2</v>
      </c>
      <c r="BG291" s="180">
        <f t="shared" si="29"/>
        <v>3</v>
      </c>
      <c r="BH291" s="180">
        <f t="shared" si="29"/>
        <v>2</v>
      </c>
      <c r="BI291" s="180">
        <f t="shared" si="29"/>
        <v>2</v>
      </c>
      <c r="BJ291" s="180">
        <f t="shared" si="29"/>
        <v>3</v>
      </c>
      <c r="BK291" s="180">
        <f t="shared" si="29"/>
        <v>2</v>
      </c>
      <c r="BL291" s="180">
        <f t="shared" si="29"/>
        <v>2</v>
      </c>
      <c r="BM291" s="180">
        <f t="shared" si="29"/>
        <v>2</v>
      </c>
      <c r="BN291" s="180">
        <f t="shared" si="29"/>
        <v>2</v>
      </c>
      <c r="BO291" s="180">
        <f t="shared" si="29"/>
        <v>2</v>
      </c>
      <c r="BP291" s="180">
        <f t="shared" ref="BP291:CZ291" si="30">BP217</f>
        <v>2</v>
      </c>
      <c r="BQ291" s="180">
        <f t="shared" si="30"/>
        <v>3</v>
      </c>
      <c r="BR291" s="180">
        <f t="shared" si="30"/>
        <v>0</v>
      </c>
      <c r="BS291" s="180">
        <f t="shared" si="30"/>
        <v>2</v>
      </c>
      <c r="BT291" s="180">
        <f t="shared" si="30"/>
        <v>0</v>
      </c>
      <c r="BU291" s="180">
        <f t="shared" si="30"/>
        <v>2</v>
      </c>
      <c r="BV291" s="180">
        <f t="shared" si="30"/>
        <v>2</v>
      </c>
      <c r="BW291" s="180">
        <f t="shared" si="30"/>
        <v>2</v>
      </c>
      <c r="BX291" s="180">
        <f t="shared" si="30"/>
        <v>2</v>
      </c>
      <c r="BY291" s="180">
        <f t="shared" si="30"/>
        <v>0</v>
      </c>
      <c r="BZ291" s="180">
        <f t="shared" si="30"/>
        <v>2</v>
      </c>
      <c r="CA291" s="180">
        <f t="shared" si="30"/>
        <v>2</v>
      </c>
      <c r="CB291" s="180">
        <f t="shared" si="30"/>
        <v>2</v>
      </c>
      <c r="CC291" s="180">
        <f t="shared" si="30"/>
        <v>3</v>
      </c>
      <c r="CD291" s="180">
        <f t="shared" si="30"/>
        <v>2</v>
      </c>
      <c r="CE291" s="180">
        <f t="shared" si="30"/>
        <v>0</v>
      </c>
      <c r="CF291" s="180">
        <f t="shared" si="30"/>
        <v>2</v>
      </c>
      <c r="CG291" s="180">
        <f t="shared" si="30"/>
        <v>2</v>
      </c>
      <c r="CH291" s="180">
        <f t="shared" si="30"/>
        <v>2</v>
      </c>
      <c r="CI291" s="180">
        <f t="shared" si="30"/>
        <v>2</v>
      </c>
      <c r="CJ291" s="180">
        <f t="shared" si="30"/>
        <v>0</v>
      </c>
      <c r="CK291" s="180">
        <f t="shared" si="30"/>
        <v>3</v>
      </c>
      <c r="CL291" s="180">
        <f t="shared" si="30"/>
        <v>0</v>
      </c>
      <c r="CM291" s="180">
        <f t="shared" si="30"/>
        <v>0</v>
      </c>
      <c r="CN291" s="180">
        <f t="shared" si="30"/>
        <v>0</v>
      </c>
      <c r="CO291" s="180">
        <f t="shared" si="30"/>
        <v>0</v>
      </c>
      <c r="CP291" s="180">
        <f t="shared" si="30"/>
        <v>0</v>
      </c>
      <c r="CQ291" s="180">
        <f t="shared" si="30"/>
        <v>0</v>
      </c>
      <c r="CR291" s="180">
        <f t="shared" si="30"/>
        <v>0</v>
      </c>
      <c r="CS291" s="180">
        <f t="shared" si="30"/>
        <v>0</v>
      </c>
      <c r="CT291" s="180">
        <f t="shared" si="30"/>
        <v>0</v>
      </c>
      <c r="CU291" s="180">
        <f t="shared" si="30"/>
        <v>0</v>
      </c>
      <c r="CV291" s="180">
        <f t="shared" si="30"/>
        <v>0</v>
      </c>
      <c r="CW291" s="180">
        <f t="shared" si="30"/>
        <v>0</v>
      </c>
      <c r="CX291" s="180">
        <f t="shared" si="30"/>
        <v>0</v>
      </c>
      <c r="CY291" s="180">
        <f t="shared" si="30"/>
        <v>0</v>
      </c>
      <c r="CZ291" s="180">
        <f t="shared" si="30"/>
        <v>0</v>
      </c>
    </row>
    <row r="292" spans="1:104" x14ac:dyDescent="0.3">
      <c r="A292" s="555">
        <v>973</v>
      </c>
      <c r="B292" s="180"/>
      <c r="C292" s="180">
        <v>223</v>
      </c>
      <c r="D292" s="180">
        <f t="shared" ref="D292:AI292" si="31">D223</f>
        <v>0</v>
      </c>
      <c r="E292" s="180">
        <f t="shared" si="31"/>
        <v>0</v>
      </c>
      <c r="F292" s="180">
        <f t="shared" si="31"/>
        <v>0</v>
      </c>
      <c r="G292" s="180">
        <f t="shared" si="31"/>
        <v>0</v>
      </c>
      <c r="H292" s="180">
        <f t="shared" si="31"/>
        <v>0</v>
      </c>
      <c r="I292" s="180">
        <f t="shared" si="31"/>
        <v>0</v>
      </c>
      <c r="J292" s="180">
        <f t="shared" si="31"/>
        <v>0</v>
      </c>
      <c r="K292" s="180">
        <f t="shared" si="31"/>
        <v>0</v>
      </c>
      <c r="L292" s="180">
        <f t="shared" si="31"/>
        <v>0</v>
      </c>
      <c r="M292" s="180">
        <f t="shared" si="31"/>
        <v>0</v>
      </c>
      <c r="N292" s="180">
        <f t="shared" si="31"/>
        <v>0</v>
      </c>
      <c r="O292" s="180">
        <f t="shared" si="31"/>
        <v>0</v>
      </c>
      <c r="P292" s="180">
        <f t="shared" si="31"/>
        <v>0</v>
      </c>
      <c r="Q292" s="180">
        <f t="shared" si="31"/>
        <v>0</v>
      </c>
      <c r="R292" s="180">
        <f t="shared" si="31"/>
        <v>0</v>
      </c>
      <c r="S292" s="180">
        <f t="shared" si="31"/>
        <v>0</v>
      </c>
      <c r="T292" s="180">
        <f t="shared" si="31"/>
        <v>0</v>
      </c>
      <c r="U292" s="180">
        <f t="shared" si="31"/>
        <v>0</v>
      </c>
      <c r="V292" s="180">
        <f t="shared" si="31"/>
        <v>0</v>
      </c>
      <c r="W292" s="180">
        <f t="shared" si="31"/>
        <v>0</v>
      </c>
      <c r="X292" s="180">
        <f t="shared" si="31"/>
        <v>0</v>
      </c>
      <c r="Y292" s="180">
        <f t="shared" si="31"/>
        <v>0</v>
      </c>
      <c r="Z292" s="180">
        <f t="shared" si="31"/>
        <v>0</v>
      </c>
      <c r="AA292" s="180">
        <f t="shared" si="31"/>
        <v>0</v>
      </c>
      <c r="AB292" s="180">
        <f t="shared" si="31"/>
        <v>0</v>
      </c>
      <c r="AC292" s="180">
        <f t="shared" si="31"/>
        <v>0</v>
      </c>
      <c r="AD292" s="180">
        <f t="shared" si="31"/>
        <v>0</v>
      </c>
      <c r="AE292" s="180">
        <f t="shared" si="31"/>
        <v>0</v>
      </c>
      <c r="AF292" s="180">
        <f t="shared" si="31"/>
        <v>0</v>
      </c>
      <c r="AG292" s="180">
        <f t="shared" si="31"/>
        <v>0</v>
      </c>
      <c r="AH292" s="180">
        <f t="shared" si="31"/>
        <v>0</v>
      </c>
      <c r="AI292" s="180">
        <f t="shared" si="31"/>
        <v>0</v>
      </c>
      <c r="AJ292" s="180">
        <f t="shared" ref="AJ292:BO292" si="32">AJ223</f>
        <v>0</v>
      </c>
      <c r="AK292" s="180">
        <f t="shared" si="32"/>
        <v>0</v>
      </c>
      <c r="AL292" s="180">
        <f t="shared" si="32"/>
        <v>0</v>
      </c>
      <c r="AM292" s="180">
        <f t="shared" si="32"/>
        <v>0</v>
      </c>
      <c r="AN292" s="180">
        <f t="shared" si="32"/>
        <v>0</v>
      </c>
      <c r="AO292" s="180">
        <f t="shared" si="32"/>
        <v>0</v>
      </c>
      <c r="AP292" s="180">
        <f t="shared" si="32"/>
        <v>0</v>
      </c>
      <c r="AQ292" s="180">
        <f t="shared" si="32"/>
        <v>0</v>
      </c>
      <c r="AR292" s="180">
        <f t="shared" si="32"/>
        <v>1</v>
      </c>
      <c r="AS292" s="180">
        <f t="shared" si="32"/>
        <v>0</v>
      </c>
      <c r="AT292" s="180">
        <f t="shared" si="32"/>
        <v>0</v>
      </c>
      <c r="AU292" s="180">
        <f t="shared" si="32"/>
        <v>0</v>
      </c>
      <c r="AV292" s="180">
        <f t="shared" si="32"/>
        <v>0</v>
      </c>
      <c r="AW292" s="180">
        <f t="shared" si="32"/>
        <v>0</v>
      </c>
      <c r="AX292" s="180">
        <f t="shared" si="32"/>
        <v>1</v>
      </c>
      <c r="AY292" s="180">
        <f t="shared" si="32"/>
        <v>0</v>
      </c>
      <c r="AZ292" s="180">
        <f t="shared" si="32"/>
        <v>0</v>
      </c>
      <c r="BA292" s="180">
        <f t="shared" si="32"/>
        <v>0</v>
      </c>
      <c r="BB292" s="180">
        <f t="shared" si="32"/>
        <v>0</v>
      </c>
      <c r="BC292" s="180">
        <f t="shared" si="32"/>
        <v>0</v>
      </c>
      <c r="BD292" s="180">
        <f t="shared" si="32"/>
        <v>0</v>
      </c>
      <c r="BE292" s="180">
        <f t="shared" si="32"/>
        <v>0</v>
      </c>
      <c r="BF292" s="180">
        <f t="shared" si="32"/>
        <v>0</v>
      </c>
      <c r="BG292" s="180">
        <f t="shared" si="32"/>
        <v>0</v>
      </c>
      <c r="BH292" s="180">
        <f t="shared" si="32"/>
        <v>0</v>
      </c>
      <c r="BI292" s="180">
        <f t="shared" si="32"/>
        <v>0</v>
      </c>
      <c r="BJ292" s="180">
        <f t="shared" si="32"/>
        <v>0</v>
      </c>
      <c r="BK292" s="180">
        <f t="shared" si="32"/>
        <v>0</v>
      </c>
      <c r="BL292" s="180">
        <f t="shared" si="32"/>
        <v>0</v>
      </c>
      <c r="BM292" s="180">
        <f t="shared" si="32"/>
        <v>0</v>
      </c>
      <c r="BN292" s="180">
        <f t="shared" si="32"/>
        <v>0</v>
      </c>
      <c r="BO292" s="180">
        <f t="shared" si="32"/>
        <v>0</v>
      </c>
      <c r="BP292" s="180">
        <f t="shared" ref="BP292:CZ292" si="33">BP223</f>
        <v>0</v>
      </c>
      <c r="BQ292" s="180">
        <f t="shared" si="33"/>
        <v>0</v>
      </c>
      <c r="BR292" s="180">
        <f t="shared" si="33"/>
        <v>0</v>
      </c>
      <c r="BS292" s="180">
        <f t="shared" si="33"/>
        <v>0</v>
      </c>
      <c r="BT292" s="180">
        <f t="shared" si="33"/>
        <v>0</v>
      </c>
      <c r="BU292" s="180">
        <f t="shared" si="33"/>
        <v>0</v>
      </c>
      <c r="BV292" s="180">
        <f t="shared" si="33"/>
        <v>0</v>
      </c>
      <c r="BW292" s="180">
        <f t="shared" si="33"/>
        <v>0</v>
      </c>
      <c r="BX292" s="180">
        <f t="shared" si="33"/>
        <v>0</v>
      </c>
      <c r="BY292" s="180">
        <f t="shared" si="33"/>
        <v>0</v>
      </c>
      <c r="BZ292" s="180">
        <f t="shared" si="33"/>
        <v>0</v>
      </c>
      <c r="CA292" s="180">
        <f t="shared" si="33"/>
        <v>0</v>
      </c>
      <c r="CB292" s="180">
        <f t="shared" si="33"/>
        <v>0</v>
      </c>
      <c r="CC292" s="180">
        <f t="shared" si="33"/>
        <v>0</v>
      </c>
      <c r="CD292" s="180">
        <f t="shared" si="33"/>
        <v>0</v>
      </c>
      <c r="CE292" s="180">
        <f t="shared" si="33"/>
        <v>0</v>
      </c>
      <c r="CF292" s="180">
        <f t="shared" si="33"/>
        <v>0</v>
      </c>
      <c r="CG292" s="180">
        <f t="shared" si="33"/>
        <v>0</v>
      </c>
      <c r="CH292" s="180">
        <f t="shared" si="33"/>
        <v>0</v>
      </c>
      <c r="CI292" s="180">
        <f t="shared" si="33"/>
        <v>0</v>
      </c>
      <c r="CJ292" s="180">
        <f t="shared" si="33"/>
        <v>0</v>
      </c>
      <c r="CK292" s="180">
        <f t="shared" si="33"/>
        <v>1</v>
      </c>
      <c r="CL292" s="180">
        <f t="shared" si="33"/>
        <v>0</v>
      </c>
      <c r="CM292" s="180">
        <f t="shared" si="33"/>
        <v>0</v>
      </c>
      <c r="CN292" s="180">
        <f t="shared" si="33"/>
        <v>0</v>
      </c>
      <c r="CO292" s="180">
        <f t="shared" si="33"/>
        <v>0</v>
      </c>
      <c r="CP292" s="180">
        <f t="shared" si="33"/>
        <v>0</v>
      </c>
      <c r="CQ292" s="180">
        <f t="shared" si="33"/>
        <v>0</v>
      </c>
      <c r="CR292" s="180">
        <f t="shared" si="33"/>
        <v>0</v>
      </c>
      <c r="CS292" s="180">
        <f t="shared" si="33"/>
        <v>0</v>
      </c>
      <c r="CT292" s="180">
        <f t="shared" si="33"/>
        <v>0</v>
      </c>
      <c r="CU292" s="180">
        <f t="shared" si="33"/>
        <v>0</v>
      </c>
      <c r="CV292" s="180">
        <f t="shared" si="33"/>
        <v>0</v>
      </c>
      <c r="CW292" s="180">
        <f t="shared" si="33"/>
        <v>0</v>
      </c>
      <c r="CX292" s="180">
        <f t="shared" si="33"/>
        <v>0</v>
      </c>
      <c r="CY292" s="180">
        <f t="shared" si="33"/>
        <v>0</v>
      </c>
      <c r="CZ292" s="180">
        <f t="shared" si="33"/>
        <v>0</v>
      </c>
    </row>
    <row r="293" spans="1:104" x14ac:dyDescent="0.3">
      <c r="A293" s="555">
        <v>974</v>
      </c>
      <c r="B293" s="180"/>
      <c r="C293" s="180">
        <v>223</v>
      </c>
      <c r="D293" s="180">
        <f t="shared" ref="D293:AI293" si="34">D224</f>
        <v>2</v>
      </c>
      <c r="E293" s="180">
        <f t="shared" si="34"/>
        <v>2</v>
      </c>
      <c r="F293" s="180">
        <f t="shared" si="34"/>
        <v>2</v>
      </c>
      <c r="G293" s="180">
        <f t="shared" si="34"/>
        <v>2</v>
      </c>
      <c r="H293" s="180">
        <f t="shared" si="34"/>
        <v>0</v>
      </c>
      <c r="I293" s="180">
        <f t="shared" si="34"/>
        <v>2</v>
      </c>
      <c r="J293" s="180">
        <f t="shared" si="34"/>
        <v>2</v>
      </c>
      <c r="K293" s="180">
        <f t="shared" si="34"/>
        <v>2</v>
      </c>
      <c r="L293" s="180">
        <f t="shared" si="34"/>
        <v>3</v>
      </c>
      <c r="M293" s="180">
        <f t="shared" si="34"/>
        <v>2</v>
      </c>
      <c r="N293" s="180">
        <f t="shared" si="34"/>
        <v>0</v>
      </c>
      <c r="O293" s="180">
        <f t="shared" si="34"/>
        <v>2</v>
      </c>
      <c r="P293" s="180">
        <f t="shared" si="34"/>
        <v>3</v>
      </c>
      <c r="Q293" s="180">
        <f t="shared" si="34"/>
        <v>3</v>
      </c>
      <c r="R293" s="180">
        <f t="shared" si="34"/>
        <v>3</v>
      </c>
      <c r="S293" s="180">
        <f t="shared" si="34"/>
        <v>3</v>
      </c>
      <c r="T293" s="180">
        <f t="shared" si="34"/>
        <v>2</v>
      </c>
      <c r="U293" s="180">
        <f t="shared" si="34"/>
        <v>2</v>
      </c>
      <c r="V293" s="180">
        <f t="shared" si="34"/>
        <v>3</v>
      </c>
      <c r="W293" s="180">
        <f t="shared" si="34"/>
        <v>2</v>
      </c>
      <c r="X293" s="180">
        <f t="shared" si="34"/>
        <v>2</v>
      </c>
      <c r="Y293" s="180">
        <f t="shared" si="34"/>
        <v>2</v>
      </c>
      <c r="Z293" s="180">
        <f t="shared" si="34"/>
        <v>2</v>
      </c>
      <c r="AA293" s="180">
        <f t="shared" si="34"/>
        <v>2</v>
      </c>
      <c r="AB293" s="180">
        <f t="shared" si="34"/>
        <v>2</v>
      </c>
      <c r="AC293" s="180">
        <f t="shared" si="34"/>
        <v>0</v>
      </c>
      <c r="AD293" s="180">
        <f t="shared" si="34"/>
        <v>2</v>
      </c>
      <c r="AE293" s="180">
        <f t="shared" si="34"/>
        <v>3</v>
      </c>
      <c r="AF293" s="180">
        <f t="shared" si="34"/>
        <v>2</v>
      </c>
      <c r="AG293" s="180">
        <f t="shared" si="34"/>
        <v>3</v>
      </c>
      <c r="AH293" s="180">
        <f t="shared" si="34"/>
        <v>3</v>
      </c>
      <c r="AI293" s="180">
        <f t="shared" si="34"/>
        <v>2</v>
      </c>
      <c r="AJ293" s="180">
        <f t="shared" ref="AJ293:BO293" si="35">AJ224</f>
        <v>2</v>
      </c>
      <c r="AK293" s="180">
        <f t="shared" si="35"/>
        <v>2</v>
      </c>
      <c r="AL293" s="180">
        <f t="shared" si="35"/>
        <v>2</v>
      </c>
      <c r="AM293" s="180">
        <f t="shared" si="35"/>
        <v>0</v>
      </c>
      <c r="AN293" s="180">
        <f t="shared" si="35"/>
        <v>1</v>
      </c>
      <c r="AO293" s="180">
        <f t="shared" si="35"/>
        <v>0</v>
      </c>
      <c r="AP293" s="180">
        <f t="shared" si="35"/>
        <v>2</v>
      </c>
      <c r="AQ293" s="180">
        <f t="shared" si="35"/>
        <v>2</v>
      </c>
      <c r="AR293" s="180">
        <f t="shared" si="35"/>
        <v>3</v>
      </c>
      <c r="AS293" s="180">
        <f t="shared" si="35"/>
        <v>2</v>
      </c>
      <c r="AT293" s="180">
        <f t="shared" si="35"/>
        <v>2</v>
      </c>
      <c r="AU293" s="180">
        <f t="shared" si="35"/>
        <v>2</v>
      </c>
      <c r="AV293" s="180">
        <f t="shared" si="35"/>
        <v>2</v>
      </c>
      <c r="AW293" s="180">
        <f t="shared" si="35"/>
        <v>2</v>
      </c>
      <c r="AX293" s="180">
        <f t="shared" si="35"/>
        <v>2</v>
      </c>
      <c r="AY293" s="180">
        <f t="shared" si="35"/>
        <v>2</v>
      </c>
      <c r="AZ293" s="180">
        <f t="shared" si="35"/>
        <v>2</v>
      </c>
      <c r="BA293" s="180">
        <f t="shared" si="35"/>
        <v>2</v>
      </c>
      <c r="BB293" s="180">
        <f t="shared" si="35"/>
        <v>2</v>
      </c>
      <c r="BC293" s="180">
        <f t="shared" si="35"/>
        <v>3</v>
      </c>
      <c r="BD293" s="180">
        <f t="shared" si="35"/>
        <v>3</v>
      </c>
      <c r="BE293" s="180">
        <f t="shared" si="35"/>
        <v>2</v>
      </c>
      <c r="BF293" s="180">
        <f t="shared" si="35"/>
        <v>2</v>
      </c>
      <c r="BG293" s="180">
        <f t="shared" si="35"/>
        <v>3</v>
      </c>
      <c r="BH293" s="180">
        <f t="shared" si="35"/>
        <v>2</v>
      </c>
      <c r="BI293" s="180">
        <f t="shared" si="35"/>
        <v>2</v>
      </c>
      <c r="BJ293" s="180">
        <f t="shared" si="35"/>
        <v>3</v>
      </c>
      <c r="BK293" s="180">
        <f t="shared" si="35"/>
        <v>2</v>
      </c>
      <c r="BL293" s="180">
        <f t="shared" si="35"/>
        <v>2</v>
      </c>
      <c r="BM293" s="180">
        <f t="shared" si="35"/>
        <v>2</v>
      </c>
      <c r="BN293" s="180">
        <f t="shared" si="35"/>
        <v>2</v>
      </c>
      <c r="BO293" s="180">
        <f t="shared" si="35"/>
        <v>2</v>
      </c>
      <c r="BP293" s="180">
        <f t="shared" ref="BP293:CZ293" si="36">BP224</f>
        <v>2</v>
      </c>
      <c r="BQ293" s="180">
        <f t="shared" si="36"/>
        <v>3</v>
      </c>
      <c r="BR293" s="180">
        <f t="shared" si="36"/>
        <v>0</v>
      </c>
      <c r="BS293" s="180">
        <f t="shared" si="36"/>
        <v>2</v>
      </c>
      <c r="BT293" s="180">
        <f t="shared" si="36"/>
        <v>0</v>
      </c>
      <c r="BU293" s="180">
        <f t="shared" si="36"/>
        <v>2</v>
      </c>
      <c r="BV293" s="180">
        <f t="shared" si="36"/>
        <v>2</v>
      </c>
      <c r="BW293" s="180">
        <f t="shared" si="36"/>
        <v>2</v>
      </c>
      <c r="BX293" s="180">
        <f t="shared" si="36"/>
        <v>2</v>
      </c>
      <c r="BY293" s="180">
        <f t="shared" si="36"/>
        <v>0</v>
      </c>
      <c r="BZ293" s="180">
        <f t="shared" si="36"/>
        <v>3</v>
      </c>
      <c r="CA293" s="180">
        <f t="shared" si="36"/>
        <v>2</v>
      </c>
      <c r="CB293" s="180">
        <f t="shared" si="36"/>
        <v>2</v>
      </c>
      <c r="CC293" s="180">
        <f t="shared" si="36"/>
        <v>3</v>
      </c>
      <c r="CD293" s="180">
        <f t="shared" si="36"/>
        <v>1</v>
      </c>
      <c r="CE293" s="180">
        <f t="shared" si="36"/>
        <v>0</v>
      </c>
      <c r="CF293" s="180">
        <f t="shared" si="36"/>
        <v>2</v>
      </c>
      <c r="CG293" s="180">
        <f t="shared" si="36"/>
        <v>2</v>
      </c>
      <c r="CH293" s="180">
        <f t="shared" si="36"/>
        <v>2</v>
      </c>
      <c r="CI293" s="180">
        <f t="shared" si="36"/>
        <v>3</v>
      </c>
      <c r="CJ293" s="180">
        <f t="shared" si="36"/>
        <v>0</v>
      </c>
      <c r="CK293" s="180">
        <f t="shared" si="36"/>
        <v>3</v>
      </c>
      <c r="CL293" s="180">
        <f t="shared" si="36"/>
        <v>0</v>
      </c>
      <c r="CM293" s="180">
        <f t="shared" si="36"/>
        <v>0</v>
      </c>
      <c r="CN293" s="180">
        <f t="shared" si="36"/>
        <v>0</v>
      </c>
      <c r="CO293" s="180">
        <f t="shared" si="36"/>
        <v>0</v>
      </c>
      <c r="CP293" s="180">
        <f t="shared" si="36"/>
        <v>0</v>
      </c>
      <c r="CQ293" s="180">
        <f t="shared" si="36"/>
        <v>0</v>
      </c>
      <c r="CR293" s="180">
        <f t="shared" si="36"/>
        <v>0</v>
      </c>
      <c r="CS293" s="180">
        <f t="shared" si="36"/>
        <v>0</v>
      </c>
      <c r="CT293" s="180">
        <f t="shared" si="36"/>
        <v>0</v>
      </c>
      <c r="CU293" s="180">
        <f t="shared" si="36"/>
        <v>0</v>
      </c>
      <c r="CV293" s="180">
        <f t="shared" si="36"/>
        <v>0</v>
      </c>
      <c r="CW293" s="180">
        <f t="shared" si="36"/>
        <v>0</v>
      </c>
      <c r="CX293" s="180">
        <f t="shared" si="36"/>
        <v>0</v>
      </c>
      <c r="CY293" s="180">
        <f t="shared" si="36"/>
        <v>0</v>
      </c>
      <c r="CZ293" s="180">
        <f t="shared" si="36"/>
        <v>0</v>
      </c>
    </row>
    <row r="294" spans="1:104" x14ac:dyDescent="0.3">
      <c r="A294" s="555">
        <v>975</v>
      </c>
      <c r="B294" s="180"/>
      <c r="C294" s="180">
        <v>223</v>
      </c>
      <c r="D294" s="180">
        <f t="shared" ref="D294:AI294" si="37">D225</f>
        <v>1</v>
      </c>
      <c r="E294" s="180">
        <f t="shared" si="37"/>
        <v>2</v>
      </c>
      <c r="F294" s="180">
        <f t="shared" si="37"/>
        <v>1</v>
      </c>
      <c r="G294" s="180">
        <f t="shared" si="37"/>
        <v>2</v>
      </c>
      <c r="H294" s="180">
        <f t="shared" si="37"/>
        <v>0</v>
      </c>
      <c r="I294" s="180">
        <f t="shared" si="37"/>
        <v>1</v>
      </c>
      <c r="J294" s="180">
        <f t="shared" si="37"/>
        <v>1</v>
      </c>
      <c r="K294" s="180">
        <f t="shared" si="37"/>
        <v>2</v>
      </c>
      <c r="L294" s="180">
        <f t="shared" si="37"/>
        <v>1</v>
      </c>
      <c r="M294" s="180">
        <f t="shared" si="37"/>
        <v>1</v>
      </c>
      <c r="N294" s="180">
        <f t="shared" si="37"/>
        <v>0</v>
      </c>
      <c r="O294" s="180">
        <f t="shared" si="37"/>
        <v>1</v>
      </c>
      <c r="P294" s="180">
        <f t="shared" si="37"/>
        <v>2</v>
      </c>
      <c r="Q294" s="180">
        <f t="shared" si="37"/>
        <v>1</v>
      </c>
      <c r="R294" s="180">
        <f t="shared" si="37"/>
        <v>1</v>
      </c>
      <c r="S294" s="180">
        <f t="shared" si="37"/>
        <v>2</v>
      </c>
      <c r="T294" s="180">
        <f t="shared" si="37"/>
        <v>2</v>
      </c>
      <c r="U294" s="180">
        <f t="shared" si="37"/>
        <v>2</v>
      </c>
      <c r="V294" s="180">
        <f t="shared" si="37"/>
        <v>1</v>
      </c>
      <c r="W294" s="180">
        <f t="shared" si="37"/>
        <v>1</v>
      </c>
      <c r="X294" s="180">
        <f t="shared" si="37"/>
        <v>2</v>
      </c>
      <c r="Y294" s="180">
        <f t="shared" si="37"/>
        <v>1</v>
      </c>
      <c r="Z294" s="180">
        <f t="shared" si="37"/>
        <v>0</v>
      </c>
      <c r="AA294" s="180">
        <f t="shared" si="37"/>
        <v>1</v>
      </c>
      <c r="AB294" s="180">
        <f t="shared" si="37"/>
        <v>1</v>
      </c>
      <c r="AC294" s="180">
        <f t="shared" si="37"/>
        <v>0</v>
      </c>
      <c r="AD294" s="180">
        <f t="shared" si="37"/>
        <v>2</v>
      </c>
      <c r="AE294" s="180">
        <f t="shared" si="37"/>
        <v>1</v>
      </c>
      <c r="AF294" s="180">
        <f t="shared" si="37"/>
        <v>1</v>
      </c>
      <c r="AG294" s="180">
        <f t="shared" si="37"/>
        <v>1</v>
      </c>
      <c r="AH294" s="180">
        <f t="shared" si="37"/>
        <v>2</v>
      </c>
      <c r="AI294" s="180">
        <f t="shared" si="37"/>
        <v>0</v>
      </c>
      <c r="AJ294" s="180">
        <f t="shared" ref="AJ294:BO294" si="38">AJ225</f>
        <v>2</v>
      </c>
      <c r="AK294" s="180">
        <f t="shared" si="38"/>
        <v>1</v>
      </c>
      <c r="AL294" s="180">
        <f t="shared" si="38"/>
        <v>1</v>
      </c>
      <c r="AM294" s="180">
        <f t="shared" si="38"/>
        <v>0</v>
      </c>
      <c r="AN294" s="180">
        <f t="shared" si="38"/>
        <v>1</v>
      </c>
      <c r="AO294" s="180">
        <f t="shared" si="38"/>
        <v>0</v>
      </c>
      <c r="AP294" s="180">
        <f t="shared" si="38"/>
        <v>1</v>
      </c>
      <c r="AQ294" s="180">
        <f t="shared" si="38"/>
        <v>1</v>
      </c>
      <c r="AR294" s="180">
        <f t="shared" si="38"/>
        <v>1</v>
      </c>
      <c r="AS294" s="180">
        <f t="shared" si="38"/>
        <v>1</v>
      </c>
      <c r="AT294" s="180">
        <f t="shared" si="38"/>
        <v>1</v>
      </c>
      <c r="AU294" s="180">
        <f t="shared" si="38"/>
        <v>1</v>
      </c>
      <c r="AV294" s="180">
        <f t="shared" si="38"/>
        <v>2</v>
      </c>
      <c r="AW294" s="180">
        <f t="shared" si="38"/>
        <v>2</v>
      </c>
      <c r="AX294" s="180">
        <f t="shared" si="38"/>
        <v>1</v>
      </c>
      <c r="AY294" s="180">
        <f t="shared" si="38"/>
        <v>1</v>
      </c>
      <c r="AZ294" s="180">
        <f t="shared" si="38"/>
        <v>1</v>
      </c>
      <c r="BA294" s="180">
        <f t="shared" si="38"/>
        <v>1</v>
      </c>
      <c r="BB294" s="180">
        <f t="shared" si="38"/>
        <v>1</v>
      </c>
      <c r="BC294" s="180">
        <f t="shared" si="38"/>
        <v>1</v>
      </c>
      <c r="BD294" s="180">
        <f t="shared" si="38"/>
        <v>2</v>
      </c>
      <c r="BE294" s="180">
        <f t="shared" si="38"/>
        <v>2</v>
      </c>
      <c r="BF294" s="180">
        <f t="shared" si="38"/>
        <v>2</v>
      </c>
      <c r="BG294" s="180">
        <f t="shared" si="38"/>
        <v>1</v>
      </c>
      <c r="BH294" s="180">
        <f t="shared" si="38"/>
        <v>1</v>
      </c>
      <c r="BI294" s="180">
        <f t="shared" si="38"/>
        <v>1</v>
      </c>
      <c r="BJ294" s="180">
        <f t="shared" si="38"/>
        <v>2</v>
      </c>
      <c r="BK294" s="180">
        <f t="shared" si="38"/>
        <v>1</v>
      </c>
      <c r="BL294" s="180">
        <f t="shared" si="38"/>
        <v>1</v>
      </c>
      <c r="BM294" s="180">
        <f t="shared" si="38"/>
        <v>1</v>
      </c>
      <c r="BN294" s="180">
        <f t="shared" si="38"/>
        <v>2</v>
      </c>
      <c r="BO294" s="180">
        <f t="shared" si="38"/>
        <v>1</v>
      </c>
      <c r="BP294" s="180">
        <f t="shared" ref="BP294:CZ294" si="39">BP225</f>
        <v>2</v>
      </c>
      <c r="BQ294" s="180">
        <f t="shared" si="39"/>
        <v>1</v>
      </c>
      <c r="BR294" s="180">
        <f t="shared" si="39"/>
        <v>0</v>
      </c>
      <c r="BS294" s="180">
        <f t="shared" si="39"/>
        <v>1</v>
      </c>
      <c r="BT294" s="180">
        <f t="shared" si="39"/>
        <v>0</v>
      </c>
      <c r="BU294" s="180">
        <f t="shared" si="39"/>
        <v>1</v>
      </c>
      <c r="BV294" s="180">
        <f t="shared" si="39"/>
        <v>1</v>
      </c>
      <c r="BW294" s="180">
        <f t="shared" si="39"/>
        <v>1</v>
      </c>
      <c r="BX294" s="180">
        <f t="shared" si="39"/>
        <v>1</v>
      </c>
      <c r="BY294" s="180">
        <f t="shared" si="39"/>
        <v>0</v>
      </c>
      <c r="BZ294" s="180">
        <f t="shared" si="39"/>
        <v>1</v>
      </c>
      <c r="CA294" s="180">
        <f t="shared" si="39"/>
        <v>1</v>
      </c>
      <c r="CB294" s="180">
        <f t="shared" si="39"/>
        <v>1</v>
      </c>
      <c r="CC294" s="180">
        <f t="shared" si="39"/>
        <v>2</v>
      </c>
      <c r="CD294" s="180">
        <f t="shared" si="39"/>
        <v>1</v>
      </c>
      <c r="CE294" s="180">
        <f t="shared" si="39"/>
        <v>0</v>
      </c>
      <c r="CF294" s="180">
        <f t="shared" si="39"/>
        <v>1</v>
      </c>
      <c r="CG294" s="180">
        <f t="shared" si="39"/>
        <v>1</v>
      </c>
      <c r="CH294" s="180">
        <f t="shared" si="39"/>
        <v>1</v>
      </c>
      <c r="CI294" s="180">
        <f t="shared" si="39"/>
        <v>2</v>
      </c>
      <c r="CJ294" s="180">
        <f t="shared" si="39"/>
        <v>0</v>
      </c>
      <c r="CK294" s="180">
        <f t="shared" si="39"/>
        <v>1</v>
      </c>
      <c r="CL294" s="180">
        <f t="shared" si="39"/>
        <v>0</v>
      </c>
      <c r="CM294" s="180">
        <f t="shared" si="39"/>
        <v>0</v>
      </c>
      <c r="CN294" s="180">
        <f t="shared" si="39"/>
        <v>0</v>
      </c>
      <c r="CO294" s="180">
        <f t="shared" si="39"/>
        <v>0</v>
      </c>
      <c r="CP294" s="180">
        <f t="shared" si="39"/>
        <v>0</v>
      </c>
      <c r="CQ294" s="180">
        <f t="shared" si="39"/>
        <v>0</v>
      </c>
      <c r="CR294" s="180">
        <f t="shared" si="39"/>
        <v>0</v>
      </c>
      <c r="CS294" s="180">
        <f t="shared" si="39"/>
        <v>0</v>
      </c>
      <c r="CT294" s="180">
        <f t="shared" si="39"/>
        <v>0</v>
      </c>
      <c r="CU294" s="180">
        <f t="shared" si="39"/>
        <v>0</v>
      </c>
      <c r="CV294" s="180">
        <f t="shared" si="39"/>
        <v>0</v>
      </c>
      <c r="CW294" s="180">
        <f t="shared" si="39"/>
        <v>0</v>
      </c>
      <c r="CX294" s="180">
        <f t="shared" si="39"/>
        <v>0</v>
      </c>
      <c r="CY294" s="180">
        <f t="shared" si="39"/>
        <v>0</v>
      </c>
      <c r="CZ294" s="180">
        <f t="shared" si="39"/>
        <v>0</v>
      </c>
    </row>
    <row r="295" spans="1:104" x14ac:dyDescent="0.3">
      <c r="A295" s="555">
        <v>979</v>
      </c>
      <c r="B295" s="180"/>
      <c r="C295" s="180">
        <v>223</v>
      </c>
      <c r="D295" s="180">
        <f t="shared" ref="D295:AI295" si="40">D226</f>
        <v>1</v>
      </c>
      <c r="E295" s="180">
        <f t="shared" si="40"/>
        <v>1</v>
      </c>
      <c r="F295" s="180">
        <f t="shared" si="40"/>
        <v>1</v>
      </c>
      <c r="G295" s="180">
        <f t="shared" si="40"/>
        <v>1</v>
      </c>
      <c r="H295" s="180">
        <f t="shared" si="40"/>
        <v>0</v>
      </c>
      <c r="I295" s="180">
        <f t="shared" si="40"/>
        <v>1</v>
      </c>
      <c r="J295" s="180">
        <f t="shared" si="40"/>
        <v>1</v>
      </c>
      <c r="K295" s="180">
        <f t="shared" si="40"/>
        <v>1</v>
      </c>
      <c r="L295" s="180">
        <f t="shared" si="40"/>
        <v>2</v>
      </c>
      <c r="M295" s="180">
        <f t="shared" si="40"/>
        <v>2</v>
      </c>
      <c r="N295" s="180">
        <f t="shared" si="40"/>
        <v>0</v>
      </c>
      <c r="O295" s="180">
        <f t="shared" si="40"/>
        <v>2</v>
      </c>
      <c r="P295" s="180">
        <f t="shared" si="40"/>
        <v>1</v>
      </c>
      <c r="Q295" s="180">
        <f t="shared" si="40"/>
        <v>2</v>
      </c>
      <c r="R295" s="180">
        <f t="shared" si="40"/>
        <v>1</v>
      </c>
      <c r="S295" s="180">
        <f t="shared" si="40"/>
        <v>1</v>
      </c>
      <c r="T295" s="180">
        <f t="shared" si="40"/>
        <v>1</v>
      </c>
      <c r="U295" s="180">
        <f t="shared" si="40"/>
        <v>1</v>
      </c>
      <c r="V295" s="180">
        <f t="shared" si="40"/>
        <v>1</v>
      </c>
      <c r="W295" s="180">
        <f t="shared" si="40"/>
        <v>2</v>
      </c>
      <c r="X295" s="180">
        <f t="shared" si="40"/>
        <v>1</v>
      </c>
      <c r="Y295" s="180">
        <f t="shared" si="40"/>
        <v>1</v>
      </c>
      <c r="Z295" s="180">
        <f t="shared" si="40"/>
        <v>1</v>
      </c>
      <c r="AA295" s="180">
        <f t="shared" si="40"/>
        <v>2</v>
      </c>
      <c r="AB295" s="180">
        <f t="shared" si="40"/>
        <v>2</v>
      </c>
      <c r="AC295" s="180">
        <f t="shared" si="40"/>
        <v>0</v>
      </c>
      <c r="AD295" s="180">
        <f t="shared" si="40"/>
        <v>1</v>
      </c>
      <c r="AE295" s="180">
        <f t="shared" si="40"/>
        <v>1</v>
      </c>
      <c r="AF295" s="180">
        <f t="shared" si="40"/>
        <v>1</v>
      </c>
      <c r="AG295" s="180">
        <f t="shared" si="40"/>
        <v>1</v>
      </c>
      <c r="AH295" s="180">
        <f t="shared" si="40"/>
        <v>1</v>
      </c>
      <c r="AI295" s="180">
        <f t="shared" si="40"/>
        <v>1</v>
      </c>
      <c r="AJ295" s="180">
        <f t="shared" ref="AJ295:BO295" si="41">AJ226</f>
        <v>1</v>
      </c>
      <c r="AK295" s="180">
        <f t="shared" si="41"/>
        <v>1</v>
      </c>
      <c r="AL295" s="180">
        <f t="shared" si="41"/>
        <v>2</v>
      </c>
      <c r="AM295" s="180">
        <f t="shared" si="41"/>
        <v>0</v>
      </c>
      <c r="AN295" s="180">
        <f t="shared" si="41"/>
        <v>2</v>
      </c>
      <c r="AO295" s="180">
        <f t="shared" si="41"/>
        <v>0</v>
      </c>
      <c r="AP295" s="180">
        <f t="shared" si="41"/>
        <v>2</v>
      </c>
      <c r="AQ295" s="180">
        <f t="shared" si="41"/>
        <v>1</v>
      </c>
      <c r="AR295" s="180">
        <f t="shared" si="41"/>
        <v>2</v>
      </c>
      <c r="AS295" s="180">
        <f t="shared" si="41"/>
        <v>1</v>
      </c>
      <c r="AT295" s="180">
        <f t="shared" si="41"/>
        <v>1</v>
      </c>
      <c r="AU295" s="180">
        <f t="shared" si="41"/>
        <v>1</v>
      </c>
      <c r="AV295" s="180">
        <f t="shared" si="41"/>
        <v>1</v>
      </c>
      <c r="AW295" s="180">
        <f t="shared" si="41"/>
        <v>1</v>
      </c>
      <c r="AX295" s="180">
        <f t="shared" si="41"/>
        <v>2</v>
      </c>
      <c r="AY295" s="180">
        <f t="shared" si="41"/>
        <v>2</v>
      </c>
      <c r="AZ295" s="180">
        <f t="shared" si="41"/>
        <v>2</v>
      </c>
      <c r="BA295" s="180">
        <f t="shared" si="41"/>
        <v>2</v>
      </c>
      <c r="BB295" s="180">
        <f t="shared" si="41"/>
        <v>1</v>
      </c>
      <c r="BC295" s="180">
        <f t="shared" si="41"/>
        <v>1</v>
      </c>
      <c r="BD295" s="180">
        <f t="shared" si="41"/>
        <v>1</v>
      </c>
      <c r="BE295" s="180">
        <f t="shared" si="41"/>
        <v>1</v>
      </c>
      <c r="BF295" s="180">
        <f t="shared" si="41"/>
        <v>1</v>
      </c>
      <c r="BG295" s="180">
        <f t="shared" si="41"/>
        <v>1</v>
      </c>
      <c r="BH295" s="180">
        <f t="shared" si="41"/>
        <v>1</v>
      </c>
      <c r="BI295" s="180">
        <f t="shared" si="41"/>
        <v>2</v>
      </c>
      <c r="BJ295" s="180">
        <f t="shared" si="41"/>
        <v>1</v>
      </c>
      <c r="BK295" s="180">
        <f t="shared" si="41"/>
        <v>2</v>
      </c>
      <c r="BL295" s="180">
        <f t="shared" si="41"/>
        <v>1</v>
      </c>
      <c r="BM295" s="180">
        <f t="shared" si="41"/>
        <v>1</v>
      </c>
      <c r="BN295" s="180">
        <f t="shared" si="41"/>
        <v>1</v>
      </c>
      <c r="BO295" s="180">
        <f t="shared" si="41"/>
        <v>2</v>
      </c>
      <c r="BP295" s="180">
        <f t="shared" ref="BP295:CZ295" si="42">BP226</f>
        <v>1</v>
      </c>
      <c r="BQ295" s="180">
        <f t="shared" si="42"/>
        <v>2</v>
      </c>
      <c r="BR295" s="180">
        <f t="shared" si="42"/>
        <v>0</v>
      </c>
      <c r="BS295" s="180">
        <f t="shared" si="42"/>
        <v>1</v>
      </c>
      <c r="BT295" s="180">
        <f t="shared" si="42"/>
        <v>0</v>
      </c>
      <c r="BU295" s="180">
        <f t="shared" si="42"/>
        <v>2</v>
      </c>
      <c r="BV295" s="180">
        <f t="shared" si="42"/>
        <v>1</v>
      </c>
      <c r="BW295" s="180">
        <f t="shared" si="42"/>
        <v>1</v>
      </c>
      <c r="BX295" s="180">
        <f t="shared" si="42"/>
        <v>2</v>
      </c>
      <c r="BY295" s="180">
        <f t="shared" si="42"/>
        <v>0</v>
      </c>
      <c r="BZ295" s="180">
        <f t="shared" si="42"/>
        <v>1</v>
      </c>
      <c r="CA295" s="180">
        <f t="shared" si="42"/>
        <v>1</v>
      </c>
      <c r="CB295" s="180">
        <f t="shared" si="42"/>
        <v>2</v>
      </c>
      <c r="CC295" s="180">
        <f t="shared" si="42"/>
        <v>1</v>
      </c>
      <c r="CD295" s="180">
        <f t="shared" si="42"/>
        <v>2</v>
      </c>
      <c r="CE295" s="180">
        <f t="shared" si="42"/>
        <v>0</v>
      </c>
      <c r="CF295" s="180">
        <f t="shared" si="42"/>
        <v>2</v>
      </c>
      <c r="CG295" s="180">
        <f t="shared" si="42"/>
        <v>1</v>
      </c>
      <c r="CH295" s="180">
        <f t="shared" si="42"/>
        <v>1</v>
      </c>
      <c r="CI295" s="180">
        <f t="shared" si="42"/>
        <v>1</v>
      </c>
      <c r="CJ295" s="180">
        <f t="shared" si="42"/>
        <v>0</v>
      </c>
      <c r="CK295" s="180">
        <f t="shared" si="42"/>
        <v>2</v>
      </c>
      <c r="CL295" s="180">
        <f t="shared" si="42"/>
        <v>0</v>
      </c>
      <c r="CM295" s="180">
        <f t="shared" si="42"/>
        <v>0</v>
      </c>
      <c r="CN295" s="180">
        <f t="shared" si="42"/>
        <v>0</v>
      </c>
      <c r="CO295" s="180">
        <f t="shared" si="42"/>
        <v>0</v>
      </c>
      <c r="CP295" s="180">
        <f t="shared" si="42"/>
        <v>0</v>
      </c>
      <c r="CQ295" s="180">
        <f t="shared" si="42"/>
        <v>0</v>
      </c>
      <c r="CR295" s="180">
        <f t="shared" si="42"/>
        <v>0</v>
      </c>
      <c r="CS295" s="180">
        <f t="shared" si="42"/>
        <v>0</v>
      </c>
      <c r="CT295" s="180">
        <f t="shared" si="42"/>
        <v>0</v>
      </c>
      <c r="CU295" s="180">
        <f t="shared" si="42"/>
        <v>0</v>
      </c>
      <c r="CV295" s="180">
        <f t="shared" si="42"/>
        <v>0</v>
      </c>
      <c r="CW295" s="180">
        <f t="shared" si="42"/>
        <v>0</v>
      </c>
      <c r="CX295" s="180">
        <f t="shared" si="42"/>
        <v>0</v>
      </c>
      <c r="CY295" s="180">
        <f t="shared" si="42"/>
        <v>0</v>
      </c>
      <c r="CZ295" s="180">
        <f t="shared" si="42"/>
        <v>0</v>
      </c>
    </row>
    <row r="296" spans="1:104" x14ac:dyDescent="0.3">
      <c r="A296" s="155">
        <v>995</v>
      </c>
      <c r="B296" s="180"/>
      <c r="C296" s="180">
        <v>236</v>
      </c>
      <c r="D296" s="180">
        <f t="shared" ref="D296:AI296" si="43">D236</f>
        <v>0</v>
      </c>
      <c r="E296" s="180">
        <f t="shared" si="43"/>
        <v>0</v>
      </c>
      <c r="F296" s="180">
        <f t="shared" si="43"/>
        <v>0</v>
      </c>
      <c r="G296" s="180">
        <f t="shared" si="43"/>
        <v>0</v>
      </c>
      <c r="H296" s="180">
        <f t="shared" si="43"/>
        <v>0</v>
      </c>
      <c r="I296" s="180">
        <f t="shared" si="43"/>
        <v>0</v>
      </c>
      <c r="J296" s="180">
        <f t="shared" si="43"/>
        <v>0</v>
      </c>
      <c r="K296" s="180">
        <f t="shared" si="43"/>
        <v>0</v>
      </c>
      <c r="L296" s="180">
        <f t="shared" si="43"/>
        <v>0</v>
      </c>
      <c r="M296" s="180">
        <f t="shared" si="43"/>
        <v>0</v>
      </c>
      <c r="N296" s="180">
        <f t="shared" si="43"/>
        <v>0</v>
      </c>
      <c r="O296" s="180">
        <f t="shared" si="43"/>
        <v>0</v>
      </c>
      <c r="P296" s="180">
        <f t="shared" si="43"/>
        <v>0</v>
      </c>
      <c r="Q296" s="180">
        <f t="shared" si="43"/>
        <v>0</v>
      </c>
      <c r="R296" s="180">
        <f t="shared" si="43"/>
        <v>0</v>
      </c>
      <c r="S296" s="180">
        <f t="shared" si="43"/>
        <v>0</v>
      </c>
      <c r="T296" s="180">
        <f t="shared" si="43"/>
        <v>0</v>
      </c>
      <c r="U296" s="180">
        <f t="shared" si="43"/>
        <v>0</v>
      </c>
      <c r="V296" s="180">
        <f t="shared" si="43"/>
        <v>0</v>
      </c>
      <c r="W296" s="180">
        <f t="shared" si="43"/>
        <v>0</v>
      </c>
      <c r="X296" s="180">
        <f t="shared" si="43"/>
        <v>0</v>
      </c>
      <c r="Y296" s="180">
        <f t="shared" si="43"/>
        <v>0</v>
      </c>
      <c r="Z296" s="180">
        <f t="shared" si="43"/>
        <v>7.0000000000000007E-2</v>
      </c>
      <c r="AA296" s="180">
        <f t="shared" si="43"/>
        <v>0</v>
      </c>
      <c r="AB296" s="180">
        <f t="shared" si="43"/>
        <v>0</v>
      </c>
      <c r="AC296" s="180">
        <f t="shared" si="43"/>
        <v>0</v>
      </c>
      <c r="AD296" s="180">
        <f t="shared" si="43"/>
        <v>0</v>
      </c>
      <c r="AE296" s="180">
        <f t="shared" si="43"/>
        <v>0</v>
      </c>
      <c r="AF296" s="180">
        <f t="shared" si="43"/>
        <v>0.08</v>
      </c>
      <c r="AG296" s="180">
        <f t="shared" si="43"/>
        <v>0</v>
      </c>
      <c r="AH296" s="180">
        <f t="shared" si="43"/>
        <v>0</v>
      </c>
      <c r="AI296" s="180">
        <f t="shared" si="43"/>
        <v>0</v>
      </c>
      <c r="AJ296" s="180">
        <f t="shared" ref="AJ296:BO296" si="44">AJ236</f>
        <v>0</v>
      </c>
      <c r="AK296" s="180">
        <f t="shared" si="44"/>
        <v>0</v>
      </c>
      <c r="AL296" s="180">
        <f t="shared" si="44"/>
        <v>0</v>
      </c>
      <c r="AM296" s="180">
        <f t="shared" si="44"/>
        <v>0</v>
      </c>
      <c r="AN296" s="180">
        <f t="shared" si="44"/>
        <v>0</v>
      </c>
      <c r="AO296" s="180">
        <f t="shared" si="44"/>
        <v>0</v>
      </c>
      <c r="AP296" s="180">
        <f t="shared" si="44"/>
        <v>0</v>
      </c>
      <c r="AQ296" s="180">
        <f t="shared" si="44"/>
        <v>0.09</v>
      </c>
      <c r="AR296" s="180">
        <f t="shared" si="44"/>
        <v>0</v>
      </c>
      <c r="AS296" s="180">
        <f t="shared" si="44"/>
        <v>0</v>
      </c>
      <c r="AT296" s="180">
        <f t="shared" si="44"/>
        <v>0</v>
      </c>
      <c r="AU296" s="180">
        <f t="shared" si="44"/>
        <v>0</v>
      </c>
      <c r="AV296" s="180">
        <f t="shared" si="44"/>
        <v>0</v>
      </c>
      <c r="AW296" s="180">
        <f t="shared" si="44"/>
        <v>7.0000000000000007E-2</v>
      </c>
      <c r="AX296" s="180">
        <f t="shared" si="44"/>
        <v>0</v>
      </c>
      <c r="AY296" s="180">
        <f t="shared" si="44"/>
        <v>0</v>
      </c>
      <c r="AZ296" s="180">
        <f t="shared" si="44"/>
        <v>0</v>
      </c>
      <c r="BA296" s="180">
        <f t="shared" si="44"/>
        <v>0</v>
      </c>
      <c r="BB296" s="180">
        <f t="shared" si="44"/>
        <v>0</v>
      </c>
      <c r="BC296" s="180">
        <f t="shared" si="44"/>
        <v>0.09</v>
      </c>
      <c r="BD296" s="180">
        <f t="shared" si="44"/>
        <v>0</v>
      </c>
      <c r="BE296" s="180">
        <f t="shared" si="44"/>
        <v>0</v>
      </c>
      <c r="BF296" s="180">
        <f t="shared" si="44"/>
        <v>0</v>
      </c>
      <c r="BG296" s="180">
        <f t="shared" si="44"/>
        <v>0</v>
      </c>
      <c r="BH296" s="180">
        <f t="shared" si="44"/>
        <v>0</v>
      </c>
      <c r="BI296" s="180">
        <f t="shared" si="44"/>
        <v>0</v>
      </c>
      <c r="BJ296" s="180">
        <f t="shared" si="44"/>
        <v>0</v>
      </c>
      <c r="BK296" s="180">
        <f t="shared" si="44"/>
        <v>0</v>
      </c>
      <c r="BL296" s="180">
        <f t="shared" si="44"/>
        <v>7.0000000000000007E-2</v>
      </c>
      <c r="BM296" s="180">
        <f t="shared" si="44"/>
        <v>0</v>
      </c>
      <c r="BN296" s="180">
        <f t="shared" si="44"/>
        <v>0</v>
      </c>
      <c r="BO296" s="180">
        <f t="shared" si="44"/>
        <v>0</v>
      </c>
      <c r="BP296" s="180">
        <f t="shared" ref="BP296:CZ296" si="45">BP236</f>
        <v>0</v>
      </c>
      <c r="BQ296" s="180">
        <f t="shared" si="45"/>
        <v>0</v>
      </c>
      <c r="BR296" s="180">
        <f t="shared" si="45"/>
        <v>0</v>
      </c>
      <c r="BS296" s="180">
        <f t="shared" si="45"/>
        <v>0</v>
      </c>
      <c r="BT296" s="180">
        <f t="shared" si="45"/>
        <v>0</v>
      </c>
      <c r="BU296" s="180">
        <f t="shared" si="45"/>
        <v>0</v>
      </c>
      <c r="BV296" s="180">
        <f t="shared" si="45"/>
        <v>0</v>
      </c>
      <c r="BW296" s="180">
        <f t="shared" si="45"/>
        <v>0</v>
      </c>
      <c r="BX296" s="180">
        <f t="shared" si="45"/>
        <v>0.08</v>
      </c>
      <c r="BY296" s="180">
        <f t="shared" si="45"/>
        <v>0.08</v>
      </c>
      <c r="BZ296" s="180">
        <f t="shared" si="45"/>
        <v>0</v>
      </c>
      <c r="CA296" s="180">
        <f t="shared" si="45"/>
        <v>0</v>
      </c>
      <c r="CB296" s="180">
        <f t="shared" si="45"/>
        <v>0</v>
      </c>
      <c r="CC296" s="180">
        <f t="shared" si="45"/>
        <v>0</v>
      </c>
      <c r="CD296" s="180">
        <f t="shared" si="45"/>
        <v>0</v>
      </c>
      <c r="CE296" s="180">
        <f t="shared" si="45"/>
        <v>0</v>
      </c>
      <c r="CF296" s="180">
        <f t="shared" si="45"/>
        <v>0</v>
      </c>
      <c r="CG296" s="180">
        <f t="shared" si="45"/>
        <v>0</v>
      </c>
      <c r="CH296" s="180">
        <f t="shared" si="45"/>
        <v>0.09</v>
      </c>
      <c r="CI296" s="180">
        <f t="shared" si="45"/>
        <v>0</v>
      </c>
      <c r="CJ296" s="180">
        <f t="shared" si="45"/>
        <v>0</v>
      </c>
      <c r="CK296" s="180">
        <f t="shared" si="45"/>
        <v>0</v>
      </c>
      <c r="CL296" s="180">
        <f t="shared" si="45"/>
        <v>0</v>
      </c>
      <c r="CM296" s="180">
        <f t="shared" si="45"/>
        <v>0</v>
      </c>
      <c r="CN296" s="180">
        <f t="shared" si="45"/>
        <v>0</v>
      </c>
      <c r="CO296" s="180">
        <f t="shared" si="45"/>
        <v>0</v>
      </c>
      <c r="CP296" s="180">
        <f t="shared" si="45"/>
        <v>0</v>
      </c>
      <c r="CQ296" s="180">
        <f t="shared" si="45"/>
        <v>0</v>
      </c>
      <c r="CR296" s="180">
        <f t="shared" si="45"/>
        <v>0</v>
      </c>
      <c r="CS296" s="180">
        <f t="shared" si="45"/>
        <v>0</v>
      </c>
      <c r="CT296" s="180">
        <f t="shared" si="45"/>
        <v>0</v>
      </c>
      <c r="CU296" s="180">
        <f t="shared" si="45"/>
        <v>0</v>
      </c>
      <c r="CV296" s="180">
        <f t="shared" si="45"/>
        <v>0</v>
      </c>
      <c r="CW296" s="180">
        <f t="shared" si="45"/>
        <v>0</v>
      </c>
      <c r="CX296" s="180">
        <f t="shared" si="45"/>
        <v>0</v>
      </c>
      <c r="CY296" s="180">
        <f t="shared" si="45"/>
        <v>0</v>
      </c>
      <c r="CZ296" s="180">
        <f t="shared" si="45"/>
        <v>0</v>
      </c>
    </row>
    <row r="297" spans="1:104" x14ac:dyDescent="0.3">
      <c r="A297" s="155">
        <v>996</v>
      </c>
      <c r="B297" s="180"/>
      <c r="C297" s="180">
        <v>237</v>
      </c>
      <c r="D297" s="180">
        <f t="shared" ref="D297:AI297" si="46">D237</f>
        <v>0.01</v>
      </c>
      <c r="E297" s="180">
        <f t="shared" si="46"/>
        <v>0</v>
      </c>
      <c r="F297" s="180">
        <f t="shared" si="46"/>
        <v>0.01</v>
      </c>
      <c r="G297" s="180">
        <f t="shared" si="46"/>
        <v>0.01</v>
      </c>
      <c r="H297" s="180">
        <f t="shared" si="46"/>
        <v>0.01</v>
      </c>
      <c r="I297" s="180">
        <f t="shared" si="46"/>
        <v>0.01</v>
      </c>
      <c r="J297" s="180">
        <f t="shared" si="46"/>
        <v>0</v>
      </c>
      <c r="K297" s="180">
        <f t="shared" si="46"/>
        <v>0.01</v>
      </c>
      <c r="L297" s="180">
        <f t="shared" si="46"/>
        <v>0</v>
      </c>
      <c r="M297" s="180">
        <f t="shared" si="46"/>
        <v>0</v>
      </c>
      <c r="N297" s="180">
        <f t="shared" si="46"/>
        <v>0.01</v>
      </c>
      <c r="O297" s="180">
        <f t="shared" si="46"/>
        <v>0.01</v>
      </c>
      <c r="P297" s="180">
        <f t="shared" si="46"/>
        <v>0</v>
      </c>
      <c r="Q297" s="180">
        <f t="shared" si="46"/>
        <v>0</v>
      </c>
      <c r="R297" s="180">
        <f t="shared" si="46"/>
        <v>0</v>
      </c>
      <c r="S297" s="180">
        <f t="shared" si="46"/>
        <v>0</v>
      </c>
      <c r="T297" s="180">
        <f t="shared" si="46"/>
        <v>0</v>
      </c>
      <c r="U297" s="180">
        <f t="shared" si="46"/>
        <v>0</v>
      </c>
      <c r="V297" s="180">
        <f t="shared" si="46"/>
        <v>0.01</v>
      </c>
      <c r="W297" s="180">
        <f t="shared" si="46"/>
        <v>0.01</v>
      </c>
      <c r="X297" s="180">
        <f t="shared" si="46"/>
        <v>0</v>
      </c>
      <c r="Y297" s="180">
        <f t="shared" si="46"/>
        <v>0.01</v>
      </c>
      <c r="Z297" s="180">
        <f t="shared" si="46"/>
        <v>0.01</v>
      </c>
      <c r="AA297" s="180">
        <f t="shared" si="46"/>
        <v>0.01</v>
      </c>
      <c r="AB297" s="180">
        <f t="shared" si="46"/>
        <v>0</v>
      </c>
      <c r="AC297" s="180">
        <f t="shared" si="46"/>
        <v>0.01</v>
      </c>
      <c r="AD297" s="180">
        <f t="shared" si="46"/>
        <v>0.01</v>
      </c>
      <c r="AE297" s="180">
        <f t="shared" si="46"/>
        <v>0.01</v>
      </c>
      <c r="AF297" s="180">
        <f t="shared" si="46"/>
        <v>0.01</v>
      </c>
      <c r="AG297" s="180">
        <f t="shared" si="46"/>
        <v>0</v>
      </c>
      <c r="AH297" s="180">
        <f t="shared" si="46"/>
        <v>0.01</v>
      </c>
      <c r="AI297" s="180">
        <f t="shared" si="46"/>
        <v>0.01</v>
      </c>
      <c r="AJ297" s="180">
        <f t="shared" ref="AJ297:BO297" si="47">AJ237</f>
        <v>0.01</v>
      </c>
      <c r="AK297" s="180">
        <f t="shared" si="47"/>
        <v>0.01</v>
      </c>
      <c r="AL297" s="180">
        <f t="shared" si="47"/>
        <v>0.01</v>
      </c>
      <c r="AM297" s="180">
        <f t="shared" si="47"/>
        <v>0.01</v>
      </c>
      <c r="AN297" s="180">
        <f t="shared" si="47"/>
        <v>0.01</v>
      </c>
      <c r="AO297" s="180">
        <f t="shared" si="47"/>
        <v>0.01</v>
      </c>
      <c r="AP297" s="180">
        <f t="shared" si="47"/>
        <v>0</v>
      </c>
      <c r="AQ297" s="180">
        <f t="shared" si="47"/>
        <v>0.01</v>
      </c>
      <c r="AR297" s="180">
        <f t="shared" si="47"/>
        <v>0</v>
      </c>
      <c r="AS297" s="180">
        <f t="shared" si="47"/>
        <v>0.01</v>
      </c>
      <c r="AT297" s="180">
        <f t="shared" si="47"/>
        <v>0.01</v>
      </c>
      <c r="AU297" s="180">
        <f t="shared" si="47"/>
        <v>0.01</v>
      </c>
      <c r="AV297" s="180">
        <f t="shared" si="47"/>
        <v>0</v>
      </c>
      <c r="AW297" s="180">
        <f t="shared" si="47"/>
        <v>0</v>
      </c>
      <c r="AX297" s="180">
        <f t="shared" si="47"/>
        <v>0.01</v>
      </c>
      <c r="AY297" s="180">
        <f t="shared" si="47"/>
        <v>0</v>
      </c>
      <c r="AZ297" s="180">
        <f t="shared" si="47"/>
        <v>0</v>
      </c>
      <c r="BA297" s="180">
        <f t="shared" si="47"/>
        <v>0.01</v>
      </c>
      <c r="BB297" s="180">
        <f t="shared" si="47"/>
        <v>0.01</v>
      </c>
      <c r="BC297" s="180">
        <f t="shared" si="47"/>
        <v>0.01</v>
      </c>
      <c r="BD297" s="180">
        <f t="shared" si="47"/>
        <v>0</v>
      </c>
      <c r="BE297" s="180">
        <f t="shared" si="47"/>
        <v>0</v>
      </c>
      <c r="BF297" s="180">
        <f t="shared" si="47"/>
        <v>0.01</v>
      </c>
      <c r="BG297" s="180">
        <f t="shared" si="47"/>
        <v>0</v>
      </c>
      <c r="BH297" s="180">
        <f t="shared" si="47"/>
        <v>0</v>
      </c>
      <c r="BI297" s="180">
        <f t="shared" si="47"/>
        <v>0.01</v>
      </c>
      <c r="BJ297" s="180">
        <f t="shared" si="47"/>
        <v>0</v>
      </c>
      <c r="BK297" s="180">
        <f t="shared" si="47"/>
        <v>0.01</v>
      </c>
      <c r="BL297" s="180">
        <f t="shared" si="47"/>
        <v>0.01</v>
      </c>
      <c r="BM297" s="180">
        <f t="shared" si="47"/>
        <v>0.01</v>
      </c>
      <c r="BN297" s="180">
        <f t="shared" si="47"/>
        <v>0</v>
      </c>
      <c r="BO297" s="180">
        <f t="shared" si="47"/>
        <v>0.01</v>
      </c>
      <c r="BP297" s="180">
        <f t="shared" ref="BP297:CZ297" si="48">BP237</f>
        <v>0.01</v>
      </c>
      <c r="BQ297" s="180">
        <f t="shared" si="48"/>
        <v>0</v>
      </c>
      <c r="BR297" s="180">
        <f t="shared" si="48"/>
        <v>0.01</v>
      </c>
      <c r="BS297" s="180">
        <f t="shared" si="48"/>
        <v>0.01</v>
      </c>
      <c r="BT297" s="180">
        <f t="shared" si="48"/>
        <v>0</v>
      </c>
      <c r="BU297" s="180">
        <f t="shared" si="48"/>
        <v>0.01</v>
      </c>
      <c r="BV297" s="180">
        <f t="shared" si="48"/>
        <v>0</v>
      </c>
      <c r="BW297" s="180">
        <f t="shared" si="48"/>
        <v>0.01</v>
      </c>
      <c r="BX297" s="180">
        <f t="shared" si="48"/>
        <v>0.01</v>
      </c>
      <c r="BY297" s="180">
        <f t="shared" si="48"/>
        <v>0.01</v>
      </c>
      <c r="BZ297" s="180">
        <f t="shared" si="48"/>
        <v>0.01</v>
      </c>
      <c r="CA297" s="180">
        <f t="shared" si="48"/>
        <v>0.01</v>
      </c>
      <c r="CB297" s="180">
        <f t="shared" si="48"/>
        <v>0.01</v>
      </c>
      <c r="CC297" s="180">
        <f t="shared" si="48"/>
        <v>0.01</v>
      </c>
      <c r="CD297" s="180">
        <f t="shared" si="48"/>
        <v>0.01</v>
      </c>
      <c r="CE297" s="180">
        <f t="shared" si="48"/>
        <v>0.01</v>
      </c>
      <c r="CF297" s="180">
        <f t="shared" si="48"/>
        <v>0.01</v>
      </c>
      <c r="CG297" s="180">
        <f t="shared" si="48"/>
        <v>0</v>
      </c>
      <c r="CH297" s="180">
        <f t="shared" si="48"/>
        <v>0.01</v>
      </c>
      <c r="CI297" s="180">
        <f t="shared" si="48"/>
        <v>0</v>
      </c>
      <c r="CJ297" s="180">
        <f t="shared" si="48"/>
        <v>0.01</v>
      </c>
      <c r="CK297" s="180">
        <f t="shared" si="48"/>
        <v>0.01</v>
      </c>
      <c r="CL297" s="180">
        <f t="shared" si="48"/>
        <v>0</v>
      </c>
      <c r="CM297" s="180">
        <f t="shared" si="48"/>
        <v>0</v>
      </c>
      <c r="CN297" s="180">
        <f t="shared" si="48"/>
        <v>0</v>
      </c>
      <c r="CO297" s="180">
        <f t="shared" si="48"/>
        <v>0</v>
      </c>
      <c r="CP297" s="180">
        <f t="shared" si="48"/>
        <v>0</v>
      </c>
      <c r="CQ297" s="180">
        <f t="shared" si="48"/>
        <v>0</v>
      </c>
      <c r="CR297" s="180">
        <f t="shared" si="48"/>
        <v>0</v>
      </c>
      <c r="CS297" s="180">
        <f t="shared" si="48"/>
        <v>0</v>
      </c>
      <c r="CT297" s="180">
        <f t="shared" si="48"/>
        <v>0</v>
      </c>
      <c r="CU297" s="180">
        <f t="shared" si="48"/>
        <v>0</v>
      </c>
      <c r="CV297" s="180">
        <f t="shared" si="48"/>
        <v>0</v>
      </c>
      <c r="CW297" s="180">
        <f t="shared" si="48"/>
        <v>0</v>
      </c>
      <c r="CX297" s="180">
        <f t="shared" si="48"/>
        <v>0</v>
      </c>
      <c r="CY297" s="180">
        <f t="shared" si="48"/>
        <v>0</v>
      </c>
      <c r="CZ297" s="180">
        <f t="shared" si="48"/>
        <v>0</v>
      </c>
    </row>
    <row r="298" spans="1:104" x14ac:dyDescent="0.3">
      <c r="A298" s="155">
        <v>998</v>
      </c>
      <c r="B298" s="180"/>
      <c r="C298" s="180">
        <v>238</v>
      </c>
      <c r="D298" s="180">
        <f t="shared" ref="D298:AI298" si="49">D238</f>
        <v>50</v>
      </c>
      <c r="E298" s="180">
        <f t="shared" si="49"/>
        <v>50</v>
      </c>
      <c r="F298" s="180">
        <f t="shared" si="49"/>
        <v>50</v>
      </c>
      <c r="G298" s="180">
        <f t="shared" si="49"/>
        <v>50</v>
      </c>
      <c r="H298" s="180">
        <f t="shared" si="49"/>
        <v>50</v>
      </c>
      <c r="I298" s="180">
        <f t="shared" si="49"/>
        <v>50</v>
      </c>
      <c r="J298" s="180">
        <f t="shared" si="49"/>
        <v>50</v>
      </c>
      <c r="K298" s="180">
        <f t="shared" si="49"/>
        <v>50</v>
      </c>
      <c r="L298" s="180">
        <f t="shared" si="49"/>
        <v>50</v>
      </c>
      <c r="M298" s="180">
        <f t="shared" si="49"/>
        <v>50</v>
      </c>
      <c r="N298" s="180">
        <f t="shared" si="49"/>
        <v>50</v>
      </c>
      <c r="O298" s="180">
        <f t="shared" si="49"/>
        <v>50</v>
      </c>
      <c r="P298" s="180">
        <f t="shared" si="49"/>
        <v>50</v>
      </c>
      <c r="Q298" s="180">
        <f t="shared" si="49"/>
        <v>50</v>
      </c>
      <c r="R298" s="180">
        <f t="shared" si="49"/>
        <v>50</v>
      </c>
      <c r="S298" s="180">
        <f t="shared" si="49"/>
        <v>50</v>
      </c>
      <c r="T298" s="180">
        <f t="shared" si="49"/>
        <v>50</v>
      </c>
      <c r="U298" s="180">
        <f t="shared" si="49"/>
        <v>50</v>
      </c>
      <c r="V298" s="180">
        <f t="shared" si="49"/>
        <v>50</v>
      </c>
      <c r="W298" s="180">
        <f t="shared" si="49"/>
        <v>50</v>
      </c>
      <c r="X298" s="180">
        <f t="shared" si="49"/>
        <v>50</v>
      </c>
      <c r="Y298" s="180">
        <f t="shared" si="49"/>
        <v>50</v>
      </c>
      <c r="Z298" s="180">
        <f t="shared" si="49"/>
        <v>50</v>
      </c>
      <c r="AA298" s="180">
        <f t="shared" si="49"/>
        <v>50</v>
      </c>
      <c r="AB298" s="180">
        <f t="shared" si="49"/>
        <v>50</v>
      </c>
      <c r="AC298" s="180">
        <f t="shared" si="49"/>
        <v>50</v>
      </c>
      <c r="AD298" s="180">
        <f t="shared" si="49"/>
        <v>50</v>
      </c>
      <c r="AE298" s="180">
        <f t="shared" si="49"/>
        <v>50</v>
      </c>
      <c r="AF298" s="180">
        <f t="shared" si="49"/>
        <v>50</v>
      </c>
      <c r="AG298" s="180">
        <f t="shared" si="49"/>
        <v>50</v>
      </c>
      <c r="AH298" s="180">
        <f t="shared" si="49"/>
        <v>50</v>
      </c>
      <c r="AI298" s="180">
        <f t="shared" si="49"/>
        <v>50</v>
      </c>
      <c r="AJ298" s="180">
        <f t="shared" ref="AJ298:BO298" si="50">AJ238</f>
        <v>50</v>
      </c>
      <c r="AK298" s="180">
        <f t="shared" si="50"/>
        <v>50</v>
      </c>
      <c r="AL298" s="180">
        <f t="shared" si="50"/>
        <v>50</v>
      </c>
      <c r="AM298" s="180">
        <f t="shared" si="50"/>
        <v>50</v>
      </c>
      <c r="AN298" s="180">
        <f t="shared" si="50"/>
        <v>50</v>
      </c>
      <c r="AO298" s="180">
        <f t="shared" si="50"/>
        <v>50</v>
      </c>
      <c r="AP298" s="180">
        <f t="shared" si="50"/>
        <v>50</v>
      </c>
      <c r="AQ298" s="180">
        <f t="shared" si="50"/>
        <v>50</v>
      </c>
      <c r="AR298" s="180">
        <f t="shared" si="50"/>
        <v>50</v>
      </c>
      <c r="AS298" s="180">
        <f t="shared" si="50"/>
        <v>50</v>
      </c>
      <c r="AT298" s="180">
        <f t="shared" si="50"/>
        <v>50</v>
      </c>
      <c r="AU298" s="180">
        <f t="shared" si="50"/>
        <v>50</v>
      </c>
      <c r="AV298" s="180">
        <f t="shared" si="50"/>
        <v>50</v>
      </c>
      <c r="AW298" s="180">
        <f t="shared" si="50"/>
        <v>50</v>
      </c>
      <c r="AX298" s="180">
        <f t="shared" si="50"/>
        <v>50</v>
      </c>
      <c r="AY298" s="180">
        <f t="shared" si="50"/>
        <v>50</v>
      </c>
      <c r="AZ298" s="180">
        <f t="shared" si="50"/>
        <v>50</v>
      </c>
      <c r="BA298" s="180">
        <f t="shared" si="50"/>
        <v>50</v>
      </c>
      <c r="BB298" s="180">
        <f t="shared" si="50"/>
        <v>50</v>
      </c>
      <c r="BC298" s="180">
        <f t="shared" si="50"/>
        <v>50</v>
      </c>
      <c r="BD298" s="180">
        <f t="shared" si="50"/>
        <v>50</v>
      </c>
      <c r="BE298" s="180">
        <f t="shared" si="50"/>
        <v>50</v>
      </c>
      <c r="BF298" s="180">
        <f t="shared" si="50"/>
        <v>50</v>
      </c>
      <c r="BG298" s="180">
        <f t="shared" si="50"/>
        <v>50</v>
      </c>
      <c r="BH298" s="180">
        <f t="shared" si="50"/>
        <v>50</v>
      </c>
      <c r="BI298" s="180">
        <f t="shared" si="50"/>
        <v>50</v>
      </c>
      <c r="BJ298" s="180">
        <f t="shared" si="50"/>
        <v>50</v>
      </c>
      <c r="BK298" s="180">
        <f t="shared" si="50"/>
        <v>50</v>
      </c>
      <c r="BL298" s="180">
        <f t="shared" si="50"/>
        <v>50</v>
      </c>
      <c r="BM298" s="180">
        <f t="shared" si="50"/>
        <v>50</v>
      </c>
      <c r="BN298" s="180">
        <f t="shared" si="50"/>
        <v>50</v>
      </c>
      <c r="BO298" s="180">
        <f t="shared" si="50"/>
        <v>50</v>
      </c>
      <c r="BP298" s="180">
        <f t="shared" ref="BP298:CZ298" si="51">BP238</f>
        <v>50</v>
      </c>
      <c r="BQ298" s="180">
        <f t="shared" si="51"/>
        <v>50</v>
      </c>
      <c r="BR298" s="180">
        <f t="shared" si="51"/>
        <v>50</v>
      </c>
      <c r="BS298" s="180">
        <f t="shared" si="51"/>
        <v>50</v>
      </c>
      <c r="BT298" s="180">
        <f t="shared" si="51"/>
        <v>50</v>
      </c>
      <c r="BU298" s="180">
        <f t="shared" si="51"/>
        <v>50</v>
      </c>
      <c r="BV298" s="180">
        <f t="shared" si="51"/>
        <v>50</v>
      </c>
      <c r="BW298" s="180">
        <f t="shared" si="51"/>
        <v>50</v>
      </c>
      <c r="BX298" s="180">
        <f t="shared" si="51"/>
        <v>50</v>
      </c>
      <c r="BY298" s="180">
        <f t="shared" si="51"/>
        <v>50</v>
      </c>
      <c r="BZ298" s="180">
        <f t="shared" si="51"/>
        <v>50</v>
      </c>
      <c r="CA298" s="180">
        <f t="shared" si="51"/>
        <v>50</v>
      </c>
      <c r="CB298" s="180">
        <f t="shared" si="51"/>
        <v>50</v>
      </c>
      <c r="CC298" s="180">
        <f t="shared" si="51"/>
        <v>50</v>
      </c>
      <c r="CD298" s="180">
        <f t="shared" si="51"/>
        <v>50</v>
      </c>
      <c r="CE298" s="180">
        <f t="shared" si="51"/>
        <v>50</v>
      </c>
      <c r="CF298" s="180">
        <f t="shared" si="51"/>
        <v>50</v>
      </c>
      <c r="CG298" s="180">
        <f t="shared" si="51"/>
        <v>50</v>
      </c>
      <c r="CH298" s="180">
        <f t="shared" si="51"/>
        <v>50</v>
      </c>
      <c r="CI298" s="180">
        <f t="shared" si="51"/>
        <v>50</v>
      </c>
      <c r="CJ298" s="180">
        <f t="shared" si="51"/>
        <v>50</v>
      </c>
      <c r="CK298" s="180">
        <f t="shared" si="51"/>
        <v>50</v>
      </c>
      <c r="CL298" s="180">
        <f t="shared" si="51"/>
        <v>0</v>
      </c>
      <c r="CM298" s="180">
        <f t="shared" si="51"/>
        <v>0</v>
      </c>
      <c r="CN298" s="180">
        <f t="shared" si="51"/>
        <v>0</v>
      </c>
      <c r="CO298" s="180">
        <f t="shared" si="51"/>
        <v>0</v>
      </c>
      <c r="CP298" s="180">
        <f t="shared" si="51"/>
        <v>0</v>
      </c>
      <c r="CQ298" s="180">
        <f t="shared" si="51"/>
        <v>0</v>
      </c>
      <c r="CR298" s="180">
        <f t="shared" si="51"/>
        <v>0</v>
      </c>
      <c r="CS298" s="180">
        <f t="shared" si="51"/>
        <v>0</v>
      </c>
      <c r="CT298" s="180">
        <f t="shared" si="51"/>
        <v>0</v>
      </c>
      <c r="CU298" s="180">
        <f t="shared" si="51"/>
        <v>0</v>
      </c>
      <c r="CV298" s="180">
        <f t="shared" si="51"/>
        <v>0</v>
      </c>
      <c r="CW298" s="180">
        <f t="shared" si="51"/>
        <v>0</v>
      </c>
      <c r="CX298" s="180">
        <f t="shared" si="51"/>
        <v>0</v>
      </c>
      <c r="CY298" s="180">
        <f t="shared" si="51"/>
        <v>0</v>
      </c>
      <c r="CZ298" s="180">
        <f t="shared" si="51"/>
        <v>0</v>
      </c>
    </row>
    <row r="299" spans="1:104" x14ac:dyDescent="0.3">
      <c r="A299" s="155">
        <v>999</v>
      </c>
      <c r="B299" s="180"/>
      <c r="C299" s="180">
        <v>239</v>
      </c>
      <c r="D299" s="180">
        <f t="shared" ref="D299:AI299" si="52">D239</f>
        <v>50508</v>
      </c>
      <c r="E299" s="180">
        <f t="shared" si="52"/>
        <v>50465</v>
      </c>
      <c r="F299" s="180">
        <f t="shared" si="52"/>
        <v>50060</v>
      </c>
      <c r="G299" s="180">
        <f t="shared" si="52"/>
        <v>50061</v>
      </c>
      <c r="H299" s="180">
        <f t="shared" si="52"/>
        <v>50062</v>
      </c>
      <c r="I299" s="180">
        <f t="shared" si="52"/>
        <v>50063</v>
      </c>
      <c r="J299" s="180">
        <f t="shared" si="52"/>
        <v>50064</v>
      </c>
      <c r="K299" s="180">
        <f t="shared" si="52"/>
        <v>50065</v>
      </c>
      <c r="L299" s="180">
        <f t="shared" si="52"/>
        <v>50551</v>
      </c>
      <c r="M299" s="180">
        <f t="shared" si="52"/>
        <v>50066</v>
      </c>
      <c r="N299" s="180">
        <f t="shared" si="52"/>
        <v>50067</v>
      </c>
      <c r="O299" s="180">
        <f t="shared" si="52"/>
        <v>50068</v>
      </c>
      <c r="P299" s="180">
        <f t="shared" si="52"/>
        <v>50466</v>
      </c>
      <c r="Q299" s="180">
        <f t="shared" si="52"/>
        <v>50069</v>
      </c>
      <c r="R299" s="180">
        <f t="shared" si="52"/>
        <v>50450</v>
      </c>
      <c r="S299" s="180">
        <f t="shared" si="52"/>
        <v>50070</v>
      </c>
      <c r="T299" s="180">
        <f t="shared" si="52"/>
        <v>50509</v>
      </c>
      <c r="U299" s="180">
        <f t="shared" si="52"/>
        <v>50539</v>
      </c>
      <c r="V299" s="180">
        <f t="shared" si="52"/>
        <v>50467</v>
      </c>
      <c r="W299" s="180">
        <f t="shared" si="52"/>
        <v>50072</v>
      </c>
      <c r="X299" s="180">
        <f t="shared" si="52"/>
        <v>50074</v>
      </c>
      <c r="Y299" s="180">
        <f t="shared" si="52"/>
        <v>50075</v>
      </c>
      <c r="Z299" s="180">
        <f t="shared" si="52"/>
        <v>50076</v>
      </c>
      <c r="AA299" s="180">
        <f t="shared" si="52"/>
        <v>50510</v>
      </c>
      <c r="AB299" s="180">
        <f t="shared" si="52"/>
        <v>50077</v>
      </c>
      <c r="AC299" s="180">
        <f t="shared" si="52"/>
        <v>50078</v>
      </c>
      <c r="AD299" s="180">
        <f t="shared" si="52"/>
        <v>50079</v>
      </c>
      <c r="AE299" s="180">
        <f t="shared" si="52"/>
        <v>50080</v>
      </c>
      <c r="AF299" s="180">
        <f t="shared" si="52"/>
        <v>50081</v>
      </c>
      <c r="AG299" s="180">
        <f t="shared" si="52"/>
        <v>50502</v>
      </c>
      <c r="AH299" s="180">
        <f t="shared" si="52"/>
        <v>50082</v>
      </c>
      <c r="AI299" s="180">
        <f t="shared" si="52"/>
        <v>50083</v>
      </c>
      <c r="AJ299" s="180">
        <f t="shared" ref="AJ299:BO299" si="53">AJ239</f>
        <v>50084</v>
      </c>
      <c r="AK299" s="180">
        <f t="shared" si="53"/>
        <v>50085</v>
      </c>
      <c r="AL299" s="180">
        <f t="shared" si="53"/>
        <v>50468</v>
      </c>
      <c r="AM299" s="180">
        <f t="shared" si="53"/>
        <v>50086</v>
      </c>
      <c r="AN299" s="180">
        <f t="shared" si="53"/>
        <v>50087</v>
      </c>
      <c r="AO299" s="180">
        <f t="shared" si="53"/>
        <v>50088</v>
      </c>
      <c r="AP299" s="180">
        <f t="shared" si="53"/>
        <v>50089</v>
      </c>
      <c r="AQ299" s="180">
        <f t="shared" si="53"/>
        <v>50090</v>
      </c>
      <c r="AR299" s="180">
        <f t="shared" si="53"/>
        <v>50091</v>
      </c>
      <c r="AS299" s="180">
        <f t="shared" si="53"/>
        <v>50511</v>
      </c>
      <c r="AT299" s="180">
        <f t="shared" si="53"/>
        <v>50092</v>
      </c>
      <c r="AU299" s="180">
        <f t="shared" si="53"/>
        <v>50093</v>
      </c>
      <c r="AV299" s="180">
        <f t="shared" si="53"/>
        <v>50512</v>
      </c>
      <c r="AW299" s="180">
        <f t="shared" si="53"/>
        <v>50094</v>
      </c>
      <c r="AX299" s="180">
        <f t="shared" si="53"/>
        <v>50095</v>
      </c>
      <c r="AY299" s="180">
        <f t="shared" si="53"/>
        <v>50096</v>
      </c>
      <c r="AZ299" s="180">
        <f t="shared" si="53"/>
        <v>50097</v>
      </c>
      <c r="BA299" s="180">
        <f t="shared" si="53"/>
        <v>50098</v>
      </c>
      <c r="BB299" s="180">
        <f t="shared" si="53"/>
        <v>50099</v>
      </c>
      <c r="BC299" s="180">
        <f t="shared" si="53"/>
        <v>50100</v>
      </c>
      <c r="BD299" s="180">
        <f t="shared" si="53"/>
        <v>50101</v>
      </c>
      <c r="BE299" s="180">
        <f t="shared" si="53"/>
        <v>50102</v>
      </c>
      <c r="BF299" s="180">
        <f t="shared" si="53"/>
        <v>50103</v>
      </c>
      <c r="BG299" s="180">
        <f t="shared" si="53"/>
        <v>50104</v>
      </c>
      <c r="BH299" s="180">
        <f t="shared" si="53"/>
        <v>50513</v>
      </c>
      <c r="BI299" s="180">
        <f t="shared" si="53"/>
        <v>50105</v>
      </c>
      <c r="BJ299" s="180">
        <f t="shared" si="53"/>
        <v>50460</v>
      </c>
      <c r="BK299" s="180">
        <f t="shared" si="53"/>
        <v>50106</v>
      </c>
      <c r="BL299" s="180">
        <f t="shared" si="53"/>
        <v>50107</v>
      </c>
      <c r="BM299" s="180">
        <f t="shared" si="53"/>
        <v>50108</v>
      </c>
      <c r="BN299" s="180">
        <f t="shared" si="53"/>
        <v>50559</v>
      </c>
      <c r="BO299" s="180">
        <f t="shared" si="53"/>
        <v>50109</v>
      </c>
      <c r="BP299" s="180">
        <f t="shared" ref="BP299:CZ299" si="54">BP239</f>
        <v>50110</v>
      </c>
      <c r="BQ299" s="180">
        <f t="shared" si="54"/>
        <v>50472</v>
      </c>
      <c r="BR299" s="180">
        <f t="shared" si="54"/>
        <v>50461</v>
      </c>
      <c r="BS299" s="180">
        <f t="shared" si="54"/>
        <v>50111</v>
      </c>
      <c r="BT299" s="180">
        <f t="shared" si="54"/>
        <v>50112</v>
      </c>
      <c r="BU299" s="180">
        <f t="shared" si="54"/>
        <v>50113</v>
      </c>
      <c r="BV299" s="180">
        <f t="shared" si="54"/>
        <v>50568</v>
      </c>
      <c r="BW299" s="180">
        <f t="shared" si="54"/>
        <v>50114</v>
      </c>
      <c r="BX299" s="180">
        <f t="shared" si="54"/>
        <v>50115</v>
      </c>
      <c r="BY299" s="180">
        <f t="shared" si="54"/>
        <v>50116</v>
      </c>
      <c r="BZ299" s="180">
        <f t="shared" si="54"/>
        <v>50117</v>
      </c>
      <c r="CA299" s="180">
        <f t="shared" si="54"/>
        <v>50119</v>
      </c>
      <c r="CB299" s="180">
        <f t="shared" si="54"/>
        <v>50118</v>
      </c>
      <c r="CC299" s="180">
        <f t="shared" si="54"/>
        <v>50120</v>
      </c>
      <c r="CD299" s="180">
        <f t="shared" si="54"/>
        <v>50121</v>
      </c>
      <c r="CE299" s="180">
        <f t="shared" si="54"/>
        <v>50122</v>
      </c>
      <c r="CF299" s="180">
        <f t="shared" si="54"/>
        <v>50123</v>
      </c>
      <c r="CG299" s="180">
        <f t="shared" si="54"/>
        <v>50124</v>
      </c>
      <c r="CH299" s="180">
        <f t="shared" si="54"/>
        <v>50125</v>
      </c>
      <c r="CI299" s="180">
        <f t="shared" si="54"/>
        <v>50126</v>
      </c>
      <c r="CJ299" s="180">
        <f t="shared" si="54"/>
        <v>50127</v>
      </c>
      <c r="CK299" s="180">
        <f t="shared" si="54"/>
        <v>50128</v>
      </c>
      <c r="CL299" s="180">
        <f t="shared" si="54"/>
        <v>0</v>
      </c>
      <c r="CM299" s="180">
        <f t="shared" si="54"/>
        <v>0</v>
      </c>
      <c r="CN299" s="180">
        <f t="shared" si="54"/>
        <v>0</v>
      </c>
      <c r="CO299" s="180">
        <f t="shared" si="54"/>
        <v>0</v>
      </c>
      <c r="CP299" s="180">
        <f t="shared" si="54"/>
        <v>0</v>
      </c>
      <c r="CQ299" s="180">
        <f t="shared" si="54"/>
        <v>0</v>
      </c>
      <c r="CR299" s="180">
        <f t="shared" si="54"/>
        <v>0</v>
      </c>
      <c r="CS299" s="180">
        <f t="shared" si="54"/>
        <v>0</v>
      </c>
      <c r="CT299" s="180">
        <f t="shared" si="54"/>
        <v>0</v>
      </c>
      <c r="CU299" s="180">
        <f t="shared" si="54"/>
        <v>0</v>
      </c>
      <c r="CV299" s="180">
        <f t="shared" si="54"/>
        <v>0</v>
      </c>
      <c r="CW299" s="180">
        <f t="shared" si="54"/>
        <v>0</v>
      </c>
      <c r="CX299" s="180">
        <f t="shared" si="54"/>
        <v>0</v>
      </c>
      <c r="CY299" s="180">
        <f t="shared" si="54"/>
        <v>0</v>
      </c>
      <c r="CZ299" s="180">
        <f t="shared" si="54"/>
        <v>0</v>
      </c>
    </row>
    <row r="300" spans="1:104" x14ac:dyDescent="0.3">
      <c r="A300" s="557">
        <v>554</v>
      </c>
      <c r="B300" s="180"/>
      <c r="C300" s="180">
        <v>144</v>
      </c>
      <c r="D300" s="554">
        <f t="shared" ref="D300:AI300" si="55">D144</f>
        <v>0</v>
      </c>
      <c r="E300" s="554">
        <f t="shared" si="55"/>
        <v>0</v>
      </c>
      <c r="F300" s="554">
        <f t="shared" si="55"/>
        <v>0</v>
      </c>
      <c r="G300" s="554">
        <f t="shared" si="55"/>
        <v>0</v>
      </c>
      <c r="H300" s="554">
        <f t="shared" si="55"/>
        <v>0</v>
      </c>
      <c r="I300" s="554">
        <f t="shared" si="55"/>
        <v>2252574</v>
      </c>
      <c r="J300" s="554">
        <f t="shared" si="55"/>
        <v>86558</v>
      </c>
      <c r="K300" s="554">
        <f t="shared" si="55"/>
        <v>0</v>
      </c>
      <c r="L300" s="554">
        <f t="shared" si="55"/>
        <v>0</v>
      </c>
      <c r="M300" s="554">
        <f t="shared" si="55"/>
        <v>1073946</v>
      </c>
      <c r="N300" s="554">
        <f t="shared" si="55"/>
        <v>0</v>
      </c>
      <c r="O300" s="554">
        <f t="shared" si="55"/>
        <v>6969731</v>
      </c>
      <c r="P300" s="554">
        <f t="shared" si="55"/>
        <v>0</v>
      </c>
      <c r="Q300" s="554">
        <f t="shared" si="55"/>
        <v>0</v>
      </c>
      <c r="R300" s="554">
        <f t="shared" si="55"/>
        <v>0</v>
      </c>
      <c r="S300" s="554">
        <f t="shared" si="55"/>
        <v>0</v>
      </c>
      <c r="T300" s="554">
        <f t="shared" si="55"/>
        <v>25000</v>
      </c>
      <c r="U300" s="554">
        <f t="shared" si="55"/>
        <v>0</v>
      </c>
      <c r="V300" s="554">
        <f t="shared" si="55"/>
        <v>0</v>
      </c>
      <c r="W300" s="554">
        <f t="shared" si="55"/>
        <v>0</v>
      </c>
      <c r="X300" s="554">
        <f t="shared" si="55"/>
        <v>17499741</v>
      </c>
      <c r="Y300" s="554">
        <f t="shared" si="55"/>
        <v>277143681</v>
      </c>
      <c r="Z300" s="554">
        <f t="shared" si="55"/>
        <v>967565</v>
      </c>
      <c r="AA300" s="554">
        <f t="shared" si="55"/>
        <v>0</v>
      </c>
      <c r="AB300" s="554">
        <f t="shared" si="55"/>
        <v>0</v>
      </c>
      <c r="AC300" s="554">
        <f t="shared" si="55"/>
        <v>0</v>
      </c>
      <c r="AD300" s="554">
        <f t="shared" si="55"/>
        <v>0</v>
      </c>
      <c r="AE300" s="554">
        <f t="shared" si="55"/>
        <v>0</v>
      </c>
      <c r="AF300" s="554">
        <f t="shared" si="55"/>
        <v>0</v>
      </c>
      <c r="AG300" s="554">
        <f t="shared" si="55"/>
        <v>1364283</v>
      </c>
      <c r="AH300" s="554">
        <f t="shared" si="55"/>
        <v>0</v>
      </c>
      <c r="AI300" s="554">
        <f t="shared" si="55"/>
        <v>0</v>
      </c>
      <c r="AJ300" s="554">
        <f t="shared" ref="AJ300:BO300" si="56">AJ144</f>
        <v>0</v>
      </c>
      <c r="AK300" s="554">
        <f t="shared" si="56"/>
        <v>0</v>
      </c>
      <c r="AL300" s="554">
        <f t="shared" si="56"/>
        <v>0</v>
      </c>
      <c r="AM300" s="554">
        <f t="shared" si="56"/>
        <v>0</v>
      </c>
      <c r="AN300" s="554">
        <f t="shared" si="56"/>
        <v>0</v>
      </c>
      <c r="AO300" s="554">
        <f t="shared" si="56"/>
        <v>0</v>
      </c>
      <c r="AP300" s="554">
        <f t="shared" si="56"/>
        <v>0</v>
      </c>
      <c r="AQ300" s="554">
        <f t="shared" si="56"/>
        <v>19001486</v>
      </c>
      <c r="AR300" s="554">
        <f t="shared" si="56"/>
        <v>0</v>
      </c>
      <c r="AS300" s="554">
        <f t="shared" si="56"/>
        <v>0</v>
      </c>
      <c r="AT300" s="554">
        <f t="shared" si="56"/>
        <v>2642156</v>
      </c>
      <c r="AU300" s="554">
        <f t="shared" si="56"/>
        <v>0</v>
      </c>
      <c r="AV300" s="554">
        <f t="shared" si="56"/>
        <v>0</v>
      </c>
      <c r="AW300" s="554">
        <f t="shared" si="56"/>
        <v>978178</v>
      </c>
      <c r="AX300" s="554">
        <f t="shared" si="56"/>
        <v>0</v>
      </c>
      <c r="AY300" s="554">
        <f t="shared" si="56"/>
        <v>0</v>
      </c>
      <c r="AZ300" s="554">
        <f t="shared" si="56"/>
        <v>0</v>
      </c>
      <c r="BA300" s="554">
        <f t="shared" si="56"/>
        <v>0</v>
      </c>
      <c r="BB300" s="554">
        <f t="shared" si="56"/>
        <v>0</v>
      </c>
      <c r="BC300" s="554">
        <f t="shared" si="56"/>
        <v>0</v>
      </c>
      <c r="BD300" s="554">
        <f t="shared" si="56"/>
        <v>0</v>
      </c>
      <c r="BE300" s="554">
        <f t="shared" si="56"/>
        <v>0</v>
      </c>
      <c r="BF300" s="554">
        <f t="shared" si="56"/>
        <v>0</v>
      </c>
      <c r="BG300" s="554">
        <f t="shared" si="56"/>
        <v>0</v>
      </c>
      <c r="BH300" s="554">
        <f t="shared" si="56"/>
        <v>0</v>
      </c>
      <c r="BI300" s="554">
        <f t="shared" si="56"/>
        <v>0</v>
      </c>
      <c r="BJ300" s="554">
        <f t="shared" si="56"/>
        <v>0</v>
      </c>
      <c r="BK300" s="554">
        <f t="shared" si="56"/>
        <v>0</v>
      </c>
      <c r="BL300" s="554">
        <f t="shared" si="56"/>
        <v>0</v>
      </c>
      <c r="BM300" s="554">
        <f t="shared" si="56"/>
        <v>0</v>
      </c>
      <c r="BN300" s="554">
        <f t="shared" si="56"/>
        <v>0</v>
      </c>
      <c r="BO300" s="554">
        <f t="shared" si="56"/>
        <v>492449</v>
      </c>
      <c r="BP300" s="554">
        <f t="shared" ref="BP300:CZ300" si="57">BP144</f>
        <v>44984580</v>
      </c>
      <c r="BQ300" s="554">
        <f t="shared" si="57"/>
        <v>0</v>
      </c>
      <c r="BR300" s="554">
        <f t="shared" si="57"/>
        <v>0</v>
      </c>
      <c r="BS300" s="554">
        <f t="shared" si="57"/>
        <v>0</v>
      </c>
      <c r="BT300" s="554">
        <f t="shared" si="57"/>
        <v>0</v>
      </c>
      <c r="BU300" s="554">
        <f t="shared" si="57"/>
        <v>0</v>
      </c>
      <c r="BV300" s="554">
        <f t="shared" si="57"/>
        <v>0</v>
      </c>
      <c r="BW300" s="554">
        <f t="shared" si="57"/>
        <v>761731</v>
      </c>
      <c r="BX300" s="554">
        <f t="shared" si="57"/>
        <v>894820</v>
      </c>
      <c r="BY300" s="554">
        <f t="shared" si="57"/>
        <v>0</v>
      </c>
      <c r="BZ300" s="554">
        <f t="shared" si="57"/>
        <v>2713896</v>
      </c>
      <c r="CA300" s="554">
        <f t="shared" si="57"/>
        <v>0</v>
      </c>
      <c r="CB300" s="554">
        <f t="shared" si="57"/>
        <v>953466</v>
      </c>
      <c r="CC300" s="554">
        <f t="shared" si="57"/>
        <v>0</v>
      </c>
      <c r="CD300" s="554">
        <f t="shared" si="57"/>
        <v>0</v>
      </c>
      <c r="CE300" s="554">
        <f t="shared" si="57"/>
        <v>0</v>
      </c>
      <c r="CF300" s="554">
        <f t="shared" si="57"/>
        <v>0</v>
      </c>
      <c r="CG300" s="554">
        <f t="shared" si="57"/>
        <v>816961</v>
      </c>
      <c r="CH300" s="554">
        <f t="shared" si="57"/>
        <v>1265742</v>
      </c>
      <c r="CI300" s="554">
        <f t="shared" si="57"/>
        <v>0</v>
      </c>
      <c r="CJ300" s="554">
        <f t="shared" si="57"/>
        <v>0</v>
      </c>
      <c r="CK300" s="554">
        <f t="shared" si="57"/>
        <v>0</v>
      </c>
      <c r="CL300" s="554">
        <f t="shared" si="57"/>
        <v>0</v>
      </c>
      <c r="CM300" s="554">
        <f t="shared" si="57"/>
        <v>0</v>
      </c>
      <c r="CN300" s="554">
        <f t="shared" si="57"/>
        <v>0</v>
      </c>
      <c r="CO300" s="554">
        <f t="shared" si="57"/>
        <v>0</v>
      </c>
      <c r="CP300" s="554">
        <f t="shared" si="57"/>
        <v>0</v>
      </c>
      <c r="CQ300" s="554">
        <f t="shared" si="57"/>
        <v>0</v>
      </c>
      <c r="CR300" s="554">
        <f t="shared" si="57"/>
        <v>0</v>
      </c>
      <c r="CS300" s="554">
        <f t="shared" si="57"/>
        <v>0</v>
      </c>
      <c r="CT300" s="554">
        <f t="shared" si="57"/>
        <v>0</v>
      </c>
      <c r="CU300" s="554">
        <f t="shared" si="57"/>
        <v>0</v>
      </c>
      <c r="CV300" s="554">
        <f t="shared" si="57"/>
        <v>0</v>
      </c>
      <c r="CW300" s="554">
        <f t="shared" si="57"/>
        <v>0</v>
      </c>
      <c r="CX300" s="554">
        <f t="shared" si="57"/>
        <v>0</v>
      </c>
      <c r="CY300" s="554">
        <f t="shared" si="57"/>
        <v>0</v>
      </c>
      <c r="CZ300" s="554">
        <f t="shared" si="57"/>
        <v>0</v>
      </c>
    </row>
    <row r="301" spans="1:104" x14ac:dyDescent="0.3">
      <c r="A301" s="557">
        <v>555</v>
      </c>
      <c r="B301" s="180"/>
      <c r="C301" s="180">
        <v>145</v>
      </c>
      <c r="D301" s="554">
        <f t="shared" ref="D301:AI301" si="58">D145</f>
        <v>0</v>
      </c>
      <c r="E301" s="554">
        <f t="shared" si="58"/>
        <v>0</v>
      </c>
      <c r="F301" s="554">
        <f t="shared" si="58"/>
        <v>0</v>
      </c>
      <c r="G301" s="554">
        <f t="shared" si="58"/>
        <v>0</v>
      </c>
      <c r="H301" s="554">
        <f t="shared" si="58"/>
        <v>0</v>
      </c>
      <c r="I301" s="554">
        <f t="shared" si="58"/>
        <v>1559885</v>
      </c>
      <c r="J301" s="554">
        <f t="shared" si="58"/>
        <v>0</v>
      </c>
      <c r="K301" s="554">
        <f t="shared" si="58"/>
        <v>0</v>
      </c>
      <c r="L301" s="554">
        <f t="shared" si="58"/>
        <v>0</v>
      </c>
      <c r="M301" s="554">
        <f t="shared" si="58"/>
        <v>703066</v>
      </c>
      <c r="N301" s="554">
        <f t="shared" si="58"/>
        <v>0</v>
      </c>
      <c r="O301" s="554">
        <f t="shared" si="58"/>
        <v>3847196</v>
      </c>
      <c r="P301" s="554">
        <f t="shared" si="58"/>
        <v>0</v>
      </c>
      <c r="Q301" s="554">
        <f t="shared" si="58"/>
        <v>0</v>
      </c>
      <c r="R301" s="554">
        <f t="shared" si="58"/>
        <v>0</v>
      </c>
      <c r="S301" s="554">
        <f t="shared" si="58"/>
        <v>0</v>
      </c>
      <c r="T301" s="554">
        <f t="shared" si="58"/>
        <v>0</v>
      </c>
      <c r="U301" s="554">
        <f t="shared" si="58"/>
        <v>0</v>
      </c>
      <c r="V301" s="554">
        <f t="shared" si="58"/>
        <v>0</v>
      </c>
      <c r="W301" s="554">
        <f t="shared" si="58"/>
        <v>0</v>
      </c>
      <c r="X301" s="554">
        <f t="shared" si="58"/>
        <v>13829933</v>
      </c>
      <c r="Y301" s="554">
        <f t="shared" si="58"/>
        <v>250035464</v>
      </c>
      <c r="Z301" s="554">
        <f t="shared" si="58"/>
        <v>967565</v>
      </c>
      <c r="AA301" s="554">
        <f t="shared" si="58"/>
        <v>0</v>
      </c>
      <c r="AB301" s="554">
        <f t="shared" si="58"/>
        <v>0</v>
      </c>
      <c r="AC301" s="554">
        <f t="shared" si="58"/>
        <v>0</v>
      </c>
      <c r="AD301" s="554">
        <f t="shared" si="58"/>
        <v>0</v>
      </c>
      <c r="AE301" s="554">
        <f t="shared" si="58"/>
        <v>0</v>
      </c>
      <c r="AF301" s="554">
        <f t="shared" si="58"/>
        <v>0</v>
      </c>
      <c r="AG301" s="554">
        <f t="shared" si="58"/>
        <v>1044283</v>
      </c>
      <c r="AH301" s="554">
        <f t="shared" si="58"/>
        <v>0</v>
      </c>
      <c r="AI301" s="554">
        <f t="shared" si="58"/>
        <v>0</v>
      </c>
      <c r="AJ301" s="554">
        <f t="shared" ref="AJ301:BO301" si="59">AJ145</f>
        <v>0</v>
      </c>
      <c r="AK301" s="554">
        <f t="shared" si="59"/>
        <v>0</v>
      </c>
      <c r="AL301" s="554">
        <f t="shared" si="59"/>
        <v>0</v>
      </c>
      <c r="AM301" s="554">
        <f t="shared" si="59"/>
        <v>0</v>
      </c>
      <c r="AN301" s="554">
        <f t="shared" si="59"/>
        <v>0</v>
      </c>
      <c r="AO301" s="554">
        <f t="shared" si="59"/>
        <v>0</v>
      </c>
      <c r="AP301" s="554">
        <f t="shared" si="59"/>
        <v>0</v>
      </c>
      <c r="AQ301" s="554">
        <f t="shared" si="59"/>
        <v>9482905</v>
      </c>
      <c r="AR301" s="554">
        <f t="shared" si="59"/>
        <v>0</v>
      </c>
      <c r="AS301" s="554">
        <f t="shared" si="59"/>
        <v>0</v>
      </c>
      <c r="AT301" s="554">
        <f t="shared" si="59"/>
        <v>1360838</v>
      </c>
      <c r="AU301" s="554">
        <f t="shared" si="59"/>
        <v>0</v>
      </c>
      <c r="AV301" s="554">
        <f t="shared" si="59"/>
        <v>0</v>
      </c>
      <c r="AW301" s="554">
        <f t="shared" si="59"/>
        <v>888704</v>
      </c>
      <c r="AX301" s="554">
        <f t="shared" si="59"/>
        <v>0</v>
      </c>
      <c r="AY301" s="554">
        <f t="shared" si="59"/>
        <v>0</v>
      </c>
      <c r="AZ301" s="554">
        <f t="shared" si="59"/>
        <v>0</v>
      </c>
      <c r="BA301" s="554">
        <f t="shared" si="59"/>
        <v>0</v>
      </c>
      <c r="BB301" s="554">
        <f t="shared" si="59"/>
        <v>0</v>
      </c>
      <c r="BC301" s="554">
        <f t="shared" si="59"/>
        <v>0</v>
      </c>
      <c r="BD301" s="554">
        <f t="shared" si="59"/>
        <v>0</v>
      </c>
      <c r="BE301" s="554">
        <f t="shared" si="59"/>
        <v>0</v>
      </c>
      <c r="BF301" s="554">
        <f t="shared" si="59"/>
        <v>0</v>
      </c>
      <c r="BG301" s="554">
        <f t="shared" si="59"/>
        <v>0</v>
      </c>
      <c r="BH301" s="554">
        <f t="shared" si="59"/>
        <v>0</v>
      </c>
      <c r="BI301" s="554">
        <f t="shared" si="59"/>
        <v>0</v>
      </c>
      <c r="BJ301" s="554">
        <f t="shared" si="59"/>
        <v>0</v>
      </c>
      <c r="BK301" s="554">
        <f t="shared" si="59"/>
        <v>0</v>
      </c>
      <c r="BL301" s="554">
        <f t="shared" si="59"/>
        <v>0</v>
      </c>
      <c r="BM301" s="554">
        <f t="shared" si="59"/>
        <v>0</v>
      </c>
      <c r="BN301" s="554">
        <f t="shared" si="59"/>
        <v>0</v>
      </c>
      <c r="BO301" s="554">
        <f t="shared" si="59"/>
        <v>0</v>
      </c>
      <c r="BP301" s="554">
        <f t="shared" ref="BP301:CZ301" si="60">BP145</f>
        <v>37526367</v>
      </c>
      <c r="BQ301" s="554">
        <f t="shared" si="60"/>
        <v>0</v>
      </c>
      <c r="BR301" s="554">
        <f t="shared" si="60"/>
        <v>0</v>
      </c>
      <c r="BS301" s="554">
        <f t="shared" si="60"/>
        <v>0</v>
      </c>
      <c r="BT301" s="554">
        <f t="shared" si="60"/>
        <v>0</v>
      </c>
      <c r="BU301" s="554">
        <f t="shared" si="60"/>
        <v>0</v>
      </c>
      <c r="BV301" s="554">
        <f t="shared" si="60"/>
        <v>0</v>
      </c>
      <c r="BW301" s="554">
        <f t="shared" si="60"/>
        <v>0</v>
      </c>
      <c r="BX301" s="554">
        <f t="shared" si="60"/>
        <v>378809</v>
      </c>
      <c r="BY301" s="554">
        <f t="shared" si="60"/>
        <v>0</v>
      </c>
      <c r="BZ301" s="554">
        <f t="shared" si="60"/>
        <v>1979164</v>
      </c>
      <c r="CA301" s="554">
        <f t="shared" si="60"/>
        <v>0</v>
      </c>
      <c r="CB301" s="554">
        <f t="shared" si="60"/>
        <v>639148</v>
      </c>
      <c r="CC301" s="554">
        <f t="shared" si="60"/>
        <v>0</v>
      </c>
      <c r="CD301" s="554">
        <f t="shared" si="60"/>
        <v>0</v>
      </c>
      <c r="CE301" s="554">
        <f t="shared" si="60"/>
        <v>0</v>
      </c>
      <c r="CF301" s="554">
        <f t="shared" si="60"/>
        <v>0</v>
      </c>
      <c r="CG301" s="554">
        <f t="shared" si="60"/>
        <v>228167</v>
      </c>
      <c r="CH301" s="554">
        <f t="shared" si="60"/>
        <v>810445</v>
      </c>
      <c r="CI301" s="554">
        <f t="shared" si="60"/>
        <v>0</v>
      </c>
      <c r="CJ301" s="554">
        <f t="shared" si="60"/>
        <v>0</v>
      </c>
      <c r="CK301" s="554">
        <f t="shared" si="60"/>
        <v>0</v>
      </c>
      <c r="CL301" s="554">
        <f t="shared" si="60"/>
        <v>0</v>
      </c>
      <c r="CM301" s="554">
        <f t="shared" si="60"/>
        <v>0</v>
      </c>
      <c r="CN301" s="554">
        <f t="shared" si="60"/>
        <v>0</v>
      </c>
      <c r="CO301" s="554">
        <f t="shared" si="60"/>
        <v>0</v>
      </c>
      <c r="CP301" s="554">
        <f t="shared" si="60"/>
        <v>0</v>
      </c>
      <c r="CQ301" s="554">
        <f t="shared" si="60"/>
        <v>0</v>
      </c>
      <c r="CR301" s="554">
        <f t="shared" si="60"/>
        <v>0</v>
      </c>
      <c r="CS301" s="554">
        <f t="shared" si="60"/>
        <v>0</v>
      </c>
      <c r="CT301" s="554">
        <f t="shared" si="60"/>
        <v>0</v>
      </c>
      <c r="CU301" s="554">
        <f t="shared" si="60"/>
        <v>0</v>
      </c>
      <c r="CV301" s="554">
        <f t="shared" si="60"/>
        <v>0</v>
      </c>
      <c r="CW301" s="554">
        <f t="shared" si="60"/>
        <v>0</v>
      </c>
      <c r="CX301" s="554">
        <f t="shared" si="60"/>
        <v>0</v>
      </c>
      <c r="CY301" s="554">
        <f t="shared" si="60"/>
        <v>0</v>
      </c>
      <c r="CZ301" s="554">
        <f t="shared" si="60"/>
        <v>0</v>
      </c>
    </row>
    <row r="302" spans="1:104" x14ac:dyDescent="0.3">
      <c r="A302" s="557">
        <v>556</v>
      </c>
      <c r="B302" s="180"/>
      <c r="C302" s="180">
        <v>146</v>
      </c>
      <c r="D302" s="554">
        <f t="shared" ref="D302:AI302" si="61">D146</f>
        <v>0</v>
      </c>
      <c r="E302" s="554">
        <f t="shared" si="61"/>
        <v>0</v>
      </c>
      <c r="F302" s="554">
        <f t="shared" si="61"/>
        <v>0</v>
      </c>
      <c r="G302" s="554">
        <f t="shared" si="61"/>
        <v>0</v>
      </c>
      <c r="H302" s="554">
        <f t="shared" si="61"/>
        <v>0</v>
      </c>
      <c r="I302" s="554">
        <f t="shared" si="61"/>
        <v>670192</v>
      </c>
      <c r="J302" s="554">
        <f t="shared" si="61"/>
        <v>224271</v>
      </c>
      <c r="K302" s="554">
        <f t="shared" si="61"/>
        <v>0</v>
      </c>
      <c r="L302" s="554">
        <f t="shared" si="61"/>
        <v>0</v>
      </c>
      <c r="M302" s="554">
        <f t="shared" si="61"/>
        <v>591454</v>
      </c>
      <c r="N302" s="554">
        <f t="shared" si="61"/>
        <v>0</v>
      </c>
      <c r="O302" s="554">
        <f t="shared" si="61"/>
        <v>4371686</v>
      </c>
      <c r="P302" s="554">
        <f t="shared" si="61"/>
        <v>0</v>
      </c>
      <c r="Q302" s="554">
        <f t="shared" si="61"/>
        <v>0</v>
      </c>
      <c r="R302" s="554">
        <f t="shared" si="61"/>
        <v>0</v>
      </c>
      <c r="S302" s="554">
        <f t="shared" si="61"/>
        <v>0</v>
      </c>
      <c r="T302" s="554">
        <f t="shared" si="61"/>
        <v>1097485</v>
      </c>
      <c r="U302" s="554">
        <f t="shared" si="61"/>
        <v>0</v>
      </c>
      <c r="V302" s="554">
        <f t="shared" si="61"/>
        <v>0</v>
      </c>
      <c r="W302" s="554">
        <f t="shared" si="61"/>
        <v>0</v>
      </c>
      <c r="X302" s="554">
        <f t="shared" si="61"/>
        <v>5376253</v>
      </c>
      <c r="Y302" s="554">
        <f t="shared" si="61"/>
        <v>37023164</v>
      </c>
      <c r="Z302" s="554">
        <f t="shared" si="61"/>
        <v>204283</v>
      </c>
      <c r="AA302" s="554">
        <f t="shared" si="61"/>
        <v>0</v>
      </c>
      <c r="AB302" s="554">
        <f t="shared" si="61"/>
        <v>0</v>
      </c>
      <c r="AC302" s="554">
        <f t="shared" si="61"/>
        <v>0</v>
      </c>
      <c r="AD302" s="554">
        <f t="shared" si="61"/>
        <v>0</v>
      </c>
      <c r="AE302" s="554">
        <f t="shared" si="61"/>
        <v>0</v>
      </c>
      <c r="AF302" s="554">
        <f t="shared" si="61"/>
        <v>0</v>
      </c>
      <c r="AG302" s="554">
        <f t="shared" si="61"/>
        <v>1475509</v>
      </c>
      <c r="AH302" s="554">
        <f t="shared" si="61"/>
        <v>0</v>
      </c>
      <c r="AI302" s="554">
        <f t="shared" si="61"/>
        <v>0</v>
      </c>
      <c r="AJ302" s="554">
        <f t="shared" ref="AJ302:BO302" si="62">AJ146</f>
        <v>0</v>
      </c>
      <c r="AK302" s="554">
        <f t="shared" si="62"/>
        <v>0</v>
      </c>
      <c r="AL302" s="554">
        <f t="shared" si="62"/>
        <v>0</v>
      </c>
      <c r="AM302" s="554">
        <f t="shared" si="62"/>
        <v>0</v>
      </c>
      <c r="AN302" s="554">
        <f t="shared" si="62"/>
        <v>0</v>
      </c>
      <c r="AO302" s="554">
        <f t="shared" si="62"/>
        <v>0</v>
      </c>
      <c r="AP302" s="554">
        <f t="shared" si="62"/>
        <v>0</v>
      </c>
      <c r="AQ302" s="554">
        <f t="shared" si="62"/>
        <v>5639892</v>
      </c>
      <c r="AR302" s="554">
        <f t="shared" si="62"/>
        <v>0</v>
      </c>
      <c r="AS302" s="554">
        <f t="shared" si="62"/>
        <v>0</v>
      </c>
      <c r="AT302" s="554">
        <f t="shared" si="62"/>
        <v>6901432</v>
      </c>
      <c r="AU302" s="554">
        <f t="shared" si="62"/>
        <v>0</v>
      </c>
      <c r="AV302" s="554">
        <f t="shared" si="62"/>
        <v>0</v>
      </c>
      <c r="AW302" s="554">
        <f t="shared" si="62"/>
        <v>1537109</v>
      </c>
      <c r="AX302" s="554">
        <f t="shared" si="62"/>
        <v>0</v>
      </c>
      <c r="AY302" s="554">
        <f t="shared" si="62"/>
        <v>0</v>
      </c>
      <c r="AZ302" s="554">
        <f t="shared" si="62"/>
        <v>0</v>
      </c>
      <c r="BA302" s="554">
        <f t="shared" si="62"/>
        <v>0</v>
      </c>
      <c r="BB302" s="554">
        <f t="shared" si="62"/>
        <v>0</v>
      </c>
      <c r="BC302" s="554">
        <f t="shared" si="62"/>
        <v>0</v>
      </c>
      <c r="BD302" s="554">
        <f t="shared" si="62"/>
        <v>0</v>
      </c>
      <c r="BE302" s="554">
        <f t="shared" si="62"/>
        <v>0</v>
      </c>
      <c r="BF302" s="554">
        <f t="shared" si="62"/>
        <v>0</v>
      </c>
      <c r="BG302" s="554">
        <f t="shared" si="62"/>
        <v>0</v>
      </c>
      <c r="BH302" s="554">
        <f t="shared" si="62"/>
        <v>0</v>
      </c>
      <c r="BI302" s="554">
        <f t="shared" si="62"/>
        <v>0</v>
      </c>
      <c r="BJ302" s="554">
        <f t="shared" si="62"/>
        <v>0</v>
      </c>
      <c r="BK302" s="554">
        <f t="shared" si="62"/>
        <v>0</v>
      </c>
      <c r="BL302" s="554">
        <f t="shared" si="62"/>
        <v>0</v>
      </c>
      <c r="BM302" s="554">
        <f t="shared" si="62"/>
        <v>0</v>
      </c>
      <c r="BN302" s="554">
        <f t="shared" si="62"/>
        <v>0</v>
      </c>
      <c r="BO302" s="554">
        <f t="shared" si="62"/>
        <v>671459</v>
      </c>
      <c r="BP302" s="554">
        <f t="shared" ref="BP302:CZ302" si="63">BP146</f>
        <v>12035130</v>
      </c>
      <c r="BQ302" s="554">
        <f t="shared" si="63"/>
        <v>0</v>
      </c>
      <c r="BR302" s="554">
        <f t="shared" si="63"/>
        <v>0</v>
      </c>
      <c r="BS302" s="554">
        <f t="shared" si="63"/>
        <v>0</v>
      </c>
      <c r="BT302" s="554">
        <f t="shared" si="63"/>
        <v>0</v>
      </c>
      <c r="BU302" s="554">
        <f t="shared" si="63"/>
        <v>0</v>
      </c>
      <c r="BV302" s="554">
        <f t="shared" si="63"/>
        <v>0</v>
      </c>
      <c r="BW302" s="554">
        <f t="shared" si="63"/>
        <v>4558010</v>
      </c>
      <c r="BX302" s="554">
        <f t="shared" si="63"/>
        <v>906674</v>
      </c>
      <c r="BY302" s="554">
        <f t="shared" si="63"/>
        <v>0</v>
      </c>
      <c r="BZ302" s="554">
        <f t="shared" si="63"/>
        <v>1465738</v>
      </c>
      <c r="CA302" s="554">
        <f t="shared" si="63"/>
        <v>0</v>
      </c>
      <c r="CB302" s="554">
        <f t="shared" si="63"/>
        <v>193075</v>
      </c>
      <c r="CC302" s="554">
        <f t="shared" si="63"/>
        <v>0</v>
      </c>
      <c r="CD302" s="554">
        <f t="shared" si="63"/>
        <v>0</v>
      </c>
      <c r="CE302" s="554">
        <f t="shared" si="63"/>
        <v>0</v>
      </c>
      <c r="CF302" s="554">
        <f t="shared" si="63"/>
        <v>0</v>
      </c>
      <c r="CG302" s="554">
        <f t="shared" si="63"/>
        <v>341498</v>
      </c>
      <c r="CH302" s="554">
        <f t="shared" si="63"/>
        <v>1186357</v>
      </c>
      <c r="CI302" s="554">
        <f t="shared" si="63"/>
        <v>0</v>
      </c>
      <c r="CJ302" s="554">
        <f t="shared" si="63"/>
        <v>0</v>
      </c>
      <c r="CK302" s="554">
        <f t="shared" si="63"/>
        <v>0</v>
      </c>
      <c r="CL302" s="554">
        <f t="shared" si="63"/>
        <v>0</v>
      </c>
      <c r="CM302" s="554">
        <f t="shared" si="63"/>
        <v>0</v>
      </c>
      <c r="CN302" s="554">
        <f t="shared" si="63"/>
        <v>0</v>
      </c>
      <c r="CO302" s="554">
        <f t="shared" si="63"/>
        <v>0</v>
      </c>
      <c r="CP302" s="554">
        <f t="shared" si="63"/>
        <v>0</v>
      </c>
      <c r="CQ302" s="554">
        <f t="shared" si="63"/>
        <v>0</v>
      </c>
      <c r="CR302" s="554">
        <f t="shared" si="63"/>
        <v>0</v>
      </c>
      <c r="CS302" s="554">
        <f t="shared" si="63"/>
        <v>0</v>
      </c>
      <c r="CT302" s="554">
        <f t="shared" si="63"/>
        <v>0</v>
      </c>
      <c r="CU302" s="554">
        <f t="shared" si="63"/>
        <v>0</v>
      </c>
      <c r="CV302" s="554">
        <f t="shared" si="63"/>
        <v>0</v>
      </c>
      <c r="CW302" s="554">
        <f t="shared" si="63"/>
        <v>0</v>
      </c>
      <c r="CX302" s="554">
        <f t="shared" si="63"/>
        <v>0</v>
      </c>
      <c r="CY302" s="554">
        <f t="shared" si="63"/>
        <v>0</v>
      </c>
      <c r="CZ302" s="554">
        <f t="shared" si="63"/>
        <v>0</v>
      </c>
    </row>
    <row r="303" spans="1:104" x14ac:dyDescent="0.3">
      <c r="A303" s="557">
        <v>557</v>
      </c>
      <c r="B303" s="180"/>
      <c r="C303" s="180">
        <v>147</v>
      </c>
      <c r="D303" s="554">
        <f t="shared" ref="D303:AI303" si="64">D147</f>
        <v>0</v>
      </c>
      <c r="E303" s="554">
        <f t="shared" si="64"/>
        <v>0</v>
      </c>
      <c r="F303" s="554">
        <f t="shared" si="64"/>
        <v>0</v>
      </c>
      <c r="G303" s="554">
        <f t="shared" si="64"/>
        <v>0</v>
      </c>
      <c r="H303" s="554">
        <f t="shared" si="64"/>
        <v>0</v>
      </c>
      <c r="I303" s="554">
        <f t="shared" si="64"/>
        <v>542692</v>
      </c>
      <c r="J303" s="554">
        <f t="shared" si="64"/>
        <v>79829</v>
      </c>
      <c r="K303" s="554">
        <f t="shared" si="64"/>
        <v>0</v>
      </c>
      <c r="L303" s="554">
        <f t="shared" si="64"/>
        <v>0</v>
      </c>
      <c r="M303" s="554">
        <f t="shared" si="64"/>
        <v>563454</v>
      </c>
      <c r="N303" s="554">
        <f t="shared" si="64"/>
        <v>0</v>
      </c>
      <c r="O303" s="554">
        <f t="shared" si="64"/>
        <v>4106608</v>
      </c>
      <c r="P303" s="554">
        <f t="shared" si="64"/>
        <v>0</v>
      </c>
      <c r="Q303" s="554">
        <f t="shared" si="64"/>
        <v>0</v>
      </c>
      <c r="R303" s="554">
        <f t="shared" si="64"/>
        <v>0</v>
      </c>
      <c r="S303" s="554">
        <f t="shared" si="64"/>
        <v>0</v>
      </c>
      <c r="T303" s="554">
        <f t="shared" si="64"/>
        <v>1011756</v>
      </c>
      <c r="U303" s="554">
        <f t="shared" si="64"/>
        <v>0</v>
      </c>
      <c r="V303" s="554">
        <f t="shared" si="64"/>
        <v>0</v>
      </c>
      <c r="W303" s="554">
        <f t="shared" si="64"/>
        <v>0</v>
      </c>
      <c r="X303" s="554">
        <f t="shared" si="64"/>
        <v>3631704</v>
      </c>
      <c r="Y303" s="554">
        <f t="shared" si="64"/>
        <v>17399558</v>
      </c>
      <c r="Z303" s="554">
        <f t="shared" si="64"/>
        <v>0</v>
      </c>
      <c r="AA303" s="554">
        <f t="shared" si="64"/>
        <v>0</v>
      </c>
      <c r="AB303" s="554">
        <f t="shared" si="64"/>
        <v>0</v>
      </c>
      <c r="AC303" s="554">
        <f t="shared" si="64"/>
        <v>0</v>
      </c>
      <c r="AD303" s="554">
        <f t="shared" si="64"/>
        <v>0</v>
      </c>
      <c r="AE303" s="554">
        <f t="shared" si="64"/>
        <v>0</v>
      </c>
      <c r="AF303" s="554">
        <f t="shared" si="64"/>
        <v>0</v>
      </c>
      <c r="AG303" s="554">
        <f t="shared" si="64"/>
        <v>1475509</v>
      </c>
      <c r="AH303" s="554">
        <f t="shared" si="64"/>
        <v>0</v>
      </c>
      <c r="AI303" s="554">
        <f t="shared" si="64"/>
        <v>0</v>
      </c>
      <c r="AJ303" s="554">
        <f t="shared" ref="AJ303:BO303" si="65">AJ147</f>
        <v>0</v>
      </c>
      <c r="AK303" s="554">
        <f t="shared" si="65"/>
        <v>0</v>
      </c>
      <c r="AL303" s="554">
        <f t="shared" si="65"/>
        <v>0</v>
      </c>
      <c r="AM303" s="554">
        <f t="shared" si="65"/>
        <v>0</v>
      </c>
      <c r="AN303" s="554">
        <f t="shared" si="65"/>
        <v>0</v>
      </c>
      <c r="AO303" s="554">
        <f t="shared" si="65"/>
        <v>0</v>
      </c>
      <c r="AP303" s="554">
        <f t="shared" si="65"/>
        <v>0</v>
      </c>
      <c r="AQ303" s="554">
        <f t="shared" si="65"/>
        <v>5331036</v>
      </c>
      <c r="AR303" s="554">
        <f t="shared" si="65"/>
        <v>0</v>
      </c>
      <c r="AS303" s="554">
        <f t="shared" si="65"/>
        <v>0</v>
      </c>
      <c r="AT303" s="554">
        <f t="shared" si="65"/>
        <v>6332060</v>
      </c>
      <c r="AU303" s="554">
        <f t="shared" si="65"/>
        <v>0</v>
      </c>
      <c r="AV303" s="554">
        <f t="shared" si="65"/>
        <v>0</v>
      </c>
      <c r="AW303" s="554">
        <f t="shared" si="65"/>
        <v>1377283</v>
      </c>
      <c r="AX303" s="554">
        <f t="shared" si="65"/>
        <v>0</v>
      </c>
      <c r="AY303" s="554">
        <f t="shared" si="65"/>
        <v>0</v>
      </c>
      <c r="AZ303" s="554">
        <f t="shared" si="65"/>
        <v>0</v>
      </c>
      <c r="BA303" s="554">
        <f t="shared" si="65"/>
        <v>0</v>
      </c>
      <c r="BB303" s="554">
        <f t="shared" si="65"/>
        <v>0</v>
      </c>
      <c r="BC303" s="554">
        <f t="shared" si="65"/>
        <v>0</v>
      </c>
      <c r="BD303" s="554">
        <f t="shared" si="65"/>
        <v>0</v>
      </c>
      <c r="BE303" s="554">
        <f t="shared" si="65"/>
        <v>0</v>
      </c>
      <c r="BF303" s="554">
        <f t="shared" si="65"/>
        <v>0</v>
      </c>
      <c r="BG303" s="554">
        <f t="shared" si="65"/>
        <v>0</v>
      </c>
      <c r="BH303" s="554">
        <f t="shared" si="65"/>
        <v>0</v>
      </c>
      <c r="BI303" s="554">
        <f t="shared" si="65"/>
        <v>0</v>
      </c>
      <c r="BJ303" s="554">
        <f t="shared" si="65"/>
        <v>0</v>
      </c>
      <c r="BK303" s="554">
        <f t="shared" si="65"/>
        <v>0</v>
      </c>
      <c r="BL303" s="554">
        <f t="shared" si="65"/>
        <v>0</v>
      </c>
      <c r="BM303" s="554">
        <f t="shared" si="65"/>
        <v>0</v>
      </c>
      <c r="BN303" s="554">
        <f t="shared" si="65"/>
        <v>0</v>
      </c>
      <c r="BO303" s="554">
        <f t="shared" si="65"/>
        <v>335827</v>
      </c>
      <c r="BP303" s="554">
        <f t="shared" ref="BP303:CZ303" si="66">BP147</f>
        <v>11878579</v>
      </c>
      <c r="BQ303" s="554">
        <f t="shared" si="66"/>
        <v>0</v>
      </c>
      <c r="BR303" s="554">
        <f t="shared" si="66"/>
        <v>0</v>
      </c>
      <c r="BS303" s="554">
        <f t="shared" si="66"/>
        <v>0</v>
      </c>
      <c r="BT303" s="554">
        <f t="shared" si="66"/>
        <v>0</v>
      </c>
      <c r="BU303" s="554">
        <f t="shared" si="66"/>
        <v>0</v>
      </c>
      <c r="BV303" s="554">
        <f t="shared" si="66"/>
        <v>0</v>
      </c>
      <c r="BW303" s="554">
        <f t="shared" si="66"/>
        <v>2167012</v>
      </c>
      <c r="BX303" s="554">
        <f t="shared" si="66"/>
        <v>384623</v>
      </c>
      <c r="BY303" s="554">
        <f t="shared" si="66"/>
        <v>0</v>
      </c>
      <c r="BZ303" s="554">
        <f t="shared" si="66"/>
        <v>704282</v>
      </c>
      <c r="CA303" s="554">
        <f t="shared" si="66"/>
        <v>0</v>
      </c>
      <c r="CB303" s="554">
        <f t="shared" si="66"/>
        <v>0</v>
      </c>
      <c r="CC303" s="554">
        <f t="shared" si="66"/>
        <v>0</v>
      </c>
      <c r="CD303" s="554">
        <f t="shared" si="66"/>
        <v>0</v>
      </c>
      <c r="CE303" s="554">
        <f t="shared" si="66"/>
        <v>0</v>
      </c>
      <c r="CF303" s="554">
        <f t="shared" si="66"/>
        <v>0</v>
      </c>
      <c r="CG303" s="554">
        <f t="shared" si="66"/>
        <v>0</v>
      </c>
      <c r="CH303" s="554">
        <f t="shared" si="66"/>
        <v>919759</v>
      </c>
      <c r="CI303" s="554">
        <f t="shared" si="66"/>
        <v>0</v>
      </c>
      <c r="CJ303" s="554">
        <f t="shared" si="66"/>
        <v>0</v>
      </c>
      <c r="CK303" s="554">
        <f t="shared" si="66"/>
        <v>0</v>
      </c>
      <c r="CL303" s="554">
        <f t="shared" si="66"/>
        <v>0</v>
      </c>
      <c r="CM303" s="554">
        <f t="shared" si="66"/>
        <v>0</v>
      </c>
      <c r="CN303" s="554">
        <f t="shared" si="66"/>
        <v>0</v>
      </c>
      <c r="CO303" s="554">
        <f t="shared" si="66"/>
        <v>0</v>
      </c>
      <c r="CP303" s="554">
        <f t="shared" si="66"/>
        <v>0</v>
      </c>
      <c r="CQ303" s="554">
        <f t="shared" si="66"/>
        <v>0</v>
      </c>
      <c r="CR303" s="554">
        <f t="shared" si="66"/>
        <v>0</v>
      </c>
      <c r="CS303" s="554">
        <f t="shared" si="66"/>
        <v>0</v>
      </c>
      <c r="CT303" s="554">
        <f t="shared" si="66"/>
        <v>0</v>
      </c>
      <c r="CU303" s="554">
        <f t="shared" si="66"/>
        <v>0</v>
      </c>
      <c r="CV303" s="554">
        <f t="shared" si="66"/>
        <v>0</v>
      </c>
      <c r="CW303" s="554">
        <f t="shared" si="66"/>
        <v>0</v>
      </c>
      <c r="CX303" s="554">
        <f t="shared" si="66"/>
        <v>0</v>
      </c>
      <c r="CY303" s="554">
        <f t="shared" si="66"/>
        <v>0</v>
      </c>
      <c r="CZ303" s="554">
        <f t="shared" si="66"/>
        <v>0</v>
      </c>
    </row>
    <row r="304" spans="1:104" x14ac:dyDescent="0.3">
      <c r="A304" s="557">
        <v>606</v>
      </c>
      <c r="B304" s="180"/>
      <c r="C304" s="180">
        <v>164</v>
      </c>
      <c r="D304" s="554">
        <f t="shared" ref="D304:AI304" si="67">D164</f>
        <v>0</v>
      </c>
      <c r="E304" s="554">
        <f t="shared" si="67"/>
        <v>0</v>
      </c>
      <c r="F304" s="554">
        <f t="shared" si="67"/>
        <v>0</v>
      </c>
      <c r="G304" s="554">
        <f t="shared" si="67"/>
        <v>0</v>
      </c>
      <c r="H304" s="554">
        <f t="shared" si="67"/>
        <v>0</v>
      </c>
      <c r="I304" s="554">
        <f t="shared" si="67"/>
        <v>1</v>
      </c>
      <c r="J304" s="554">
        <f t="shared" si="67"/>
        <v>1</v>
      </c>
      <c r="K304" s="554">
        <f t="shared" si="67"/>
        <v>0</v>
      </c>
      <c r="L304" s="554">
        <f t="shared" si="67"/>
        <v>0</v>
      </c>
      <c r="M304" s="554">
        <f t="shared" si="67"/>
        <v>1</v>
      </c>
      <c r="N304" s="554">
        <f t="shared" si="67"/>
        <v>0</v>
      </c>
      <c r="O304" s="554">
        <f t="shared" si="67"/>
        <v>1</v>
      </c>
      <c r="P304" s="554">
        <f t="shared" si="67"/>
        <v>0</v>
      </c>
      <c r="Q304" s="554">
        <f t="shared" si="67"/>
        <v>0</v>
      </c>
      <c r="R304" s="554">
        <f t="shared" si="67"/>
        <v>0</v>
      </c>
      <c r="S304" s="554">
        <f t="shared" si="67"/>
        <v>0</v>
      </c>
      <c r="T304" s="554">
        <f t="shared" si="67"/>
        <v>1</v>
      </c>
      <c r="U304" s="554">
        <f t="shared" si="67"/>
        <v>0</v>
      </c>
      <c r="V304" s="554">
        <f t="shared" si="67"/>
        <v>0</v>
      </c>
      <c r="W304" s="554">
        <f t="shared" si="67"/>
        <v>0</v>
      </c>
      <c r="X304" s="554">
        <f t="shared" si="67"/>
        <v>1</v>
      </c>
      <c r="Y304" s="554">
        <f t="shared" si="67"/>
        <v>1</v>
      </c>
      <c r="Z304" s="554">
        <f t="shared" si="67"/>
        <v>1</v>
      </c>
      <c r="AA304" s="554">
        <f t="shared" si="67"/>
        <v>0</v>
      </c>
      <c r="AB304" s="554">
        <f t="shared" si="67"/>
        <v>0</v>
      </c>
      <c r="AC304" s="554">
        <f t="shared" si="67"/>
        <v>0</v>
      </c>
      <c r="AD304" s="554">
        <f t="shared" si="67"/>
        <v>0</v>
      </c>
      <c r="AE304" s="554">
        <f t="shared" si="67"/>
        <v>0</v>
      </c>
      <c r="AF304" s="554">
        <f t="shared" si="67"/>
        <v>0</v>
      </c>
      <c r="AG304" s="554">
        <f t="shared" si="67"/>
        <v>1</v>
      </c>
      <c r="AH304" s="554">
        <f t="shared" si="67"/>
        <v>0</v>
      </c>
      <c r="AI304" s="554">
        <f t="shared" si="67"/>
        <v>0</v>
      </c>
      <c r="AJ304" s="554">
        <f t="shared" ref="AJ304:BO304" si="68">AJ164</f>
        <v>0</v>
      </c>
      <c r="AK304" s="554">
        <f t="shared" si="68"/>
        <v>0</v>
      </c>
      <c r="AL304" s="554">
        <f t="shared" si="68"/>
        <v>0</v>
      </c>
      <c r="AM304" s="554">
        <f t="shared" si="68"/>
        <v>0</v>
      </c>
      <c r="AN304" s="554">
        <f t="shared" si="68"/>
        <v>0</v>
      </c>
      <c r="AO304" s="554">
        <f t="shared" si="68"/>
        <v>0</v>
      </c>
      <c r="AP304" s="554">
        <f t="shared" si="68"/>
        <v>0</v>
      </c>
      <c r="AQ304" s="554">
        <f t="shared" si="68"/>
        <v>1</v>
      </c>
      <c r="AR304" s="554">
        <f t="shared" si="68"/>
        <v>0</v>
      </c>
      <c r="AS304" s="554">
        <f t="shared" si="68"/>
        <v>0</v>
      </c>
      <c r="AT304" s="554">
        <f t="shared" si="68"/>
        <v>1</v>
      </c>
      <c r="AU304" s="554">
        <f t="shared" si="68"/>
        <v>0</v>
      </c>
      <c r="AV304" s="554">
        <f t="shared" si="68"/>
        <v>0</v>
      </c>
      <c r="AW304" s="554">
        <f t="shared" si="68"/>
        <v>1</v>
      </c>
      <c r="AX304" s="554">
        <f t="shared" si="68"/>
        <v>0</v>
      </c>
      <c r="AY304" s="554">
        <f t="shared" si="68"/>
        <v>0</v>
      </c>
      <c r="AZ304" s="554">
        <f t="shared" si="68"/>
        <v>0</v>
      </c>
      <c r="BA304" s="554">
        <f t="shared" si="68"/>
        <v>0</v>
      </c>
      <c r="BB304" s="554">
        <f t="shared" si="68"/>
        <v>0</v>
      </c>
      <c r="BC304" s="554">
        <f t="shared" si="68"/>
        <v>0</v>
      </c>
      <c r="BD304" s="554">
        <f t="shared" si="68"/>
        <v>0</v>
      </c>
      <c r="BE304" s="554">
        <f t="shared" si="68"/>
        <v>0</v>
      </c>
      <c r="BF304" s="554">
        <f t="shared" si="68"/>
        <v>0</v>
      </c>
      <c r="BG304" s="554">
        <f t="shared" si="68"/>
        <v>0</v>
      </c>
      <c r="BH304" s="554">
        <f t="shared" si="68"/>
        <v>0</v>
      </c>
      <c r="BI304" s="554">
        <f t="shared" si="68"/>
        <v>0</v>
      </c>
      <c r="BJ304" s="554">
        <f t="shared" si="68"/>
        <v>0</v>
      </c>
      <c r="BK304" s="554">
        <f t="shared" si="68"/>
        <v>0</v>
      </c>
      <c r="BL304" s="554">
        <f t="shared" si="68"/>
        <v>0</v>
      </c>
      <c r="BM304" s="554">
        <f t="shared" si="68"/>
        <v>0</v>
      </c>
      <c r="BN304" s="554">
        <f t="shared" si="68"/>
        <v>0</v>
      </c>
      <c r="BO304" s="554">
        <f t="shared" si="68"/>
        <v>1</v>
      </c>
      <c r="BP304" s="554">
        <f t="shared" ref="BP304:CZ304" si="69">BP164</f>
        <v>1</v>
      </c>
      <c r="BQ304" s="554">
        <f t="shared" si="69"/>
        <v>0</v>
      </c>
      <c r="BR304" s="554">
        <f t="shared" si="69"/>
        <v>0</v>
      </c>
      <c r="BS304" s="554">
        <f t="shared" si="69"/>
        <v>0</v>
      </c>
      <c r="BT304" s="554">
        <f t="shared" si="69"/>
        <v>0</v>
      </c>
      <c r="BU304" s="554">
        <f t="shared" si="69"/>
        <v>0</v>
      </c>
      <c r="BV304" s="554">
        <f t="shared" si="69"/>
        <v>0</v>
      </c>
      <c r="BW304" s="554">
        <f t="shared" si="69"/>
        <v>1</v>
      </c>
      <c r="BX304" s="554">
        <f t="shared" si="69"/>
        <v>1</v>
      </c>
      <c r="BY304" s="554">
        <f t="shared" si="69"/>
        <v>0</v>
      </c>
      <c r="BZ304" s="554">
        <f t="shared" si="69"/>
        <v>1</v>
      </c>
      <c r="CA304" s="554">
        <f t="shared" si="69"/>
        <v>0</v>
      </c>
      <c r="CB304" s="554">
        <f t="shared" si="69"/>
        <v>1</v>
      </c>
      <c r="CC304" s="554">
        <f t="shared" si="69"/>
        <v>0</v>
      </c>
      <c r="CD304" s="554">
        <f t="shared" si="69"/>
        <v>0</v>
      </c>
      <c r="CE304" s="554">
        <f t="shared" si="69"/>
        <v>0</v>
      </c>
      <c r="CF304" s="554">
        <f t="shared" si="69"/>
        <v>0</v>
      </c>
      <c r="CG304" s="554">
        <f t="shared" si="69"/>
        <v>1</v>
      </c>
      <c r="CH304" s="554">
        <f t="shared" si="69"/>
        <v>1</v>
      </c>
      <c r="CI304" s="554">
        <f t="shared" si="69"/>
        <v>0</v>
      </c>
      <c r="CJ304" s="554">
        <f t="shared" si="69"/>
        <v>0</v>
      </c>
      <c r="CK304" s="554">
        <f t="shared" si="69"/>
        <v>0</v>
      </c>
      <c r="CL304" s="554">
        <f t="shared" si="69"/>
        <v>0</v>
      </c>
      <c r="CM304" s="554">
        <f t="shared" si="69"/>
        <v>0</v>
      </c>
      <c r="CN304" s="554">
        <f t="shared" si="69"/>
        <v>0</v>
      </c>
      <c r="CO304" s="554">
        <f t="shared" si="69"/>
        <v>0</v>
      </c>
      <c r="CP304" s="554">
        <f t="shared" si="69"/>
        <v>0</v>
      </c>
      <c r="CQ304" s="554">
        <f t="shared" si="69"/>
        <v>0</v>
      </c>
      <c r="CR304" s="554">
        <f t="shared" si="69"/>
        <v>0</v>
      </c>
      <c r="CS304" s="554">
        <f t="shared" si="69"/>
        <v>0</v>
      </c>
      <c r="CT304" s="554">
        <f t="shared" si="69"/>
        <v>0</v>
      </c>
      <c r="CU304" s="554">
        <f t="shared" si="69"/>
        <v>0</v>
      </c>
      <c r="CV304" s="554">
        <f t="shared" si="69"/>
        <v>0</v>
      </c>
      <c r="CW304" s="554">
        <f t="shared" si="69"/>
        <v>0</v>
      </c>
      <c r="CX304" s="554">
        <f t="shared" si="69"/>
        <v>0</v>
      </c>
      <c r="CY304" s="554">
        <f t="shared" si="69"/>
        <v>0</v>
      </c>
      <c r="CZ304" s="554">
        <f t="shared" si="69"/>
        <v>0</v>
      </c>
    </row>
    <row r="305" spans="1:104" x14ac:dyDescent="0.3">
      <c r="A305" s="557">
        <v>662</v>
      </c>
      <c r="B305" s="180" t="s">
        <v>451</v>
      </c>
      <c r="C305" s="180">
        <v>201</v>
      </c>
      <c r="D305" s="554">
        <f t="shared" ref="D305:AI305" si="70">D201</f>
        <v>0</v>
      </c>
      <c r="E305" s="554">
        <f t="shared" si="70"/>
        <v>0</v>
      </c>
      <c r="F305" s="554">
        <f t="shared" si="70"/>
        <v>0</v>
      </c>
      <c r="G305" s="554">
        <f t="shared" si="70"/>
        <v>0</v>
      </c>
      <c r="H305" s="554">
        <f t="shared" si="70"/>
        <v>0</v>
      </c>
      <c r="I305" s="554">
        <f t="shared" si="70"/>
        <v>0</v>
      </c>
      <c r="J305" s="554">
        <f t="shared" si="70"/>
        <v>63838</v>
      </c>
      <c r="K305" s="554">
        <f t="shared" si="70"/>
        <v>0</v>
      </c>
      <c r="L305" s="554">
        <f t="shared" si="70"/>
        <v>0</v>
      </c>
      <c r="M305" s="554">
        <f t="shared" si="70"/>
        <v>0</v>
      </c>
      <c r="N305" s="554">
        <f t="shared" si="70"/>
        <v>0</v>
      </c>
      <c r="O305" s="554">
        <f t="shared" si="70"/>
        <v>0</v>
      </c>
      <c r="P305" s="554">
        <f t="shared" si="70"/>
        <v>0</v>
      </c>
      <c r="Q305" s="554">
        <f t="shared" si="70"/>
        <v>0</v>
      </c>
      <c r="R305" s="554">
        <f t="shared" si="70"/>
        <v>0</v>
      </c>
      <c r="S305" s="554">
        <f t="shared" si="70"/>
        <v>0</v>
      </c>
      <c r="T305" s="554">
        <f t="shared" si="70"/>
        <v>25000</v>
      </c>
      <c r="U305" s="554">
        <f t="shared" si="70"/>
        <v>0</v>
      </c>
      <c r="V305" s="554">
        <f t="shared" si="70"/>
        <v>0</v>
      </c>
      <c r="W305" s="554">
        <f t="shared" si="70"/>
        <v>0</v>
      </c>
      <c r="X305" s="554">
        <f t="shared" si="70"/>
        <v>3916</v>
      </c>
      <c r="Y305" s="554">
        <f t="shared" si="70"/>
        <v>720538</v>
      </c>
      <c r="Z305" s="554">
        <f t="shared" si="70"/>
        <v>0</v>
      </c>
      <c r="AA305" s="554">
        <f t="shared" si="70"/>
        <v>0</v>
      </c>
      <c r="AB305" s="554">
        <f t="shared" si="70"/>
        <v>0</v>
      </c>
      <c r="AC305" s="554">
        <f t="shared" si="70"/>
        <v>0</v>
      </c>
      <c r="AD305" s="554">
        <f t="shared" si="70"/>
        <v>0</v>
      </c>
      <c r="AE305" s="554">
        <f t="shared" si="70"/>
        <v>0</v>
      </c>
      <c r="AF305" s="554">
        <f t="shared" si="70"/>
        <v>0</v>
      </c>
      <c r="AG305" s="554">
        <f t="shared" si="70"/>
        <v>0</v>
      </c>
      <c r="AH305" s="554">
        <f t="shared" si="70"/>
        <v>0</v>
      </c>
      <c r="AI305" s="554">
        <f t="shared" si="70"/>
        <v>0</v>
      </c>
      <c r="AJ305" s="554">
        <f t="shared" ref="AJ305:BO305" si="71">AJ201</f>
        <v>0</v>
      </c>
      <c r="AK305" s="554">
        <f t="shared" si="71"/>
        <v>0</v>
      </c>
      <c r="AL305" s="554">
        <f t="shared" si="71"/>
        <v>0</v>
      </c>
      <c r="AM305" s="554">
        <f t="shared" si="71"/>
        <v>0</v>
      </c>
      <c r="AN305" s="554">
        <f t="shared" si="71"/>
        <v>0</v>
      </c>
      <c r="AO305" s="554">
        <f t="shared" si="71"/>
        <v>0</v>
      </c>
      <c r="AP305" s="554">
        <f t="shared" si="71"/>
        <v>0</v>
      </c>
      <c r="AQ305" s="554">
        <f t="shared" si="71"/>
        <v>0</v>
      </c>
      <c r="AR305" s="554">
        <f t="shared" si="71"/>
        <v>0</v>
      </c>
      <c r="AS305" s="554">
        <f t="shared" si="71"/>
        <v>0</v>
      </c>
      <c r="AT305" s="554">
        <f t="shared" si="71"/>
        <v>0</v>
      </c>
      <c r="AU305" s="554">
        <f t="shared" si="71"/>
        <v>0</v>
      </c>
      <c r="AV305" s="554">
        <f t="shared" si="71"/>
        <v>0</v>
      </c>
      <c r="AW305" s="554">
        <f t="shared" si="71"/>
        <v>0</v>
      </c>
      <c r="AX305" s="554">
        <f t="shared" si="71"/>
        <v>0</v>
      </c>
      <c r="AY305" s="554">
        <f t="shared" si="71"/>
        <v>0</v>
      </c>
      <c r="AZ305" s="554">
        <f t="shared" si="71"/>
        <v>0</v>
      </c>
      <c r="BA305" s="554">
        <f t="shared" si="71"/>
        <v>0</v>
      </c>
      <c r="BB305" s="554">
        <f t="shared" si="71"/>
        <v>0</v>
      </c>
      <c r="BC305" s="554">
        <f t="shared" si="71"/>
        <v>0</v>
      </c>
      <c r="BD305" s="554">
        <f t="shared" si="71"/>
        <v>0</v>
      </c>
      <c r="BE305" s="554">
        <f t="shared" si="71"/>
        <v>0</v>
      </c>
      <c r="BF305" s="554">
        <f t="shared" si="71"/>
        <v>0</v>
      </c>
      <c r="BG305" s="554">
        <f t="shared" si="71"/>
        <v>0</v>
      </c>
      <c r="BH305" s="554">
        <f t="shared" si="71"/>
        <v>0</v>
      </c>
      <c r="BI305" s="554">
        <f t="shared" si="71"/>
        <v>0</v>
      </c>
      <c r="BJ305" s="554">
        <f t="shared" si="71"/>
        <v>0</v>
      </c>
      <c r="BK305" s="554">
        <f t="shared" si="71"/>
        <v>0</v>
      </c>
      <c r="BL305" s="554">
        <f t="shared" si="71"/>
        <v>0</v>
      </c>
      <c r="BM305" s="554">
        <f t="shared" si="71"/>
        <v>0</v>
      </c>
      <c r="BN305" s="554">
        <f t="shared" si="71"/>
        <v>0</v>
      </c>
      <c r="BO305" s="554">
        <f t="shared" si="71"/>
        <v>0</v>
      </c>
      <c r="BP305" s="554">
        <f t="shared" ref="BP305:CZ305" si="72">BP201</f>
        <v>391076</v>
      </c>
      <c r="BQ305" s="554">
        <f t="shared" si="72"/>
        <v>0</v>
      </c>
      <c r="BR305" s="554">
        <f t="shared" si="72"/>
        <v>0</v>
      </c>
      <c r="BS305" s="554">
        <f t="shared" si="72"/>
        <v>0</v>
      </c>
      <c r="BT305" s="554">
        <f t="shared" si="72"/>
        <v>0</v>
      </c>
      <c r="BU305" s="554">
        <f t="shared" si="72"/>
        <v>0</v>
      </c>
      <c r="BV305" s="554">
        <f t="shared" si="72"/>
        <v>0</v>
      </c>
      <c r="BW305" s="554">
        <f t="shared" si="72"/>
        <v>0</v>
      </c>
      <c r="BX305" s="554">
        <f t="shared" si="72"/>
        <v>0</v>
      </c>
      <c r="BY305" s="554">
        <f t="shared" si="72"/>
        <v>0</v>
      </c>
      <c r="BZ305" s="554">
        <f t="shared" si="72"/>
        <v>0</v>
      </c>
      <c r="CA305" s="554">
        <f t="shared" si="72"/>
        <v>0</v>
      </c>
      <c r="CB305" s="554">
        <f t="shared" si="72"/>
        <v>0</v>
      </c>
      <c r="CC305" s="554">
        <f t="shared" si="72"/>
        <v>0</v>
      </c>
      <c r="CD305" s="554">
        <f t="shared" si="72"/>
        <v>0</v>
      </c>
      <c r="CE305" s="554">
        <f t="shared" si="72"/>
        <v>0</v>
      </c>
      <c r="CF305" s="554">
        <f t="shared" si="72"/>
        <v>0</v>
      </c>
      <c r="CG305" s="554">
        <f t="shared" si="72"/>
        <v>0</v>
      </c>
      <c r="CH305" s="554">
        <f t="shared" si="72"/>
        <v>0</v>
      </c>
      <c r="CI305" s="554">
        <f t="shared" si="72"/>
        <v>0</v>
      </c>
      <c r="CJ305" s="554">
        <f t="shared" si="72"/>
        <v>0</v>
      </c>
      <c r="CK305" s="554">
        <f t="shared" si="72"/>
        <v>0</v>
      </c>
      <c r="CL305" s="554">
        <f t="shared" si="72"/>
        <v>0</v>
      </c>
      <c r="CM305" s="554">
        <f t="shared" si="72"/>
        <v>0</v>
      </c>
      <c r="CN305" s="554">
        <f t="shared" si="72"/>
        <v>0</v>
      </c>
      <c r="CO305" s="554">
        <f t="shared" si="72"/>
        <v>0</v>
      </c>
      <c r="CP305" s="554">
        <f t="shared" si="72"/>
        <v>0</v>
      </c>
      <c r="CQ305" s="554">
        <f t="shared" si="72"/>
        <v>0</v>
      </c>
      <c r="CR305" s="554">
        <f t="shared" si="72"/>
        <v>0</v>
      </c>
      <c r="CS305" s="554">
        <f t="shared" si="72"/>
        <v>0</v>
      </c>
      <c r="CT305" s="554">
        <f t="shared" si="72"/>
        <v>0</v>
      </c>
      <c r="CU305" s="554">
        <f t="shared" si="72"/>
        <v>0</v>
      </c>
      <c r="CV305" s="554">
        <f t="shared" si="72"/>
        <v>0</v>
      </c>
      <c r="CW305" s="554">
        <f t="shared" si="72"/>
        <v>0</v>
      </c>
      <c r="CX305" s="554">
        <f t="shared" si="72"/>
        <v>0</v>
      </c>
      <c r="CY305" s="554">
        <f t="shared" si="72"/>
        <v>0</v>
      </c>
      <c r="CZ305" s="554">
        <f t="shared" si="72"/>
        <v>0</v>
      </c>
    </row>
    <row r="306" spans="1:104" x14ac:dyDescent="0.3">
      <c r="A306" s="557">
        <v>663</v>
      </c>
      <c r="B306" s="180" t="s">
        <v>974</v>
      </c>
      <c r="C306" s="180">
        <v>202</v>
      </c>
      <c r="D306" s="554">
        <f t="shared" ref="D306:AI306" si="73">D202</f>
        <v>0</v>
      </c>
      <c r="E306" s="554">
        <f t="shared" si="73"/>
        <v>0</v>
      </c>
      <c r="F306" s="554">
        <f t="shared" si="73"/>
        <v>0</v>
      </c>
      <c r="G306" s="554">
        <f t="shared" si="73"/>
        <v>0</v>
      </c>
      <c r="H306" s="554">
        <f t="shared" si="73"/>
        <v>0</v>
      </c>
      <c r="I306" s="554">
        <f t="shared" si="73"/>
        <v>0</v>
      </c>
      <c r="J306" s="554">
        <f t="shared" si="73"/>
        <v>0</v>
      </c>
      <c r="K306" s="554">
        <f t="shared" si="73"/>
        <v>0</v>
      </c>
      <c r="L306" s="554">
        <f t="shared" si="73"/>
        <v>0</v>
      </c>
      <c r="M306" s="554">
        <f t="shared" si="73"/>
        <v>703066</v>
      </c>
      <c r="N306" s="554">
        <f t="shared" si="73"/>
        <v>0</v>
      </c>
      <c r="O306" s="554">
        <f t="shared" si="73"/>
        <v>1943047</v>
      </c>
      <c r="P306" s="554">
        <f t="shared" si="73"/>
        <v>0</v>
      </c>
      <c r="Q306" s="554">
        <f t="shared" si="73"/>
        <v>0</v>
      </c>
      <c r="R306" s="554">
        <f t="shared" si="73"/>
        <v>0</v>
      </c>
      <c r="S306" s="554">
        <f t="shared" si="73"/>
        <v>0</v>
      </c>
      <c r="T306" s="554">
        <f t="shared" si="73"/>
        <v>0</v>
      </c>
      <c r="U306" s="554">
        <f t="shared" si="73"/>
        <v>0</v>
      </c>
      <c r="V306" s="554">
        <f t="shared" si="73"/>
        <v>0</v>
      </c>
      <c r="W306" s="554">
        <f t="shared" si="73"/>
        <v>0</v>
      </c>
      <c r="X306" s="554">
        <f t="shared" si="73"/>
        <v>8861696</v>
      </c>
      <c r="Y306" s="554">
        <f t="shared" si="73"/>
        <v>158541027</v>
      </c>
      <c r="Z306" s="554">
        <f t="shared" si="73"/>
        <v>0</v>
      </c>
      <c r="AA306" s="554">
        <f t="shared" si="73"/>
        <v>0</v>
      </c>
      <c r="AB306" s="554">
        <f t="shared" si="73"/>
        <v>0</v>
      </c>
      <c r="AC306" s="554">
        <f t="shared" si="73"/>
        <v>0</v>
      </c>
      <c r="AD306" s="554">
        <f t="shared" si="73"/>
        <v>0</v>
      </c>
      <c r="AE306" s="554">
        <f t="shared" si="73"/>
        <v>0</v>
      </c>
      <c r="AF306" s="554">
        <f t="shared" si="73"/>
        <v>0</v>
      </c>
      <c r="AG306" s="554">
        <f t="shared" si="73"/>
        <v>0</v>
      </c>
      <c r="AH306" s="554">
        <f t="shared" si="73"/>
        <v>0</v>
      </c>
      <c r="AI306" s="554">
        <f t="shared" si="73"/>
        <v>0</v>
      </c>
      <c r="AJ306" s="554">
        <f t="shared" ref="AJ306:BO306" si="74">AJ202</f>
        <v>0</v>
      </c>
      <c r="AK306" s="554">
        <f t="shared" si="74"/>
        <v>0</v>
      </c>
      <c r="AL306" s="554">
        <f t="shared" si="74"/>
        <v>0</v>
      </c>
      <c r="AM306" s="554">
        <f t="shared" si="74"/>
        <v>0</v>
      </c>
      <c r="AN306" s="554">
        <f t="shared" si="74"/>
        <v>0</v>
      </c>
      <c r="AO306" s="554">
        <f t="shared" si="74"/>
        <v>0</v>
      </c>
      <c r="AP306" s="554">
        <f t="shared" si="74"/>
        <v>0</v>
      </c>
      <c r="AQ306" s="554">
        <f t="shared" si="74"/>
        <v>2452851</v>
      </c>
      <c r="AR306" s="554">
        <f t="shared" si="74"/>
        <v>0</v>
      </c>
      <c r="AS306" s="554">
        <f t="shared" si="74"/>
        <v>0</v>
      </c>
      <c r="AT306" s="554">
        <f t="shared" si="74"/>
        <v>426500</v>
      </c>
      <c r="AU306" s="554">
        <f t="shared" si="74"/>
        <v>0</v>
      </c>
      <c r="AV306" s="554">
        <f t="shared" si="74"/>
        <v>0</v>
      </c>
      <c r="AW306" s="554">
        <f t="shared" si="74"/>
        <v>0</v>
      </c>
      <c r="AX306" s="554">
        <f t="shared" si="74"/>
        <v>0</v>
      </c>
      <c r="AY306" s="554">
        <f t="shared" si="74"/>
        <v>0</v>
      </c>
      <c r="AZ306" s="554">
        <f t="shared" si="74"/>
        <v>0</v>
      </c>
      <c r="BA306" s="554">
        <f t="shared" si="74"/>
        <v>0</v>
      </c>
      <c r="BB306" s="554">
        <f t="shared" si="74"/>
        <v>0</v>
      </c>
      <c r="BC306" s="554">
        <f t="shared" si="74"/>
        <v>0</v>
      </c>
      <c r="BD306" s="554">
        <f t="shared" si="74"/>
        <v>0</v>
      </c>
      <c r="BE306" s="554">
        <f t="shared" si="74"/>
        <v>0</v>
      </c>
      <c r="BF306" s="554">
        <f t="shared" si="74"/>
        <v>0</v>
      </c>
      <c r="BG306" s="554">
        <f t="shared" si="74"/>
        <v>0</v>
      </c>
      <c r="BH306" s="554">
        <f t="shared" si="74"/>
        <v>0</v>
      </c>
      <c r="BI306" s="554">
        <f t="shared" si="74"/>
        <v>0</v>
      </c>
      <c r="BJ306" s="554">
        <f t="shared" si="74"/>
        <v>0</v>
      </c>
      <c r="BK306" s="554">
        <f t="shared" si="74"/>
        <v>0</v>
      </c>
      <c r="BL306" s="554">
        <f t="shared" si="74"/>
        <v>0</v>
      </c>
      <c r="BM306" s="554">
        <f t="shared" si="74"/>
        <v>0</v>
      </c>
      <c r="BN306" s="554">
        <f t="shared" si="74"/>
        <v>0</v>
      </c>
      <c r="BO306" s="554">
        <f t="shared" si="74"/>
        <v>0</v>
      </c>
      <c r="BP306" s="554">
        <f t="shared" ref="BP306:CZ306" si="75">BP202</f>
        <v>27753815</v>
      </c>
      <c r="BQ306" s="554">
        <f t="shared" si="75"/>
        <v>0</v>
      </c>
      <c r="BR306" s="554">
        <f t="shared" si="75"/>
        <v>0</v>
      </c>
      <c r="BS306" s="554">
        <f t="shared" si="75"/>
        <v>0</v>
      </c>
      <c r="BT306" s="554">
        <f t="shared" si="75"/>
        <v>0</v>
      </c>
      <c r="BU306" s="554">
        <f t="shared" si="75"/>
        <v>0</v>
      </c>
      <c r="BV306" s="554">
        <f t="shared" si="75"/>
        <v>0</v>
      </c>
      <c r="BW306" s="554">
        <f t="shared" si="75"/>
        <v>0</v>
      </c>
      <c r="BX306" s="554">
        <f t="shared" si="75"/>
        <v>0</v>
      </c>
      <c r="BY306" s="554">
        <f t="shared" si="75"/>
        <v>0</v>
      </c>
      <c r="BZ306" s="554">
        <f t="shared" si="75"/>
        <v>0</v>
      </c>
      <c r="CA306" s="554">
        <f t="shared" si="75"/>
        <v>0</v>
      </c>
      <c r="CB306" s="554">
        <f t="shared" si="75"/>
        <v>25737</v>
      </c>
      <c r="CC306" s="554">
        <f t="shared" si="75"/>
        <v>0</v>
      </c>
      <c r="CD306" s="554">
        <f t="shared" si="75"/>
        <v>0</v>
      </c>
      <c r="CE306" s="554">
        <f t="shared" si="75"/>
        <v>0</v>
      </c>
      <c r="CF306" s="554">
        <f t="shared" si="75"/>
        <v>0</v>
      </c>
      <c r="CG306" s="554">
        <f t="shared" si="75"/>
        <v>0</v>
      </c>
      <c r="CH306" s="554">
        <f t="shared" si="75"/>
        <v>0</v>
      </c>
      <c r="CI306" s="554">
        <f t="shared" si="75"/>
        <v>0</v>
      </c>
      <c r="CJ306" s="554">
        <f t="shared" si="75"/>
        <v>0</v>
      </c>
      <c r="CK306" s="554">
        <f t="shared" si="75"/>
        <v>0</v>
      </c>
      <c r="CL306" s="554">
        <f t="shared" si="75"/>
        <v>0</v>
      </c>
      <c r="CM306" s="554">
        <f t="shared" si="75"/>
        <v>0</v>
      </c>
      <c r="CN306" s="554">
        <f t="shared" si="75"/>
        <v>0</v>
      </c>
      <c r="CO306" s="554">
        <f t="shared" si="75"/>
        <v>0</v>
      </c>
      <c r="CP306" s="554">
        <f t="shared" si="75"/>
        <v>0</v>
      </c>
      <c r="CQ306" s="554">
        <f t="shared" si="75"/>
        <v>0</v>
      </c>
      <c r="CR306" s="554">
        <f t="shared" si="75"/>
        <v>0</v>
      </c>
      <c r="CS306" s="554">
        <f t="shared" si="75"/>
        <v>0</v>
      </c>
      <c r="CT306" s="554">
        <f t="shared" si="75"/>
        <v>0</v>
      </c>
      <c r="CU306" s="554">
        <f t="shared" si="75"/>
        <v>0</v>
      </c>
      <c r="CV306" s="554">
        <f t="shared" si="75"/>
        <v>0</v>
      </c>
      <c r="CW306" s="554">
        <f t="shared" si="75"/>
        <v>0</v>
      </c>
      <c r="CX306" s="554">
        <f t="shared" si="75"/>
        <v>0</v>
      </c>
      <c r="CY306" s="554">
        <f t="shared" si="75"/>
        <v>0</v>
      </c>
      <c r="CZ306" s="554">
        <f t="shared" si="75"/>
        <v>0</v>
      </c>
    </row>
    <row r="307" spans="1:104" s="180" customFormat="1" x14ac:dyDescent="0.3">
      <c r="A307" s="557">
        <v>1064</v>
      </c>
      <c r="C307" s="180">
        <v>254</v>
      </c>
      <c r="D307" s="554">
        <f t="shared" ref="D307:AI307" si="76">D254</f>
        <v>0</v>
      </c>
      <c r="E307" s="554">
        <f t="shared" si="76"/>
        <v>0</v>
      </c>
      <c r="F307" s="554">
        <f t="shared" si="76"/>
        <v>0</v>
      </c>
      <c r="G307" s="554">
        <f t="shared" si="76"/>
        <v>0</v>
      </c>
      <c r="H307" s="554">
        <f t="shared" si="76"/>
        <v>0</v>
      </c>
      <c r="I307" s="554">
        <f t="shared" si="76"/>
        <v>692689</v>
      </c>
      <c r="J307" s="554">
        <f t="shared" si="76"/>
        <v>0</v>
      </c>
      <c r="K307" s="554">
        <f t="shared" si="76"/>
        <v>0</v>
      </c>
      <c r="L307" s="554">
        <f t="shared" si="76"/>
        <v>0</v>
      </c>
      <c r="M307" s="554">
        <f t="shared" si="76"/>
        <v>306522</v>
      </c>
      <c r="N307" s="554">
        <f t="shared" si="76"/>
        <v>0</v>
      </c>
      <c r="O307" s="554">
        <f t="shared" si="76"/>
        <v>0</v>
      </c>
      <c r="P307" s="554">
        <f t="shared" si="76"/>
        <v>0</v>
      </c>
      <c r="Q307" s="554">
        <f t="shared" si="76"/>
        <v>0</v>
      </c>
      <c r="R307" s="554">
        <f t="shared" si="76"/>
        <v>0</v>
      </c>
      <c r="S307" s="554">
        <f t="shared" si="76"/>
        <v>0</v>
      </c>
      <c r="T307" s="554">
        <f t="shared" si="76"/>
        <v>0</v>
      </c>
      <c r="U307" s="554">
        <f t="shared" si="76"/>
        <v>0</v>
      </c>
      <c r="V307" s="554">
        <f t="shared" si="76"/>
        <v>0</v>
      </c>
      <c r="W307" s="554">
        <f t="shared" si="76"/>
        <v>0</v>
      </c>
      <c r="X307" s="554">
        <f t="shared" si="76"/>
        <v>431945</v>
      </c>
      <c r="Y307" s="554">
        <f t="shared" si="76"/>
        <v>13448895</v>
      </c>
      <c r="Z307" s="554">
        <f t="shared" si="76"/>
        <v>967565</v>
      </c>
      <c r="AA307" s="554">
        <f t="shared" si="76"/>
        <v>0</v>
      </c>
      <c r="AB307" s="554">
        <f t="shared" si="76"/>
        <v>0</v>
      </c>
      <c r="AC307" s="554">
        <f t="shared" si="76"/>
        <v>0</v>
      </c>
      <c r="AD307" s="554">
        <f t="shared" si="76"/>
        <v>0</v>
      </c>
      <c r="AE307" s="554">
        <f t="shared" si="76"/>
        <v>0</v>
      </c>
      <c r="AF307" s="554">
        <f t="shared" si="76"/>
        <v>0</v>
      </c>
      <c r="AG307" s="554">
        <f t="shared" si="76"/>
        <v>1044283</v>
      </c>
      <c r="AH307" s="554">
        <f t="shared" si="76"/>
        <v>0</v>
      </c>
      <c r="AI307" s="554">
        <f t="shared" si="76"/>
        <v>0</v>
      </c>
      <c r="AJ307" s="554">
        <f t="shared" ref="AJ307:BO307" si="77">AJ254</f>
        <v>0</v>
      </c>
      <c r="AK307" s="554">
        <f t="shared" si="77"/>
        <v>0</v>
      </c>
      <c r="AL307" s="554">
        <f t="shared" si="77"/>
        <v>0</v>
      </c>
      <c r="AM307" s="554">
        <f t="shared" si="77"/>
        <v>0</v>
      </c>
      <c r="AN307" s="554">
        <f t="shared" si="77"/>
        <v>0</v>
      </c>
      <c r="AO307" s="554">
        <f t="shared" si="77"/>
        <v>0</v>
      </c>
      <c r="AP307" s="554">
        <f t="shared" si="77"/>
        <v>0</v>
      </c>
      <c r="AQ307" s="554">
        <f t="shared" si="77"/>
        <v>679220</v>
      </c>
      <c r="AR307" s="554">
        <f t="shared" si="77"/>
        <v>0</v>
      </c>
      <c r="AS307" s="554">
        <f t="shared" si="77"/>
        <v>0</v>
      </c>
      <c r="AT307" s="554">
        <f t="shared" si="77"/>
        <v>1360838</v>
      </c>
      <c r="AU307" s="554">
        <f t="shared" si="77"/>
        <v>0</v>
      </c>
      <c r="AV307" s="554">
        <f t="shared" si="77"/>
        <v>0</v>
      </c>
      <c r="AW307" s="554">
        <f t="shared" si="77"/>
        <v>0</v>
      </c>
      <c r="AX307" s="554">
        <f t="shared" si="77"/>
        <v>0</v>
      </c>
      <c r="AY307" s="554">
        <f t="shared" si="77"/>
        <v>0</v>
      </c>
      <c r="AZ307" s="554">
        <f t="shared" si="77"/>
        <v>0</v>
      </c>
      <c r="BA307" s="554">
        <f t="shared" si="77"/>
        <v>0</v>
      </c>
      <c r="BB307" s="554">
        <f t="shared" si="77"/>
        <v>0</v>
      </c>
      <c r="BC307" s="554">
        <f t="shared" si="77"/>
        <v>0</v>
      </c>
      <c r="BD307" s="554">
        <f t="shared" si="77"/>
        <v>0</v>
      </c>
      <c r="BE307" s="554">
        <f t="shared" si="77"/>
        <v>0</v>
      </c>
      <c r="BF307" s="554">
        <f t="shared" si="77"/>
        <v>0</v>
      </c>
      <c r="BG307" s="554">
        <f t="shared" si="77"/>
        <v>0</v>
      </c>
      <c r="BH307" s="554">
        <f t="shared" si="77"/>
        <v>0</v>
      </c>
      <c r="BI307" s="554">
        <f t="shared" si="77"/>
        <v>0</v>
      </c>
      <c r="BJ307" s="554">
        <f t="shared" si="77"/>
        <v>0</v>
      </c>
      <c r="BK307" s="554">
        <f t="shared" si="77"/>
        <v>0</v>
      </c>
      <c r="BL307" s="554">
        <f t="shared" si="77"/>
        <v>0</v>
      </c>
      <c r="BM307" s="554">
        <f t="shared" si="77"/>
        <v>0</v>
      </c>
      <c r="BN307" s="554">
        <f t="shared" si="77"/>
        <v>0</v>
      </c>
      <c r="BO307" s="554">
        <f t="shared" si="77"/>
        <v>0</v>
      </c>
      <c r="BP307" s="554">
        <f t="shared" ref="BP307:CZ307" si="78">BP254</f>
        <v>193500</v>
      </c>
      <c r="BQ307" s="554">
        <f t="shared" si="78"/>
        <v>0</v>
      </c>
      <c r="BR307" s="554">
        <f t="shared" si="78"/>
        <v>0</v>
      </c>
      <c r="BS307" s="554">
        <f t="shared" si="78"/>
        <v>0</v>
      </c>
      <c r="BT307" s="554">
        <f t="shared" si="78"/>
        <v>0</v>
      </c>
      <c r="BU307" s="554">
        <f t="shared" si="78"/>
        <v>0</v>
      </c>
      <c r="BV307" s="554">
        <f t="shared" si="78"/>
        <v>0</v>
      </c>
      <c r="BW307" s="554">
        <f t="shared" si="78"/>
        <v>580789</v>
      </c>
      <c r="BX307" s="554">
        <f t="shared" si="78"/>
        <v>116568</v>
      </c>
      <c r="BY307" s="554">
        <f t="shared" si="78"/>
        <v>0</v>
      </c>
      <c r="BZ307" s="554">
        <f t="shared" si="78"/>
        <v>538280</v>
      </c>
      <c r="CA307" s="554">
        <f t="shared" si="78"/>
        <v>0</v>
      </c>
      <c r="CB307" s="554">
        <f t="shared" si="78"/>
        <v>639148</v>
      </c>
      <c r="CC307" s="554">
        <f t="shared" si="78"/>
        <v>0</v>
      </c>
      <c r="CD307" s="554">
        <f t="shared" si="78"/>
        <v>0</v>
      </c>
      <c r="CE307" s="554">
        <f t="shared" si="78"/>
        <v>0</v>
      </c>
      <c r="CF307" s="554">
        <f t="shared" si="78"/>
        <v>0</v>
      </c>
      <c r="CG307" s="554">
        <f t="shared" si="78"/>
        <v>588794</v>
      </c>
      <c r="CH307" s="554">
        <f t="shared" si="78"/>
        <v>200749</v>
      </c>
      <c r="CI307" s="554">
        <f t="shared" si="78"/>
        <v>0</v>
      </c>
      <c r="CJ307" s="554">
        <f t="shared" si="78"/>
        <v>0</v>
      </c>
      <c r="CK307" s="554">
        <f t="shared" si="78"/>
        <v>0</v>
      </c>
      <c r="CL307" s="554">
        <f t="shared" si="78"/>
        <v>0</v>
      </c>
      <c r="CM307" s="554">
        <f t="shared" si="78"/>
        <v>0</v>
      </c>
      <c r="CN307" s="554">
        <f t="shared" si="78"/>
        <v>0</v>
      </c>
      <c r="CO307" s="554">
        <f t="shared" si="78"/>
        <v>0</v>
      </c>
      <c r="CP307" s="554">
        <f t="shared" si="78"/>
        <v>0</v>
      </c>
      <c r="CQ307" s="554">
        <f t="shared" si="78"/>
        <v>0</v>
      </c>
      <c r="CR307" s="554">
        <f t="shared" si="78"/>
        <v>0</v>
      </c>
      <c r="CS307" s="554">
        <f t="shared" si="78"/>
        <v>0</v>
      </c>
      <c r="CT307" s="554">
        <f t="shared" si="78"/>
        <v>0</v>
      </c>
      <c r="CU307" s="554">
        <f t="shared" si="78"/>
        <v>0</v>
      </c>
      <c r="CV307" s="554">
        <f t="shared" si="78"/>
        <v>0</v>
      </c>
      <c r="CW307" s="554">
        <f t="shared" si="78"/>
        <v>0</v>
      </c>
      <c r="CX307" s="554">
        <f t="shared" si="78"/>
        <v>0</v>
      </c>
      <c r="CY307" s="554">
        <f t="shared" si="78"/>
        <v>0</v>
      </c>
      <c r="CZ307" s="554">
        <f t="shared" si="78"/>
        <v>0</v>
      </c>
    </row>
    <row r="308" spans="1:104" s="180" customFormat="1" x14ac:dyDescent="0.3">
      <c r="A308" s="557">
        <v>1065</v>
      </c>
      <c r="C308" s="180">
        <v>258</v>
      </c>
      <c r="D308" s="554">
        <f t="shared" ref="D308:AI308" si="79">D255</f>
        <v>0</v>
      </c>
      <c r="E308" s="554">
        <f t="shared" si="79"/>
        <v>0</v>
      </c>
      <c r="F308" s="554">
        <f t="shared" si="79"/>
        <v>0</v>
      </c>
      <c r="G308" s="554">
        <f t="shared" si="79"/>
        <v>0</v>
      </c>
      <c r="H308" s="554">
        <f t="shared" si="79"/>
        <v>0</v>
      </c>
      <c r="I308" s="554">
        <f t="shared" si="79"/>
        <v>0</v>
      </c>
      <c r="J308" s="554">
        <f t="shared" si="79"/>
        <v>0</v>
      </c>
      <c r="K308" s="554">
        <f t="shared" si="79"/>
        <v>0</v>
      </c>
      <c r="L308" s="554">
        <f t="shared" si="79"/>
        <v>0</v>
      </c>
      <c r="M308" s="554">
        <f t="shared" si="79"/>
        <v>0</v>
      </c>
      <c r="N308" s="554">
        <f t="shared" si="79"/>
        <v>0</v>
      </c>
      <c r="O308" s="554">
        <f t="shared" si="79"/>
        <v>0</v>
      </c>
      <c r="P308" s="554">
        <f t="shared" si="79"/>
        <v>0</v>
      </c>
      <c r="Q308" s="554">
        <f t="shared" si="79"/>
        <v>0</v>
      </c>
      <c r="R308" s="554">
        <f t="shared" si="79"/>
        <v>0</v>
      </c>
      <c r="S308" s="554">
        <f t="shared" si="79"/>
        <v>0</v>
      </c>
      <c r="T308" s="554">
        <f t="shared" si="79"/>
        <v>0</v>
      </c>
      <c r="U308" s="554">
        <f t="shared" si="79"/>
        <v>0</v>
      </c>
      <c r="V308" s="554">
        <f t="shared" si="79"/>
        <v>0</v>
      </c>
      <c r="W308" s="554">
        <f t="shared" si="79"/>
        <v>0</v>
      </c>
      <c r="X308" s="554">
        <f t="shared" si="79"/>
        <v>0</v>
      </c>
      <c r="Y308" s="554">
        <f t="shared" si="79"/>
        <v>0</v>
      </c>
      <c r="Z308" s="554">
        <f t="shared" si="79"/>
        <v>0</v>
      </c>
      <c r="AA308" s="554">
        <f t="shared" si="79"/>
        <v>0</v>
      </c>
      <c r="AB308" s="554">
        <f t="shared" si="79"/>
        <v>0</v>
      </c>
      <c r="AC308" s="554">
        <f t="shared" si="79"/>
        <v>0</v>
      </c>
      <c r="AD308" s="554">
        <f t="shared" si="79"/>
        <v>0</v>
      </c>
      <c r="AE308" s="554">
        <f t="shared" si="79"/>
        <v>0</v>
      </c>
      <c r="AF308" s="554">
        <f t="shared" si="79"/>
        <v>0</v>
      </c>
      <c r="AG308" s="554">
        <f t="shared" si="79"/>
        <v>0</v>
      </c>
      <c r="AH308" s="554">
        <f t="shared" si="79"/>
        <v>0</v>
      </c>
      <c r="AI308" s="554">
        <f t="shared" si="79"/>
        <v>0</v>
      </c>
      <c r="AJ308" s="554">
        <f t="shared" ref="AJ308:BO308" si="80">AJ255</f>
        <v>0</v>
      </c>
      <c r="AK308" s="554">
        <f t="shared" si="80"/>
        <v>0</v>
      </c>
      <c r="AL308" s="554">
        <f t="shared" si="80"/>
        <v>0</v>
      </c>
      <c r="AM308" s="554">
        <f t="shared" si="80"/>
        <v>0</v>
      </c>
      <c r="AN308" s="554">
        <f t="shared" si="80"/>
        <v>0</v>
      </c>
      <c r="AO308" s="554">
        <f t="shared" si="80"/>
        <v>0</v>
      </c>
      <c r="AP308" s="554">
        <f t="shared" si="80"/>
        <v>0</v>
      </c>
      <c r="AQ308" s="554">
        <f t="shared" si="80"/>
        <v>0</v>
      </c>
      <c r="AR308" s="554">
        <f t="shared" si="80"/>
        <v>0</v>
      </c>
      <c r="AS308" s="554">
        <f t="shared" si="80"/>
        <v>0</v>
      </c>
      <c r="AT308" s="554">
        <f t="shared" si="80"/>
        <v>0</v>
      </c>
      <c r="AU308" s="554">
        <f t="shared" si="80"/>
        <v>0</v>
      </c>
      <c r="AV308" s="554">
        <f t="shared" si="80"/>
        <v>0</v>
      </c>
      <c r="AW308" s="554">
        <f t="shared" si="80"/>
        <v>0</v>
      </c>
      <c r="AX308" s="554">
        <f t="shared" si="80"/>
        <v>0</v>
      </c>
      <c r="AY308" s="554">
        <f t="shared" si="80"/>
        <v>0</v>
      </c>
      <c r="AZ308" s="554">
        <f t="shared" si="80"/>
        <v>0</v>
      </c>
      <c r="BA308" s="554">
        <f t="shared" si="80"/>
        <v>0</v>
      </c>
      <c r="BB308" s="554">
        <f t="shared" si="80"/>
        <v>0</v>
      </c>
      <c r="BC308" s="554">
        <f t="shared" si="80"/>
        <v>0</v>
      </c>
      <c r="BD308" s="554">
        <f t="shared" si="80"/>
        <v>0</v>
      </c>
      <c r="BE308" s="554">
        <f t="shared" si="80"/>
        <v>0</v>
      </c>
      <c r="BF308" s="554">
        <f t="shared" si="80"/>
        <v>0</v>
      </c>
      <c r="BG308" s="554">
        <f t="shared" si="80"/>
        <v>0</v>
      </c>
      <c r="BH308" s="554">
        <f t="shared" si="80"/>
        <v>0</v>
      </c>
      <c r="BI308" s="554">
        <f t="shared" si="80"/>
        <v>0</v>
      </c>
      <c r="BJ308" s="554">
        <f t="shared" si="80"/>
        <v>0</v>
      </c>
      <c r="BK308" s="554">
        <f t="shared" si="80"/>
        <v>0</v>
      </c>
      <c r="BL308" s="554">
        <f t="shared" si="80"/>
        <v>0</v>
      </c>
      <c r="BM308" s="554">
        <f t="shared" si="80"/>
        <v>0</v>
      </c>
      <c r="BN308" s="554">
        <f t="shared" si="80"/>
        <v>0</v>
      </c>
      <c r="BO308" s="554">
        <f t="shared" si="80"/>
        <v>0</v>
      </c>
      <c r="BP308" s="554">
        <f t="shared" ref="BP308:CZ308" si="81">BP255</f>
        <v>0</v>
      </c>
      <c r="BQ308" s="554">
        <f t="shared" si="81"/>
        <v>0</v>
      </c>
      <c r="BR308" s="554">
        <f t="shared" si="81"/>
        <v>0</v>
      </c>
      <c r="BS308" s="554">
        <f t="shared" si="81"/>
        <v>0</v>
      </c>
      <c r="BT308" s="554">
        <f t="shared" si="81"/>
        <v>0</v>
      </c>
      <c r="BU308" s="554">
        <f t="shared" si="81"/>
        <v>0</v>
      </c>
      <c r="BV308" s="554">
        <f t="shared" si="81"/>
        <v>0</v>
      </c>
      <c r="BW308" s="554">
        <f t="shared" si="81"/>
        <v>0</v>
      </c>
      <c r="BX308" s="554">
        <f t="shared" si="81"/>
        <v>0</v>
      </c>
      <c r="BY308" s="554">
        <f t="shared" si="81"/>
        <v>0</v>
      </c>
      <c r="BZ308" s="554">
        <f t="shared" si="81"/>
        <v>0</v>
      </c>
      <c r="CA308" s="554">
        <f t="shared" si="81"/>
        <v>0</v>
      </c>
      <c r="CB308" s="554">
        <f t="shared" si="81"/>
        <v>0</v>
      </c>
      <c r="CC308" s="554">
        <f t="shared" si="81"/>
        <v>0</v>
      </c>
      <c r="CD308" s="554">
        <f t="shared" si="81"/>
        <v>0</v>
      </c>
      <c r="CE308" s="554">
        <f t="shared" si="81"/>
        <v>0</v>
      </c>
      <c r="CF308" s="554">
        <f t="shared" si="81"/>
        <v>0</v>
      </c>
      <c r="CG308" s="554">
        <f t="shared" si="81"/>
        <v>0</v>
      </c>
      <c r="CH308" s="554">
        <f t="shared" si="81"/>
        <v>0</v>
      </c>
      <c r="CI308" s="554">
        <f t="shared" si="81"/>
        <v>0</v>
      </c>
      <c r="CJ308" s="554">
        <f t="shared" si="81"/>
        <v>0</v>
      </c>
      <c r="CK308" s="554">
        <f t="shared" si="81"/>
        <v>0</v>
      </c>
      <c r="CL308" s="554">
        <f t="shared" si="81"/>
        <v>0</v>
      </c>
      <c r="CM308" s="554">
        <f t="shared" si="81"/>
        <v>0</v>
      </c>
      <c r="CN308" s="554">
        <f t="shared" si="81"/>
        <v>0</v>
      </c>
      <c r="CO308" s="554">
        <f t="shared" si="81"/>
        <v>0</v>
      </c>
      <c r="CP308" s="554">
        <f t="shared" si="81"/>
        <v>0</v>
      </c>
      <c r="CQ308" s="554">
        <f t="shared" si="81"/>
        <v>0</v>
      </c>
      <c r="CR308" s="554">
        <f t="shared" si="81"/>
        <v>0</v>
      </c>
      <c r="CS308" s="554">
        <f t="shared" si="81"/>
        <v>0</v>
      </c>
      <c r="CT308" s="554">
        <f t="shared" si="81"/>
        <v>0</v>
      </c>
      <c r="CU308" s="554">
        <f t="shared" si="81"/>
        <v>0</v>
      </c>
      <c r="CV308" s="554">
        <f t="shared" si="81"/>
        <v>0</v>
      </c>
      <c r="CW308" s="554">
        <f t="shared" si="81"/>
        <v>0</v>
      </c>
      <c r="CX308" s="554">
        <f t="shared" si="81"/>
        <v>0</v>
      </c>
      <c r="CY308" s="554">
        <f t="shared" si="81"/>
        <v>0</v>
      </c>
      <c r="CZ308" s="554">
        <f t="shared" si="81"/>
        <v>0</v>
      </c>
    </row>
    <row r="309" spans="1:104" x14ac:dyDescent="0.3">
      <c r="A309" s="558">
        <v>336</v>
      </c>
      <c r="B309" s="180"/>
      <c r="C309" s="180">
        <v>58</v>
      </c>
      <c r="D309" s="559">
        <f t="shared" ref="D309:AI309" si="82">D58</f>
        <v>296092</v>
      </c>
      <c r="E309" s="559">
        <f t="shared" si="82"/>
        <v>210669</v>
      </c>
      <c r="F309" s="559">
        <f t="shared" si="82"/>
        <v>22098</v>
      </c>
      <c r="G309" s="559">
        <f t="shared" si="82"/>
        <v>36223</v>
      </c>
      <c r="H309" s="559">
        <f t="shared" si="82"/>
        <v>0</v>
      </c>
      <c r="I309" s="559">
        <f t="shared" si="82"/>
        <v>287817</v>
      </c>
      <c r="J309" s="559">
        <f t="shared" si="82"/>
        <v>56397</v>
      </c>
      <c r="K309" s="559">
        <f t="shared" si="82"/>
        <v>2269765</v>
      </c>
      <c r="L309" s="559">
        <f t="shared" si="82"/>
        <v>0</v>
      </c>
      <c r="M309" s="559">
        <f t="shared" si="82"/>
        <v>6330524</v>
      </c>
      <c r="N309" s="559">
        <f t="shared" si="82"/>
        <v>0</v>
      </c>
      <c r="O309" s="559">
        <f t="shared" si="82"/>
        <v>77561123</v>
      </c>
      <c r="P309" s="559">
        <f t="shared" si="82"/>
        <v>1014</v>
      </c>
      <c r="Q309" s="559">
        <f t="shared" si="82"/>
        <v>4765</v>
      </c>
      <c r="R309" s="559">
        <f t="shared" si="82"/>
        <v>75011</v>
      </c>
      <c r="S309" s="559">
        <f t="shared" si="82"/>
        <v>324837</v>
      </c>
      <c r="T309" s="559">
        <f t="shared" si="82"/>
        <v>299012</v>
      </c>
      <c r="U309" s="559">
        <f t="shared" si="82"/>
        <v>9107</v>
      </c>
      <c r="V309" s="559">
        <f t="shared" si="82"/>
        <v>98943</v>
      </c>
      <c r="W309" s="559">
        <f t="shared" si="82"/>
        <v>34749</v>
      </c>
      <c r="X309" s="559">
        <f t="shared" si="82"/>
        <v>24253666</v>
      </c>
      <c r="Y309" s="559">
        <f t="shared" si="82"/>
        <v>386817000</v>
      </c>
      <c r="Z309" s="559">
        <f t="shared" si="82"/>
        <v>968355</v>
      </c>
      <c r="AA309" s="559">
        <f t="shared" si="82"/>
        <v>46768</v>
      </c>
      <c r="AB309" s="559">
        <f t="shared" si="82"/>
        <v>500286</v>
      </c>
      <c r="AC309" s="559">
        <f t="shared" si="82"/>
        <v>0</v>
      </c>
      <c r="AD309" s="559">
        <f t="shared" si="82"/>
        <v>463076</v>
      </c>
      <c r="AE309" s="559">
        <f t="shared" si="82"/>
        <v>205634</v>
      </c>
      <c r="AF309" s="559">
        <f t="shared" si="82"/>
        <v>3612903</v>
      </c>
      <c r="AG309" s="559">
        <f t="shared" si="82"/>
        <v>2988143</v>
      </c>
      <c r="AH309" s="559">
        <f t="shared" si="82"/>
        <v>24823</v>
      </c>
      <c r="AI309" s="559">
        <f t="shared" si="82"/>
        <v>964794</v>
      </c>
      <c r="AJ309" s="559">
        <f t="shared" ref="AJ309:BO309" si="83">AJ58</f>
        <v>94346</v>
      </c>
      <c r="AK309" s="559">
        <f t="shared" si="83"/>
        <v>5068</v>
      </c>
      <c r="AL309" s="559">
        <f t="shared" si="83"/>
        <v>70568</v>
      </c>
      <c r="AM309" s="559">
        <f t="shared" si="83"/>
        <v>0</v>
      </c>
      <c r="AN309" s="559">
        <f t="shared" si="83"/>
        <v>8520</v>
      </c>
      <c r="AO309" s="559">
        <f t="shared" si="83"/>
        <v>0</v>
      </c>
      <c r="AP309" s="559">
        <f t="shared" si="83"/>
        <v>1299</v>
      </c>
      <c r="AQ309" s="559">
        <f t="shared" si="83"/>
        <v>34874789</v>
      </c>
      <c r="AR309" s="559">
        <f t="shared" si="83"/>
        <v>34454</v>
      </c>
      <c r="AS309" s="559">
        <f t="shared" si="83"/>
        <v>238585</v>
      </c>
      <c r="AT309" s="559">
        <f t="shared" si="83"/>
        <v>2045495</v>
      </c>
      <c r="AU309" s="559">
        <f t="shared" si="83"/>
        <v>35530</v>
      </c>
      <c r="AV309" s="559">
        <f t="shared" si="83"/>
        <v>2784</v>
      </c>
      <c r="AW309" s="559">
        <f t="shared" si="83"/>
        <v>11951108</v>
      </c>
      <c r="AX309" s="559">
        <f t="shared" si="83"/>
        <v>7813</v>
      </c>
      <c r="AY309" s="559">
        <f t="shared" si="83"/>
        <v>900401</v>
      </c>
      <c r="AZ309" s="559">
        <f t="shared" si="83"/>
        <v>302471</v>
      </c>
      <c r="BA309" s="559">
        <f t="shared" si="83"/>
        <v>552</v>
      </c>
      <c r="BB309" s="559">
        <f t="shared" si="83"/>
        <v>2458</v>
      </c>
      <c r="BC309" s="559">
        <f t="shared" si="83"/>
        <v>1391659</v>
      </c>
      <c r="BD309" s="559">
        <f t="shared" si="83"/>
        <v>29863</v>
      </c>
      <c r="BE309" s="559">
        <f t="shared" si="83"/>
        <v>4111599</v>
      </c>
      <c r="BF309" s="559">
        <f t="shared" si="83"/>
        <v>27452</v>
      </c>
      <c r="BG309" s="559">
        <f t="shared" si="83"/>
        <v>46289</v>
      </c>
      <c r="BH309" s="559">
        <f t="shared" si="83"/>
        <v>137827</v>
      </c>
      <c r="BI309" s="559">
        <f t="shared" si="83"/>
        <v>384532</v>
      </c>
      <c r="BJ309" s="559">
        <f t="shared" si="83"/>
        <v>36137</v>
      </c>
      <c r="BK309" s="559">
        <f t="shared" si="83"/>
        <v>106626</v>
      </c>
      <c r="BL309" s="559">
        <f t="shared" si="83"/>
        <v>313272</v>
      </c>
      <c r="BM309" s="559">
        <f t="shared" si="83"/>
        <v>87603</v>
      </c>
      <c r="BN309" s="559">
        <f t="shared" si="83"/>
        <v>3797623</v>
      </c>
      <c r="BO309" s="559">
        <f t="shared" si="83"/>
        <v>4257483</v>
      </c>
      <c r="BP309" s="559">
        <f t="shared" ref="BP309:CZ309" si="84">BP58</f>
        <v>147478223</v>
      </c>
      <c r="BQ309" s="559">
        <f t="shared" si="84"/>
        <v>691</v>
      </c>
      <c r="BR309" s="559">
        <f t="shared" si="84"/>
        <v>0</v>
      </c>
      <c r="BS309" s="559">
        <f t="shared" si="84"/>
        <v>103603</v>
      </c>
      <c r="BT309" s="559">
        <f t="shared" si="84"/>
        <v>0</v>
      </c>
      <c r="BU309" s="559">
        <f t="shared" si="84"/>
        <v>104178</v>
      </c>
      <c r="BV309" s="559">
        <f t="shared" si="84"/>
        <v>85629</v>
      </c>
      <c r="BW309" s="559">
        <f t="shared" si="84"/>
        <v>2569511</v>
      </c>
      <c r="BX309" s="559">
        <f t="shared" si="84"/>
        <v>1474896</v>
      </c>
      <c r="BY309" s="559">
        <f t="shared" si="84"/>
        <v>0</v>
      </c>
      <c r="BZ309" s="559">
        <f t="shared" si="84"/>
        <v>1356077</v>
      </c>
      <c r="CA309" s="559">
        <f t="shared" si="84"/>
        <v>47655</v>
      </c>
      <c r="CB309" s="559">
        <f t="shared" si="84"/>
        <v>311364</v>
      </c>
      <c r="CC309" s="559">
        <f t="shared" si="84"/>
        <v>6857</v>
      </c>
      <c r="CD309" s="559">
        <f t="shared" si="84"/>
        <v>19374</v>
      </c>
      <c r="CE309" s="559">
        <f t="shared" si="84"/>
        <v>0</v>
      </c>
      <c r="CF309" s="559">
        <f t="shared" si="84"/>
        <v>2305334</v>
      </c>
      <c r="CG309" s="559">
        <f t="shared" si="84"/>
        <v>3037399</v>
      </c>
      <c r="CH309" s="559">
        <f t="shared" si="84"/>
        <v>411678</v>
      </c>
      <c r="CI309" s="559">
        <f t="shared" si="84"/>
        <v>946131</v>
      </c>
      <c r="CJ309" s="559">
        <f t="shared" si="84"/>
        <v>0</v>
      </c>
      <c r="CK309" s="559">
        <f t="shared" si="84"/>
        <v>647</v>
      </c>
      <c r="CL309" s="559">
        <f t="shared" si="84"/>
        <v>0</v>
      </c>
      <c r="CM309" s="559">
        <f t="shared" si="84"/>
        <v>0</v>
      </c>
      <c r="CN309" s="559">
        <f t="shared" si="84"/>
        <v>0</v>
      </c>
      <c r="CO309" s="559">
        <f t="shared" si="84"/>
        <v>0</v>
      </c>
      <c r="CP309" s="559">
        <f t="shared" si="84"/>
        <v>0</v>
      </c>
      <c r="CQ309" s="559">
        <f t="shared" si="84"/>
        <v>0</v>
      </c>
      <c r="CR309" s="559">
        <f t="shared" si="84"/>
        <v>0</v>
      </c>
      <c r="CS309" s="559">
        <f t="shared" si="84"/>
        <v>0</v>
      </c>
      <c r="CT309" s="559">
        <f t="shared" si="84"/>
        <v>0</v>
      </c>
      <c r="CU309" s="559">
        <f t="shared" si="84"/>
        <v>0</v>
      </c>
      <c r="CV309" s="559">
        <f t="shared" si="84"/>
        <v>0</v>
      </c>
      <c r="CW309" s="559">
        <f t="shared" si="84"/>
        <v>0</v>
      </c>
      <c r="CX309" s="559">
        <f t="shared" si="84"/>
        <v>0</v>
      </c>
      <c r="CY309" s="559">
        <f t="shared" si="84"/>
        <v>0</v>
      </c>
      <c r="CZ309" s="559">
        <f t="shared" si="84"/>
        <v>0</v>
      </c>
    </row>
    <row r="310" spans="1:104" x14ac:dyDescent="0.3">
      <c r="A310" s="558">
        <v>44</v>
      </c>
      <c r="B310" s="180"/>
      <c r="C310" s="180">
        <v>14</v>
      </c>
      <c r="D310" s="559">
        <f t="shared" ref="D310:AI310" si="85">D14</f>
        <v>173425</v>
      </c>
      <c r="E310" s="559">
        <f t="shared" si="85"/>
        <v>0</v>
      </c>
      <c r="F310" s="559">
        <f t="shared" si="85"/>
        <v>1212933</v>
      </c>
      <c r="G310" s="559">
        <f t="shared" si="85"/>
        <v>268445</v>
      </c>
      <c r="H310" s="559">
        <f t="shared" si="85"/>
        <v>0</v>
      </c>
      <c r="I310" s="559">
        <f t="shared" si="85"/>
        <v>5472907</v>
      </c>
      <c r="J310" s="559">
        <f t="shared" si="85"/>
        <v>0</v>
      </c>
      <c r="K310" s="559">
        <f t="shared" si="85"/>
        <v>5398599</v>
      </c>
      <c r="L310" s="559">
        <f t="shared" si="85"/>
        <v>0</v>
      </c>
      <c r="M310" s="559">
        <f t="shared" si="85"/>
        <v>0</v>
      </c>
      <c r="N310" s="559">
        <f t="shared" si="85"/>
        <v>0</v>
      </c>
      <c r="O310" s="559">
        <f t="shared" si="85"/>
        <v>278842314</v>
      </c>
      <c r="P310" s="559">
        <f t="shared" si="85"/>
        <v>0</v>
      </c>
      <c r="Q310" s="559">
        <f t="shared" si="85"/>
        <v>0</v>
      </c>
      <c r="R310" s="559">
        <f t="shared" si="85"/>
        <v>0</v>
      </c>
      <c r="S310" s="559">
        <f t="shared" si="85"/>
        <v>0</v>
      </c>
      <c r="T310" s="559">
        <f t="shared" si="85"/>
        <v>0</v>
      </c>
      <c r="U310" s="559">
        <f t="shared" si="85"/>
        <v>0</v>
      </c>
      <c r="V310" s="559">
        <f t="shared" si="85"/>
        <v>186952</v>
      </c>
      <c r="W310" s="559">
        <f t="shared" si="85"/>
        <v>2190999</v>
      </c>
      <c r="X310" s="559">
        <f t="shared" si="85"/>
        <v>0</v>
      </c>
      <c r="Y310" s="559">
        <f t="shared" si="85"/>
        <v>296314000</v>
      </c>
      <c r="Z310" s="559">
        <f t="shared" si="85"/>
        <v>2463927</v>
      </c>
      <c r="AA310" s="559">
        <f t="shared" si="85"/>
        <v>269879</v>
      </c>
      <c r="AB310" s="559">
        <f t="shared" si="85"/>
        <v>0</v>
      </c>
      <c r="AC310" s="559">
        <f t="shared" si="85"/>
        <v>0</v>
      </c>
      <c r="AD310" s="559">
        <f t="shared" si="85"/>
        <v>4341052</v>
      </c>
      <c r="AE310" s="559">
        <f t="shared" si="85"/>
        <v>664332</v>
      </c>
      <c r="AF310" s="559">
        <f t="shared" si="85"/>
        <v>13472392</v>
      </c>
      <c r="AG310" s="559">
        <f t="shared" si="85"/>
        <v>0</v>
      </c>
      <c r="AH310" s="559">
        <f t="shared" si="85"/>
        <v>2925970</v>
      </c>
      <c r="AI310" s="559">
        <f t="shared" si="85"/>
        <v>7231870</v>
      </c>
      <c r="AJ310" s="559">
        <f t="shared" ref="AJ310:BO310" si="86">AJ14</f>
        <v>1110657</v>
      </c>
      <c r="AK310" s="559">
        <f t="shared" si="86"/>
        <v>913912</v>
      </c>
      <c r="AL310" s="559">
        <f t="shared" si="86"/>
        <v>549674</v>
      </c>
      <c r="AM310" s="559">
        <f t="shared" si="86"/>
        <v>0</v>
      </c>
      <c r="AN310" s="559">
        <f t="shared" si="86"/>
        <v>2896948</v>
      </c>
      <c r="AO310" s="559">
        <f t="shared" si="86"/>
        <v>0</v>
      </c>
      <c r="AP310" s="559">
        <f t="shared" si="86"/>
        <v>0</v>
      </c>
      <c r="AQ310" s="559">
        <f t="shared" si="86"/>
        <v>101345216</v>
      </c>
      <c r="AR310" s="559">
        <f t="shared" si="86"/>
        <v>0</v>
      </c>
      <c r="AS310" s="559">
        <f t="shared" si="86"/>
        <v>67946</v>
      </c>
      <c r="AT310" s="559">
        <f t="shared" si="86"/>
        <v>10379472</v>
      </c>
      <c r="AU310" s="559">
        <f t="shared" si="86"/>
        <v>1194770</v>
      </c>
      <c r="AV310" s="559">
        <f t="shared" si="86"/>
        <v>0</v>
      </c>
      <c r="AW310" s="559">
        <f t="shared" si="86"/>
        <v>0</v>
      </c>
      <c r="AX310" s="559">
        <f t="shared" si="86"/>
        <v>114746</v>
      </c>
      <c r="AY310" s="559">
        <f t="shared" si="86"/>
        <v>0</v>
      </c>
      <c r="AZ310" s="559">
        <f t="shared" si="86"/>
        <v>0</v>
      </c>
      <c r="BA310" s="559">
        <f t="shared" si="86"/>
        <v>371905</v>
      </c>
      <c r="BB310" s="559">
        <f t="shared" si="86"/>
        <v>58762</v>
      </c>
      <c r="BC310" s="559">
        <f t="shared" si="86"/>
        <v>3184899</v>
      </c>
      <c r="BD310" s="559">
        <f t="shared" si="86"/>
        <v>0</v>
      </c>
      <c r="BE310" s="559">
        <f t="shared" si="86"/>
        <v>0</v>
      </c>
      <c r="BF310" s="559">
        <f t="shared" si="86"/>
        <v>1081854</v>
      </c>
      <c r="BG310" s="559">
        <f t="shared" si="86"/>
        <v>0</v>
      </c>
      <c r="BH310" s="559">
        <f t="shared" si="86"/>
        <v>0</v>
      </c>
      <c r="BI310" s="559">
        <f t="shared" si="86"/>
        <v>1241954</v>
      </c>
      <c r="BJ310" s="559">
        <f t="shared" si="86"/>
        <v>0</v>
      </c>
      <c r="BK310" s="559">
        <f t="shared" si="86"/>
        <v>112033</v>
      </c>
      <c r="BL310" s="559">
        <f t="shared" si="86"/>
        <v>2814352</v>
      </c>
      <c r="BM310" s="559">
        <f t="shared" si="86"/>
        <v>415844</v>
      </c>
      <c r="BN310" s="559">
        <f t="shared" si="86"/>
        <v>0</v>
      </c>
      <c r="BO310" s="559">
        <f t="shared" si="86"/>
        <v>3635667</v>
      </c>
      <c r="BP310" s="559">
        <f t="shared" ref="BP310:CZ310" si="87">BP14</f>
        <v>157523961</v>
      </c>
      <c r="BQ310" s="559">
        <f t="shared" si="87"/>
        <v>0</v>
      </c>
      <c r="BR310" s="559">
        <f t="shared" si="87"/>
        <v>0</v>
      </c>
      <c r="BS310" s="559">
        <f t="shared" si="87"/>
        <v>528152</v>
      </c>
      <c r="BT310" s="559">
        <f t="shared" si="87"/>
        <v>0</v>
      </c>
      <c r="BU310" s="559">
        <f t="shared" si="87"/>
        <v>287930</v>
      </c>
      <c r="BV310" s="559">
        <f t="shared" si="87"/>
        <v>0</v>
      </c>
      <c r="BW310" s="559">
        <f t="shared" si="87"/>
        <v>6069017</v>
      </c>
      <c r="BX310" s="559">
        <f t="shared" si="87"/>
        <v>993938</v>
      </c>
      <c r="BY310" s="559">
        <f t="shared" si="87"/>
        <v>0</v>
      </c>
      <c r="BZ310" s="559">
        <f t="shared" si="87"/>
        <v>3430425</v>
      </c>
      <c r="CA310" s="559">
        <f t="shared" si="87"/>
        <v>191385</v>
      </c>
      <c r="CB310" s="559">
        <f t="shared" si="87"/>
        <v>2966079</v>
      </c>
      <c r="CC310" s="559">
        <f t="shared" si="87"/>
        <v>1180959</v>
      </c>
      <c r="CD310" s="559">
        <f t="shared" si="87"/>
        <v>120328</v>
      </c>
      <c r="CE310" s="559">
        <f t="shared" si="87"/>
        <v>0</v>
      </c>
      <c r="CF310" s="559">
        <f t="shared" si="87"/>
        <v>5914426</v>
      </c>
      <c r="CG310" s="559">
        <f t="shared" si="87"/>
        <v>0</v>
      </c>
      <c r="CH310" s="559">
        <f t="shared" si="87"/>
        <v>1085297</v>
      </c>
      <c r="CI310" s="559">
        <f t="shared" si="87"/>
        <v>0</v>
      </c>
      <c r="CJ310" s="559">
        <f t="shared" si="87"/>
        <v>0</v>
      </c>
      <c r="CK310" s="559">
        <f t="shared" si="87"/>
        <v>39345</v>
      </c>
      <c r="CL310" s="559">
        <f t="shared" si="87"/>
        <v>0</v>
      </c>
      <c r="CM310" s="559">
        <f t="shared" si="87"/>
        <v>0</v>
      </c>
      <c r="CN310" s="559">
        <f t="shared" si="87"/>
        <v>0</v>
      </c>
      <c r="CO310" s="559">
        <f t="shared" si="87"/>
        <v>0</v>
      </c>
      <c r="CP310" s="559">
        <f t="shared" si="87"/>
        <v>0</v>
      </c>
      <c r="CQ310" s="559">
        <f t="shared" si="87"/>
        <v>0</v>
      </c>
      <c r="CR310" s="559">
        <f t="shared" si="87"/>
        <v>0</v>
      </c>
      <c r="CS310" s="559">
        <f t="shared" si="87"/>
        <v>0</v>
      </c>
      <c r="CT310" s="559">
        <f t="shared" si="87"/>
        <v>0</v>
      </c>
      <c r="CU310" s="559">
        <f t="shared" si="87"/>
        <v>0</v>
      </c>
      <c r="CV310" s="559">
        <f t="shared" si="87"/>
        <v>0</v>
      </c>
      <c r="CW310" s="559">
        <f t="shared" si="87"/>
        <v>0</v>
      </c>
      <c r="CX310" s="559">
        <f t="shared" si="87"/>
        <v>0</v>
      </c>
      <c r="CY310" s="559">
        <f t="shared" si="87"/>
        <v>0</v>
      </c>
      <c r="CZ310" s="559">
        <f t="shared" si="87"/>
        <v>0</v>
      </c>
    </row>
    <row r="311" spans="1:104" x14ac:dyDescent="0.3">
      <c r="A311" s="558">
        <v>45</v>
      </c>
      <c r="B311" s="180"/>
      <c r="C311" s="180">
        <v>15</v>
      </c>
      <c r="D311" s="559">
        <f t="shared" ref="D311:AI311" si="88">D15</f>
        <v>3003</v>
      </c>
      <c r="E311" s="559">
        <f t="shared" si="88"/>
        <v>0</v>
      </c>
      <c r="F311" s="559">
        <f t="shared" si="88"/>
        <v>20038</v>
      </c>
      <c r="G311" s="559">
        <f t="shared" si="88"/>
        <v>193296</v>
      </c>
      <c r="H311" s="559">
        <f t="shared" si="88"/>
        <v>0</v>
      </c>
      <c r="I311" s="559">
        <f t="shared" si="88"/>
        <v>389744</v>
      </c>
      <c r="J311" s="559">
        <f t="shared" si="88"/>
        <v>0</v>
      </c>
      <c r="K311" s="559">
        <f t="shared" si="88"/>
        <v>2391171</v>
      </c>
      <c r="L311" s="559">
        <f t="shared" si="88"/>
        <v>0</v>
      </c>
      <c r="M311" s="559">
        <f t="shared" si="88"/>
        <v>0</v>
      </c>
      <c r="N311" s="559">
        <f t="shared" si="88"/>
        <v>0</v>
      </c>
      <c r="O311" s="559">
        <f t="shared" si="88"/>
        <v>16921041</v>
      </c>
      <c r="P311" s="559">
        <f t="shared" si="88"/>
        <v>0</v>
      </c>
      <c r="Q311" s="559">
        <f t="shared" si="88"/>
        <v>0</v>
      </c>
      <c r="R311" s="559">
        <f t="shared" si="88"/>
        <v>0</v>
      </c>
      <c r="S311" s="559">
        <f t="shared" si="88"/>
        <v>0</v>
      </c>
      <c r="T311" s="559">
        <f t="shared" si="88"/>
        <v>0</v>
      </c>
      <c r="U311" s="559">
        <f t="shared" si="88"/>
        <v>0</v>
      </c>
      <c r="V311" s="559">
        <f t="shared" si="88"/>
        <v>9724</v>
      </c>
      <c r="W311" s="559">
        <f t="shared" si="88"/>
        <v>252246</v>
      </c>
      <c r="X311" s="559">
        <f t="shared" si="88"/>
        <v>0</v>
      </c>
      <c r="Y311" s="559">
        <f t="shared" si="88"/>
        <v>277362000</v>
      </c>
      <c r="Z311" s="559">
        <f t="shared" si="88"/>
        <v>1336366</v>
      </c>
      <c r="AA311" s="559">
        <f t="shared" si="88"/>
        <v>5301</v>
      </c>
      <c r="AB311" s="559">
        <f t="shared" si="88"/>
        <v>0</v>
      </c>
      <c r="AC311" s="559">
        <f t="shared" si="88"/>
        <v>0</v>
      </c>
      <c r="AD311" s="559">
        <f t="shared" si="88"/>
        <v>293554</v>
      </c>
      <c r="AE311" s="559">
        <f t="shared" si="88"/>
        <v>44450</v>
      </c>
      <c r="AF311" s="559">
        <f t="shared" si="88"/>
        <v>9141806</v>
      </c>
      <c r="AG311" s="559">
        <f t="shared" si="88"/>
        <v>0</v>
      </c>
      <c r="AH311" s="559">
        <f t="shared" si="88"/>
        <v>0</v>
      </c>
      <c r="AI311" s="559">
        <f t="shared" si="88"/>
        <v>653635</v>
      </c>
      <c r="AJ311" s="559">
        <f t="shared" ref="AJ311:BO311" si="89">AJ15</f>
        <v>70777</v>
      </c>
      <c r="AK311" s="559">
        <f t="shared" si="89"/>
        <v>51165</v>
      </c>
      <c r="AL311" s="559">
        <f t="shared" si="89"/>
        <v>80593</v>
      </c>
      <c r="AM311" s="559">
        <f t="shared" si="89"/>
        <v>0</v>
      </c>
      <c r="AN311" s="559">
        <f t="shared" si="89"/>
        <v>141053</v>
      </c>
      <c r="AO311" s="559">
        <f t="shared" si="89"/>
        <v>0</v>
      </c>
      <c r="AP311" s="559">
        <f t="shared" si="89"/>
        <v>0</v>
      </c>
      <c r="AQ311" s="559">
        <f t="shared" si="89"/>
        <v>4931108</v>
      </c>
      <c r="AR311" s="559">
        <f t="shared" si="89"/>
        <v>0</v>
      </c>
      <c r="AS311" s="559">
        <f t="shared" si="89"/>
        <v>0</v>
      </c>
      <c r="AT311" s="559">
        <f t="shared" si="89"/>
        <v>681574</v>
      </c>
      <c r="AU311" s="559">
        <f t="shared" si="89"/>
        <v>69232</v>
      </c>
      <c r="AV311" s="559">
        <f t="shared" si="89"/>
        <v>0</v>
      </c>
      <c r="AW311" s="559">
        <f t="shared" si="89"/>
        <v>0</v>
      </c>
      <c r="AX311" s="559">
        <f t="shared" si="89"/>
        <v>47154</v>
      </c>
      <c r="AY311" s="559">
        <f t="shared" si="89"/>
        <v>0</v>
      </c>
      <c r="AZ311" s="559">
        <f t="shared" si="89"/>
        <v>0</v>
      </c>
      <c r="BA311" s="559">
        <f t="shared" si="89"/>
        <v>11624</v>
      </c>
      <c r="BB311" s="559">
        <f t="shared" si="89"/>
        <v>0</v>
      </c>
      <c r="BC311" s="559">
        <f t="shared" si="89"/>
        <v>244899</v>
      </c>
      <c r="BD311" s="559">
        <f t="shared" si="89"/>
        <v>0</v>
      </c>
      <c r="BE311" s="559">
        <f t="shared" si="89"/>
        <v>0</v>
      </c>
      <c r="BF311" s="559">
        <f t="shared" si="89"/>
        <v>246440</v>
      </c>
      <c r="BG311" s="559">
        <f t="shared" si="89"/>
        <v>0</v>
      </c>
      <c r="BH311" s="559">
        <f t="shared" si="89"/>
        <v>0</v>
      </c>
      <c r="BI311" s="559">
        <f t="shared" si="89"/>
        <v>121894</v>
      </c>
      <c r="BJ311" s="559">
        <f t="shared" si="89"/>
        <v>0</v>
      </c>
      <c r="BK311" s="559">
        <f t="shared" si="89"/>
        <v>37260</v>
      </c>
      <c r="BL311" s="559">
        <f t="shared" si="89"/>
        <v>2154669</v>
      </c>
      <c r="BM311" s="559">
        <f t="shared" si="89"/>
        <v>81505</v>
      </c>
      <c r="BN311" s="559">
        <f t="shared" si="89"/>
        <v>0</v>
      </c>
      <c r="BO311" s="559">
        <f t="shared" si="89"/>
        <v>1995184</v>
      </c>
      <c r="BP311" s="559">
        <f t="shared" ref="BP311:CZ311" si="90">BP15</f>
        <v>40944643</v>
      </c>
      <c r="BQ311" s="559">
        <f t="shared" si="90"/>
        <v>0</v>
      </c>
      <c r="BR311" s="559">
        <f t="shared" si="90"/>
        <v>0</v>
      </c>
      <c r="BS311" s="559">
        <f t="shared" si="90"/>
        <v>31971</v>
      </c>
      <c r="BT311" s="559">
        <f t="shared" si="90"/>
        <v>0</v>
      </c>
      <c r="BU311" s="559">
        <f t="shared" si="90"/>
        <v>0</v>
      </c>
      <c r="BV311" s="559">
        <f t="shared" si="90"/>
        <v>0</v>
      </c>
      <c r="BW311" s="559">
        <f t="shared" si="90"/>
        <v>1774552</v>
      </c>
      <c r="BX311" s="559">
        <f t="shared" si="90"/>
        <v>171004</v>
      </c>
      <c r="BY311" s="559">
        <f t="shared" si="90"/>
        <v>0</v>
      </c>
      <c r="BZ311" s="559">
        <f t="shared" si="90"/>
        <v>288665</v>
      </c>
      <c r="CA311" s="559">
        <f t="shared" si="90"/>
        <v>9910</v>
      </c>
      <c r="CB311" s="559">
        <f t="shared" si="90"/>
        <v>193120</v>
      </c>
      <c r="CC311" s="559">
        <f t="shared" si="90"/>
        <v>653</v>
      </c>
      <c r="CD311" s="559">
        <f t="shared" si="90"/>
        <v>1553</v>
      </c>
      <c r="CE311" s="559">
        <f t="shared" si="90"/>
        <v>0</v>
      </c>
      <c r="CF311" s="559">
        <f t="shared" si="90"/>
        <v>490187</v>
      </c>
      <c r="CG311" s="559">
        <f t="shared" si="90"/>
        <v>0</v>
      </c>
      <c r="CH311" s="559">
        <f t="shared" si="90"/>
        <v>109321</v>
      </c>
      <c r="CI311" s="559">
        <f t="shared" si="90"/>
        <v>0</v>
      </c>
      <c r="CJ311" s="559">
        <f t="shared" si="90"/>
        <v>0</v>
      </c>
      <c r="CK311" s="559">
        <f t="shared" si="90"/>
        <v>20129</v>
      </c>
      <c r="CL311" s="559">
        <f t="shared" si="90"/>
        <v>0</v>
      </c>
      <c r="CM311" s="559">
        <f t="shared" si="90"/>
        <v>0</v>
      </c>
      <c r="CN311" s="559">
        <f t="shared" si="90"/>
        <v>0</v>
      </c>
      <c r="CO311" s="559">
        <f t="shared" si="90"/>
        <v>0</v>
      </c>
      <c r="CP311" s="559">
        <f t="shared" si="90"/>
        <v>0</v>
      </c>
      <c r="CQ311" s="559">
        <f t="shared" si="90"/>
        <v>0</v>
      </c>
      <c r="CR311" s="559">
        <f t="shared" si="90"/>
        <v>0</v>
      </c>
      <c r="CS311" s="559">
        <f t="shared" si="90"/>
        <v>0</v>
      </c>
      <c r="CT311" s="559">
        <f t="shared" si="90"/>
        <v>0</v>
      </c>
      <c r="CU311" s="559">
        <f t="shared" si="90"/>
        <v>0</v>
      </c>
      <c r="CV311" s="559">
        <f t="shared" si="90"/>
        <v>0</v>
      </c>
      <c r="CW311" s="559">
        <f t="shared" si="90"/>
        <v>0</v>
      </c>
      <c r="CX311" s="559">
        <f t="shared" si="90"/>
        <v>0</v>
      </c>
      <c r="CY311" s="559">
        <f t="shared" si="90"/>
        <v>0</v>
      </c>
      <c r="CZ311" s="559">
        <f t="shared" si="90"/>
        <v>0</v>
      </c>
    </row>
    <row r="312" spans="1:104" x14ac:dyDescent="0.3">
      <c r="A312" s="558">
        <v>47</v>
      </c>
      <c r="B312" s="180"/>
      <c r="C312" s="180">
        <v>16</v>
      </c>
      <c r="D312" s="559">
        <f t="shared" ref="D312:AI312" si="91">D16</f>
        <v>0</v>
      </c>
      <c r="E312" s="559">
        <f t="shared" si="91"/>
        <v>0</v>
      </c>
      <c r="F312" s="559">
        <f t="shared" si="91"/>
        <v>0</v>
      </c>
      <c r="G312" s="559">
        <f t="shared" si="91"/>
        <v>0</v>
      </c>
      <c r="H312" s="559">
        <f t="shared" si="91"/>
        <v>0</v>
      </c>
      <c r="I312" s="559">
        <f t="shared" si="91"/>
        <v>0</v>
      </c>
      <c r="J312" s="559">
        <f t="shared" si="91"/>
        <v>0</v>
      </c>
      <c r="K312" s="559">
        <f t="shared" si="91"/>
        <v>0</v>
      </c>
      <c r="L312" s="559">
        <f t="shared" si="91"/>
        <v>0</v>
      </c>
      <c r="M312" s="559">
        <f t="shared" si="91"/>
        <v>0</v>
      </c>
      <c r="N312" s="559">
        <f t="shared" si="91"/>
        <v>0</v>
      </c>
      <c r="O312" s="559">
        <f t="shared" si="91"/>
        <v>0</v>
      </c>
      <c r="P312" s="559">
        <f t="shared" si="91"/>
        <v>0</v>
      </c>
      <c r="Q312" s="559">
        <f t="shared" si="91"/>
        <v>0</v>
      </c>
      <c r="R312" s="559">
        <f t="shared" si="91"/>
        <v>0</v>
      </c>
      <c r="S312" s="559">
        <f t="shared" si="91"/>
        <v>0</v>
      </c>
      <c r="T312" s="559">
        <f t="shared" si="91"/>
        <v>0</v>
      </c>
      <c r="U312" s="559">
        <f t="shared" si="91"/>
        <v>0</v>
      </c>
      <c r="V312" s="559">
        <f t="shared" si="91"/>
        <v>0</v>
      </c>
      <c r="W312" s="559">
        <f t="shared" si="91"/>
        <v>0</v>
      </c>
      <c r="X312" s="559">
        <f t="shared" si="91"/>
        <v>0</v>
      </c>
      <c r="Y312" s="559">
        <f t="shared" si="91"/>
        <v>0</v>
      </c>
      <c r="Z312" s="559">
        <f t="shared" si="91"/>
        <v>4880810</v>
      </c>
      <c r="AA312" s="559">
        <f t="shared" si="91"/>
        <v>0</v>
      </c>
      <c r="AB312" s="559">
        <f t="shared" si="91"/>
        <v>0</v>
      </c>
      <c r="AC312" s="559">
        <f t="shared" si="91"/>
        <v>0</v>
      </c>
      <c r="AD312" s="559">
        <f t="shared" si="91"/>
        <v>0</v>
      </c>
      <c r="AE312" s="559">
        <f t="shared" si="91"/>
        <v>0</v>
      </c>
      <c r="AF312" s="559">
        <f t="shared" si="91"/>
        <v>8449949</v>
      </c>
      <c r="AG312" s="559">
        <f t="shared" si="91"/>
        <v>0</v>
      </c>
      <c r="AH312" s="559">
        <f t="shared" si="91"/>
        <v>0</v>
      </c>
      <c r="AI312" s="559">
        <f t="shared" si="91"/>
        <v>0</v>
      </c>
      <c r="AJ312" s="559">
        <f t="shared" ref="AJ312:BO312" si="92">AJ16</f>
        <v>0</v>
      </c>
      <c r="AK312" s="559">
        <f t="shared" si="92"/>
        <v>0</v>
      </c>
      <c r="AL312" s="559">
        <f t="shared" si="92"/>
        <v>0</v>
      </c>
      <c r="AM312" s="559">
        <f t="shared" si="92"/>
        <v>0</v>
      </c>
      <c r="AN312" s="559">
        <f t="shared" si="92"/>
        <v>0</v>
      </c>
      <c r="AO312" s="559">
        <f t="shared" si="92"/>
        <v>0</v>
      </c>
      <c r="AP312" s="559">
        <f t="shared" si="92"/>
        <v>0</v>
      </c>
      <c r="AQ312" s="559">
        <f t="shared" si="92"/>
        <v>107991281</v>
      </c>
      <c r="AR312" s="559">
        <f t="shared" si="92"/>
        <v>0</v>
      </c>
      <c r="AS312" s="559">
        <f t="shared" si="92"/>
        <v>0</v>
      </c>
      <c r="AT312" s="559">
        <f t="shared" si="92"/>
        <v>0</v>
      </c>
      <c r="AU312" s="559">
        <f t="shared" si="92"/>
        <v>0</v>
      </c>
      <c r="AV312" s="559">
        <f t="shared" si="92"/>
        <v>0</v>
      </c>
      <c r="AW312" s="559">
        <f t="shared" si="92"/>
        <v>6589266</v>
      </c>
      <c r="AX312" s="559">
        <f t="shared" si="92"/>
        <v>0</v>
      </c>
      <c r="AY312" s="559">
        <f t="shared" si="92"/>
        <v>0</v>
      </c>
      <c r="AZ312" s="559">
        <f t="shared" si="92"/>
        <v>0</v>
      </c>
      <c r="BA312" s="559">
        <f t="shared" si="92"/>
        <v>0</v>
      </c>
      <c r="BB312" s="559">
        <f t="shared" si="92"/>
        <v>0</v>
      </c>
      <c r="BC312" s="559">
        <f t="shared" si="92"/>
        <v>6067990</v>
      </c>
      <c r="BD312" s="559">
        <f t="shared" si="92"/>
        <v>0</v>
      </c>
      <c r="BE312" s="559">
        <f t="shared" si="92"/>
        <v>0</v>
      </c>
      <c r="BF312" s="559">
        <f t="shared" si="92"/>
        <v>0</v>
      </c>
      <c r="BG312" s="559">
        <f t="shared" si="92"/>
        <v>0</v>
      </c>
      <c r="BH312" s="559">
        <f t="shared" si="92"/>
        <v>0</v>
      </c>
      <c r="BI312" s="559">
        <f t="shared" si="92"/>
        <v>0</v>
      </c>
      <c r="BJ312" s="559">
        <f t="shared" si="92"/>
        <v>0</v>
      </c>
      <c r="BK312" s="559">
        <f t="shared" si="92"/>
        <v>0</v>
      </c>
      <c r="BL312" s="559">
        <f t="shared" si="92"/>
        <v>4321892</v>
      </c>
      <c r="BM312" s="559">
        <f t="shared" si="92"/>
        <v>0</v>
      </c>
      <c r="BN312" s="559">
        <f t="shared" si="92"/>
        <v>0</v>
      </c>
      <c r="BO312" s="559">
        <f t="shared" si="92"/>
        <v>0</v>
      </c>
      <c r="BP312" s="559">
        <f t="shared" ref="BP312:CZ312" si="93">BP16</f>
        <v>0</v>
      </c>
      <c r="BQ312" s="559">
        <f t="shared" si="93"/>
        <v>0</v>
      </c>
      <c r="BR312" s="559">
        <f t="shared" si="93"/>
        <v>0</v>
      </c>
      <c r="BS312" s="559">
        <f t="shared" si="93"/>
        <v>0</v>
      </c>
      <c r="BT312" s="559">
        <f t="shared" si="93"/>
        <v>0</v>
      </c>
      <c r="BU312" s="559">
        <f t="shared" si="93"/>
        <v>0</v>
      </c>
      <c r="BV312" s="559">
        <f t="shared" si="93"/>
        <v>0</v>
      </c>
      <c r="BW312" s="559">
        <f t="shared" si="93"/>
        <v>0</v>
      </c>
      <c r="BX312" s="559">
        <f t="shared" si="93"/>
        <v>2830935</v>
      </c>
      <c r="BY312" s="559">
        <f t="shared" si="93"/>
        <v>0</v>
      </c>
      <c r="BZ312" s="559">
        <f t="shared" si="93"/>
        <v>0</v>
      </c>
      <c r="CA312" s="559">
        <f t="shared" si="93"/>
        <v>0</v>
      </c>
      <c r="CB312" s="559">
        <f t="shared" si="93"/>
        <v>0</v>
      </c>
      <c r="CC312" s="559">
        <f t="shared" si="93"/>
        <v>0</v>
      </c>
      <c r="CD312" s="559">
        <f t="shared" si="93"/>
        <v>0</v>
      </c>
      <c r="CE312" s="559">
        <f t="shared" si="93"/>
        <v>0</v>
      </c>
      <c r="CF312" s="559">
        <f t="shared" si="93"/>
        <v>0</v>
      </c>
      <c r="CG312" s="559">
        <f t="shared" si="93"/>
        <v>0</v>
      </c>
      <c r="CH312" s="559">
        <f t="shared" si="93"/>
        <v>8112122</v>
      </c>
      <c r="CI312" s="559">
        <f t="shared" si="93"/>
        <v>0</v>
      </c>
      <c r="CJ312" s="559">
        <f t="shared" si="93"/>
        <v>0</v>
      </c>
      <c r="CK312" s="559">
        <f t="shared" si="93"/>
        <v>0</v>
      </c>
      <c r="CL312" s="559">
        <f t="shared" si="93"/>
        <v>0</v>
      </c>
      <c r="CM312" s="559">
        <f t="shared" si="93"/>
        <v>0</v>
      </c>
      <c r="CN312" s="559">
        <f t="shared" si="93"/>
        <v>0</v>
      </c>
      <c r="CO312" s="559">
        <f t="shared" si="93"/>
        <v>0</v>
      </c>
      <c r="CP312" s="559">
        <f t="shared" si="93"/>
        <v>0</v>
      </c>
      <c r="CQ312" s="559">
        <f t="shared" si="93"/>
        <v>0</v>
      </c>
      <c r="CR312" s="559">
        <f t="shared" si="93"/>
        <v>0</v>
      </c>
      <c r="CS312" s="559">
        <f t="shared" si="93"/>
        <v>0</v>
      </c>
      <c r="CT312" s="559">
        <f t="shared" si="93"/>
        <v>0</v>
      </c>
      <c r="CU312" s="559">
        <f t="shared" si="93"/>
        <v>0</v>
      </c>
      <c r="CV312" s="559">
        <f t="shared" si="93"/>
        <v>0</v>
      </c>
      <c r="CW312" s="559">
        <f t="shared" si="93"/>
        <v>0</v>
      </c>
      <c r="CX312" s="559">
        <f t="shared" si="93"/>
        <v>0</v>
      </c>
      <c r="CY312" s="559">
        <f t="shared" si="93"/>
        <v>0</v>
      </c>
      <c r="CZ312" s="559">
        <f t="shared" si="93"/>
        <v>0</v>
      </c>
    </row>
    <row r="313" spans="1:104" x14ac:dyDescent="0.3">
      <c r="A313" s="558">
        <v>48</v>
      </c>
      <c r="B313" s="180"/>
      <c r="C313" s="180">
        <v>17</v>
      </c>
      <c r="D313" s="559">
        <f t="shared" ref="D313:AI313" si="94">D17</f>
        <v>0</v>
      </c>
      <c r="E313" s="559">
        <f t="shared" si="94"/>
        <v>0</v>
      </c>
      <c r="F313" s="559">
        <f t="shared" si="94"/>
        <v>0</v>
      </c>
      <c r="G313" s="559">
        <f t="shared" si="94"/>
        <v>0</v>
      </c>
      <c r="H313" s="559">
        <f t="shared" si="94"/>
        <v>0</v>
      </c>
      <c r="I313" s="559">
        <f t="shared" si="94"/>
        <v>0</v>
      </c>
      <c r="J313" s="559">
        <f t="shared" si="94"/>
        <v>0</v>
      </c>
      <c r="K313" s="559">
        <f t="shared" si="94"/>
        <v>0</v>
      </c>
      <c r="L313" s="559">
        <f t="shared" si="94"/>
        <v>0</v>
      </c>
      <c r="M313" s="559">
        <f t="shared" si="94"/>
        <v>0</v>
      </c>
      <c r="N313" s="559">
        <f t="shared" si="94"/>
        <v>0</v>
      </c>
      <c r="O313" s="559">
        <f t="shared" si="94"/>
        <v>0</v>
      </c>
      <c r="P313" s="559">
        <f t="shared" si="94"/>
        <v>0</v>
      </c>
      <c r="Q313" s="559">
        <f t="shared" si="94"/>
        <v>0</v>
      </c>
      <c r="R313" s="559">
        <f t="shared" si="94"/>
        <v>0</v>
      </c>
      <c r="S313" s="559">
        <f t="shared" si="94"/>
        <v>0</v>
      </c>
      <c r="T313" s="559">
        <f t="shared" si="94"/>
        <v>0</v>
      </c>
      <c r="U313" s="559">
        <f t="shared" si="94"/>
        <v>0</v>
      </c>
      <c r="V313" s="559">
        <f t="shared" si="94"/>
        <v>0</v>
      </c>
      <c r="W313" s="559">
        <f t="shared" si="94"/>
        <v>0</v>
      </c>
      <c r="X313" s="559">
        <f t="shared" si="94"/>
        <v>0</v>
      </c>
      <c r="Y313" s="559">
        <f t="shared" si="94"/>
        <v>0</v>
      </c>
      <c r="Z313" s="559">
        <f t="shared" si="94"/>
        <v>460776</v>
      </c>
      <c r="AA313" s="559">
        <f t="shared" si="94"/>
        <v>0</v>
      </c>
      <c r="AB313" s="559">
        <f t="shared" si="94"/>
        <v>0</v>
      </c>
      <c r="AC313" s="559">
        <f t="shared" si="94"/>
        <v>0</v>
      </c>
      <c r="AD313" s="559">
        <f t="shared" si="94"/>
        <v>0</v>
      </c>
      <c r="AE313" s="559">
        <f t="shared" si="94"/>
        <v>0</v>
      </c>
      <c r="AF313" s="559">
        <f t="shared" si="94"/>
        <v>2511038</v>
      </c>
      <c r="AG313" s="559">
        <f t="shared" si="94"/>
        <v>0</v>
      </c>
      <c r="AH313" s="559">
        <f t="shared" si="94"/>
        <v>0</v>
      </c>
      <c r="AI313" s="559">
        <f t="shared" si="94"/>
        <v>0</v>
      </c>
      <c r="AJ313" s="559">
        <f t="shared" ref="AJ313:BO313" si="95">AJ17</f>
        <v>0</v>
      </c>
      <c r="AK313" s="559">
        <f t="shared" si="95"/>
        <v>0</v>
      </c>
      <c r="AL313" s="559">
        <f t="shared" si="95"/>
        <v>0</v>
      </c>
      <c r="AM313" s="559">
        <f t="shared" si="95"/>
        <v>0</v>
      </c>
      <c r="AN313" s="559">
        <f t="shared" si="95"/>
        <v>0</v>
      </c>
      <c r="AO313" s="559">
        <f t="shared" si="95"/>
        <v>0</v>
      </c>
      <c r="AP313" s="559">
        <f t="shared" si="95"/>
        <v>0</v>
      </c>
      <c r="AQ313" s="559">
        <f t="shared" si="95"/>
        <v>12400721</v>
      </c>
      <c r="AR313" s="559">
        <f t="shared" si="95"/>
        <v>0</v>
      </c>
      <c r="AS313" s="559">
        <f t="shared" si="95"/>
        <v>0</v>
      </c>
      <c r="AT313" s="559">
        <f t="shared" si="95"/>
        <v>0</v>
      </c>
      <c r="AU313" s="559">
        <f t="shared" si="95"/>
        <v>0</v>
      </c>
      <c r="AV313" s="559">
        <f t="shared" si="95"/>
        <v>0</v>
      </c>
      <c r="AW313" s="559">
        <f t="shared" si="95"/>
        <v>948202</v>
      </c>
      <c r="AX313" s="559">
        <f t="shared" si="95"/>
        <v>0</v>
      </c>
      <c r="AY313" s="559">
        <f t="shared" si="95"/>
        <v>0</v>
      </c>
      <c r="AZ313" s="559">
        <f t="shared" si="95"/>
        <v>0</v>
      </c>
      <c r="BA313" s="559">
        <f t="shared" si="95"/>
        <v>0</v>
      </c>
      <c r="BB313" s="559">
        <f t="shared" si="95"/>
        <v>0</v>
      </c>
      <c r="BC313" s="559">
        <f t="shared" si="95"/>
        <v>514536</v>
      </c>
      <c r="BD313" s="559">
        <f t="shared" si="95"/>
        <v>0</v>
      </c>
      <c r="BE313" s="559">
        <f t="shared" si="95"/>
        <v>0</v>
      </c>
      <c r="BF313" s="559">
        <f t="shared" si="95"/>
        <v>0</v>
      </c>
      <c r="BG313" s="559">
        <f t="shared" si="95"/>
        <v>0</v>
      </c>
      <c r="BH313" s="559">
        <f t="shared" si="95"/>
        <v>0</v>
      </c>
      <c r="BI313" s="559">
        <f t="shared" si="95"/>
        <v>0</v>
      </c>
      <c r="BJ313" s="559">
        <f t="shared" si="95"/>
        <v>0</v>
      </c>
      <c r="BK313" s="559">
        <f t="shared" si="95"/>
        <v>0</v>
      </c>
      <c r="BL313" s="559">
        <f t="shared" si="95"/>
        <v>230258</v>
      </c>
      <c r="BM313" s="559">
        <f t="shared" si="95"/>
        <v>0</v>
      </c>
      <c r="BN313" s="559">
        <f t="shared" si="95"/>
        <v>0</v>
      </c>
      <c r="BO313" s="559">
        <f t="shared" si="95"/>
        <v>0</v>
      </c>
      <c r="BP313" s="559">
        <f t="shared" ref="BP313:CZ313" si="96">BP17</f>
        <v>0</v>
      </c>
      <c r="BQ313" s="559">
        <f t="shared" si="96"/>
        <v>0</v>
      </c>
      <c r="BR313" s="559">
        <f t="shared" si="96"/>
        <v>0</v>
      </c>
      <c r="BS313" s="559">
        <f t="shared" si="96"/>
        <v>0</v>
      </c>
      <c r="BT313" s="559">
        <f t="shared" si="96"/>
        <v>0</v>
      </c>
      <c r="BU313" s="559">
        <f t="shared" si="96"/>
        <v>0</v>
      </c>
      <c r="BV313" s="559">
        <f t="shared" si="96"/>
        <v>0</v>
      </c>
      <c r="BW313" s="559">
        <f t="shared" si="96"/>
        <v>0</v>
      </c>
      <c r="BX313" s="559">
        <f t="shared" si="96"/>
        <v>1109500</v>
      </c>
      <c r="BY313" s="559">
        <f t="shared" si="96"/>
        <v>0</v>
      </c>
      <c r="BZ313" s="559">
        <f t="shared" si="96"/>
        <v>0</v>
      </c>
      <c r="CA313" s="559">
        <f t="shared" si="96"/>
        <v>0</v>
      </c>
      <c r="CB313" s="559">
        <f t="shared" si="96"/>
        <v>0</v>
      </c>
      <c r="CC313" s="559">
        <f t="shared" si="96"/>
        <v>0</v>
      </c>
      <c r="CD313" s="559">
        <f t="shared" si="96"/>
        <v>0</v>
      </c>
      <c r="CE313" s="559">
        <f t="shared" si="96"/>
        <v>0</v>
      </c>
      <c r="CF313" s="559">
        <f t="shared" si="96"/>
        <v>0</v>
      </c>
      <c r="CG313" s="559">
        <f t="shared" si="96"/>
        <v>0</v>
      </c>
      <c r="CH313" s="559">
        <f t="shared" si="96"/>
        <v>460223</v>
      </c>
      <c r="CI313" s="559">
        <f t="shared" si="96"/>
        <v>0</v>
      </c>
      <c r="CJ313" s="559">
        <f t="shared" si="96"/>
        <v>0</v>
      </c>
      <c r="CK313" s="559">
        <f t="shared" si="96"/>
        <v>0</v>
      </c>
      <c r="CL313" s="559">
        <f t="shared" si="96"/>
        <v>0</v>
      </c>
      <c r="CM313" s="559">
        <f t="shared" si="96"/>
        <v>0</v>
      </c>
      <c r="CN313" s="559">
        <f t="shared" si="96"/>
        <v>0</v>
      </c>
      <c r="CO313" s="559">
        <f t="shared" si="96"/>
        <v>0</v>
      </c>
      <c r="CP313" s="559">
        <f t="shared" si="96"/>
        <v>0</v>
      </c>
      <c r="CQ313" s="559">
        <f t="shared" si="96"/>
        <v>0</v>
      </c>
      <c r="CR313" s="559">
        <f t="shared" si="96"/>
        <v>0</v>
      </c>
      <c r="CS313" s="559">
        <f t="shared" si="96"/>
        <v>0</v>
      </c>
      <c r="CT313" s="559">
        <f t="shared" si="96"/>
        <v>0</v>
      </c>
      <c r="CU313" s="559">
        <f t="shared" si="96"/>
        <v>0</v>
      </c>
      <c r="CV313" s="559">
        <f t="shared" si="96"/>
        <v>0</v>
      </c>
      <c r="CW313" s="559">
        <f t="shared" si="96"/>
        <v>0</v>
      </c>
      <c r="CX313" s="559">
        <f t="shared" si="96"/>
        <v>0</v>
      </c>
      <c r="CY313" s="559">
        <f t="shared" si="96"/>
        <v>0</v>
      </c>
      <c r="CZ313" s="559">
        <f t="shared" si="96"/>
        <v>0</v>
      </c>
    </row>
    <row r="314" spans="1:104" x14ac:dyDescent="0.3">
      <c r="A314" s="562">
        <v>385</v>
      </c>
      <c r="B314" s="180"/>
      <c r="C314" s="180">
        <v>95</v>
      </c>
      <c r="D314" s="563">
        <f t="shared" ref="D314:AI314" si="97">D95</f>
        <v>4100909</v>
      </c>
      <c r="E314" s="563">
        <f t="shared" si="97"/>
        <v>4807550</v>
      </c>
      <c r="F314" s="563">
        <f t="shared" si="97"/>
        <v>1183722</v>
      </c>
      <c r="G314" s="563">
        <f t="shared" si="97"/>
        <v>1048113</v>
      </c>
      <c r="H314" s="563">
        <f t="shared" si="97"/>
        <v>0</v>
      </c>
      <c r="I314" s="563">
        <f t="shared" si="97"/>
        <v>18286100</v>
      </c>
      <c r="J314" s="563">
        <f t="shared" si="97"/>
        <v>5673073</v>
      </c>
      <c r="K314" s="563">
        <f t="shared" si="97"/>
        <v>51520364</v>
      </c>
      <c r="L314" s="563">
        <f t="shared" si="97"/>
        <v>9495058</v>
      </c>
      <c r="M314" s="563">
        <f t="shared" si="97"/>
        <v>90485874</v>
      </c>
      <c r="N314" s="563">
        <f t="shared" si="97"/>
        <v>0</v>
      </c>
      <c r="O314" s="563">
        <f t="shared" si="97"/>
        <v>1506205992</v>
      </c>
      <c r="P314" s="563">
        <f t="shared" si="97"/>
        <v>162718</v>
      </c>
      <c r="Q314" s="563">
        <f t="shared" si="97"/>
        <v>949621</v>
      </c>
      <c r="R314" s="563">
        <f t="shared" si="97"/>
        <v>10257646</v>
      </c>
      <c r="S314" s="563">
        <f t="shared" si="97"/>
        <v>2871883</v>
      </c>
      <c r="T314" s="563">
        <f t="shared" si="97"/>
        <v>5073076</v>
      </c>
      <c r="U314" s="563">
        <f t="shared" si="97"/>
        <v>740202</v>
      </c>
      <c r="V314" s="563">
        <f t="shared" si="97"/>
        <v>1248288</v>
      </c>
      <c r="W314" s="563">
        <f t="shared" si="97"/>
        <v>5380606</v>
      </c>
      <c r="X314" s="563">
        <f t="shared" si="97"/>
        <v>258822992</v>
      </c>
      <c r="Y314" s="563">
        <f t="shared" si="97"/>
        <v>8786001000</v>
      </c>
      <c r="Z314" s="563">
        <f t="shared" si="97"/>
        <v>15035061</v>
      </c>
      <c r="AA314" s="563">
        <f t="shared" si="97"/>
        <v>2386148</v>
      </c>
      <c r="AB314" s="563">
        <f t="shared" si="97"/>
        <v>10027349</v>
      </c>
      <c r="AC314" s="563">
        <f t="shared" si="97"/>
        <v>0</v>
      </c>
      <c r="AD314" s="563">
        <f t="shared" si="97"/>
        <v>14557427</v>
      </c>
      <c r="AE314" s="563">
        <f t="shared" si="97"/>
        <v>3696891</v>
      </c>
      <c r="AF314" s="563">
        <f t="shared" si="97"/>
        <v>120795888</v>
      </c>
      <c r="AG314" s="563">
        <f t="shared" si="97"/>
        <v>59733473</v>
      </c>
      <c r="AH314" s="563">
        <f t="shared" si="97"/>
        <v>6081224</v>
      </c>
      <c r="AI314" s="563">
        <f t="shared" si="97"/>
        <v>24743901</v>
      </c>
      <c r="AJ314" s="563">
        <f t="shared" ref="AJ314:BO314" si="98">AJ95</f>
        <v>2875093</v>
      </c>
      <c r="AK314" s="563">
        <f t="shared" si="98"/>
        <v>3632296</v>
      </c>
      <c r="AL314" s="563">
        <f t="shared" si="98"/>
        <v>2075027</v>
      </c>
      <c r="AM314" s="563">
        <f t="shared" si="98"/>
        <v>0</v>
      </c>
      <c r="AN314" s="563">
        <f t="shared" si="98"/>
        <v>1766830</v>
      </c>
      <c r="AO314" s="563">
        <f t="shared" si="98"/>
        <v>0</v>
      </c>
      <c r="AP314" s="563">
        <f t="shared" si="98"/>
        <v>120498</v>
      </c>
      <c r="AQ314" s="563">
        <f t="shared" si="98"/>
        <v>681227846</v>
      </c>
      <c r="AR314" s="563">
        <f t="shared" si="98"/>
        <v>502148</v>
      </c>
      <c r="AS314" s="563">
        <f t="shared" si="98"/>
        <v>3776790</v>
      </c>
      <c r="AT314" s="563">
        <f t="shared" si="98"/>
        <v>66512297</v>
      </c>
      <c r="AU314" s="563">
        <f t="shared" si="98"/>
        <v>1305697</v>
      </c>
      <c r="AV314" s="563">
        <f t="shared" si="98"/>
        <v>2164677</v>
      </c>
      <c r="AW314" s="563">
        <f t="shared" si="98"/>
        <v>138771667</v>
      </c>
      <c r="AX314" s="563">
        <f t="shared" si="98"/>
        <v>764530</v>
      </c>
      <c r="AY314" s="563">
        <f t="shared" si="98"/>
        <v>19565004</v>
      </c>
      <c r="AZ314" s="563">
        <f t="shared" si="98"/>
        <v>36022308</v>
      </c>
      <c r="BA314" s="563">
        <f t="shared" si="98"/>
        <v>672831</v>
      </c>
      <c r="BB314" s="563">
        <f t="shared" si="98"/>
        <v>466226</v>
      </c>
      <c r="BC314" s="563">
        <f t="shared" si="98"/>
        <v>14410558</v>
      </c>
      <c r="BD314" s="563">
        <f t="shared" si="98"/>
        <v>353916</v>
      </c>
      <c r="BE314" s="563">
        <f t="shared" si="98"/>
        <v>67689044</v>
      </c>
      <c r="BF314" s="563">
        <f t="shared" si="98"/>
        <v>4603304</v>
      </c>
      <c r="BG314" s="563">
        <f t="shared" si="98"/>
        <v>1850563</v>
      </c>
      <c r="BH314" s="563">
        <f t="shared" si="98"/>
        <v>985694</v>
      </c>
      <c r="BI314" s="563">
        <f t="shared" si="98"/>
        <v>4712603</v>
      </c>
      <c r="BJ314" s="563">
        <f t="shared" si="98"/>
        <v>3796290</v>
      </c>
      <c r="BK314" s="563">
        <f t="shared" si="98"/>
        <v>991184</v>
      </c>
      <c r="BL314" s="563">
        <f t="shared" si="98"/>
        <v>4286683</v>
      </c>
      <c r="BM314" s="563">
        <f t="shared" si="98"/>
        <v>1786259</v>
      </c>
      <c r="BN314" s="563">
        <f t="shared" si="98"/>
        <v>37906638</v>
      </c>
      <c r="BO314" s="563">
        <f t="shared" si="98"/>
        <v>31249737</v>
      </c>
      <c r="BP314" s="563">
        <f t="shared" ref="BP314:CZ314" si="99">BP95</f>
        <v>1337595858</v>
      </c>
      <c r="BQ314" s="563">
        <f t="shared" si="99"/>
        <v>166672</v>
      </c>
      <c r="BR314" s="563">
        <f t="shared" si="99"/>
        <v>0</v>
      </c>
      <c r="BS314" s="563">
        <f t="shared" si="99"/>
        <v>1989925</v>
      </c>
      <c r="BT314" s="563">
        <f t="shared" si="99"/>
        <v>0</v>
      </c>
      <c r="BU314" s="563">
        <f t="shared" si="99"/>
        <v>4362694</v>
      </c>
      <c r="BV314" s="563">
        <f t="shared" si="99"/>
        <v>11198415</v>
      </c>
      <c r="BW314" s="563">
        <f t="shared" si="99"/>
        <v>48919679</v>
      </c>
      <c r="BX314" s="563">
        <f t="shared" si="99"/>
        <v>14324375</v>
      </c>
      <c r="BY314" s="563">
        <f t="shared" si="99"/>
        <v>0</v>
      </c>
      <c r="BZ314" s="563">
        <f t="shared" si="99"/>
        <v>27676679</v>
      </c>
      <c r="CA314" s="563">
        <f t="shared" si="99"/>
        <v>1475161</v>
      </c>
      <c r="CB314" s="563">
        <f t="shared" si="99"/>
        <v>15492437</v>
      </c>
      <c r="CC314" s="563">
        <f t="shared" si="99"/>
        <v>1251891</v>
      </c>
      <c r="CD314" s="563">
        <f t="shared" si="99"/>
        <v>2251057</v>
      </c>
      <c r="CE314" s="563">
        <f t="shared" si="99"/>
        <v>0</v>
      </c>
      <c r="CF314" s="563">
        <f t="shared" si="99"/>
        <v>22017361</v>
      </c>
      <c r="CG314" s="563">
        <f t="shared" si="99"/>
        <v>39950333</v>
      </c>
      <c r="CH314" s="563">
        <f t="shared" si="99"/>
        <v>9662390</v>
      </c>
      <c r="CI314" s="563">
        <f t="shared" si="99"/>
        <v>12687775</v>
      </c>
      <c r="CJ314" s="563">
        <f t="shared" si="99"/>
        <v>0</v>
      </c>
      <c r="CK314" s="563">
        <f t="shared" si="99"/>
        <v>129283</v>
      </c>
      <c r="CL314" s="563">
        <f t="shared" si="99"/>
        <v>0</v>
      </c>
      <c r="CM314" s="563">
        <f t="shared" si="99"/>
        <v>0</v>
      </c>
      <c r="CN314" s="563">
        <f t="shared" si="99"/>
        <v>0</v>
      </c>
      <c r="CO314" s="563">
        <f t="shared" si="99"/>
        <v>0</v>
      </c>
      <c r="CP314" s="563">
        <f t="shared" si="99"/>
        <v>0</v>
      </c>
      <c r="CQ314" s="563">
        <f t="shared" si="99"/>
        <v>0</v>
      </c>
      <c r="CR314" s="563">
        <f t="shared" si="99"/>
        <v>0</v>
      </c>
      <c r="CS314" s="563">
        <f t="shared" si="99"/>
        <v>0</v>
      </c>
      <c r="CT314" s="563">
        <f t="shared" si="99"/>
        <v>0</v>
      </c>
      <c r="CU314" s="563">
        <f t="shared" si="99"/>
        <v>0</v>
      </c>
      <c r="CV314" s="563">
        <f t="shared" si="99"/>
        <v>0</v>
      </c>
      <c r="CW314" s="563">
        <f t="shared" si="99"/>
        <v>0</v>
      </c>
      <c r="CX314" s="563">
        <f t="shared" si="99"/>
        <v>0</v>
      </c>
      <c r="CY314" s="563">
        <f t="shared" si="99"/>
        <v>0</v>
      </c>
      <c r="CZ314" s="563">
        <f t="shared" si="99"/>
        <v>0</v>
      </c>
    </row>
    <row r="315" spans="1:104" x14ac:dyDescent="0.3">
      <c r="A315" s="562">
        <v>626</v>
      </c>
      <c r="B315" s="180"/>
      <c r="C315" s="180">
        <v>170</v>
      </c>
      <c r="D315" s="563">
        <f t="shared" ref="D315:AI315" si="100">D170</f>
        <v>296092</v>
      </c>
      <c r="E315" s="563">
        <f t="shared" si="100"/>
        <v>462628</v>
      </c>
      <c r="F315" s="563">
        <f t="shared" si="100"/>
        <v>22416</v>
      </c>
      <c r="G315" s="563">
        <f t="shared" si="100"/>
        <v>37723</v>
      </c>
      <c r="H315" s="563">
        <f t="shared" si="100"/>
        <v>0</v>
      </c>
      <c r="I315" s="563">
        <f t="shared" si="100"/>
        <v>322103</v>
      </c>
      <c r="J315" s="563">
        <f t="shared" si="100"/>
        <v>56397</v>
      </c>
      <c r="K315" s="563">
        <f t="shared" si="100"/>
        <v>4986821</v>
      </c>
      <c r="L315" s="563">
        <f t="shared" si="100"/>
        <v>0</v>
      </c>
      <c r="M315" s="563">
        <f t="shared" si="100"/>
        <v>7403096</v>
      </c>
      <c r="N315" s="563">
        <f t="shared" si="100"/>
        <v>0</v>
      </c>
      <c r="O315" s="563">
        <f t="shared" si="100"/>
        <v>86351942</v>
      </c>
      <c r="P315" s="563">
        <f t="shared" si="100"/>
        <v>15597</v>
      </c>
      <c r="Q315" s="563">
        <f t="shared" si="100"/>
        <v>5455</v>
      </c>
      <c r="R315" s="563">
        <f t="shared" si="100"/>
        <v>430828</v>
      </c>
      <c r="S315" s="563">
        <f t="shared" si="100"/>
        <v>330492</v>
      </c>
      <c r="T315" s="563">
        <f t="shared" si="100"/>
        <v>309214</v>
      </c>
      <c r="U315" s="563">
        <f t="shared" si="100"/>
        <v>49412</v>
      </c>
      <c r="V315" s="563">
        <f t="shared" si="100"/>
        <v>98943</v>
      </c>
      <c r="W315" s="563">
        <f t="shared" si="100"/>
        <v>34749</v>
      </c>
      <c r="X315" s="563">
        <f t="shared" si="100"/>
        <v>31601722</v>
      </c>
      <c r="Y315" s="563">
        <f t="shared" si="100"/>
        <v>451953000</v>
      </c>
      <c r="Z315" s="563">
        <f t="shared" si="100"/>
        <v>1182572</v>
      </c>
      <c r="AA315" s="563">
        <f t="shared" si="100"/>
        <v>46768</v>
      </c>
      <c r="AB315" s="563">
        <f t="shared" si="100"/>
        <v>1375482</v>
      </c>
      <c r="AC315" s="563">
        <f t="shared" si="100"/>
        <v>0</v>
      </c>
      <c r="AD315" s="563">
        <f t="shared" si="100"/>
        <v>545476</v>
      </c>
      <c r="AE315" s="563">
        <f t="shared" si="100"/>
        <v>211130</v>
      </c>
      <c r="AF315" s="563">
        <f t="shared" si="100"/>
        <v>10117769</v>
      </c>
      <c r="AG315" s="563">
        <f t="shared" si="100"/>
        <v>3059982</v>
      </c>
      <c r="AH315" s="563">
        <f t="shared" si="100"/>
        <v>28561</v>
      </c>
      <c r="AI315" s="563">
        <f t="shared" si="100"/>
        <v>1175794</v>
      </c>
      <c r="AJ315" s="563">
        <f t="shared" ref="AJ315:BO315" si="101">AJ170</f>
        <v>96035</v>
      </c>
      <c r="AK315" s="563">
        <f t="shared" si="101"/>
        <v>13118</v>
      </c>
      <c r="AL315" s="563">
        <f t="shared" si="101"/>
        <v>74103</v>
      </c>
      <c r="AM315" s="563">
        <f t="shared" si="101"/>
        <v>0</v>
      </c>
      <c r="AN315" s="563">
        <f t="shared" si="101"/>
        <v>10895</v>
      </c>
      <c r="AO315" s="563">
        <f t="shared" si="101"/>
        <v>0</v>
      </c>
      <c r="AP315" s="563">
        <f t="shared" si="101"/>
        <v>1299</v>
      </c>
      <c r="AQ315" s="563">
        <f t="shared" si="101"/>
        <v>42220591</v>
      </c>
      <c r="AR315" s="563">
        <f t="shared" si="101"/>
        <v>34454</v>
      </c>
      <c r="AS315" s="563">
        <f t="shared" si="101"/>
        <v>238585</v>
      </c>
      <c r="AT315" s="563">
        <f t="shared" si="101"/>
        <v>2223529</v>
      </c>
      <c r="AU315" s="563">
        <f t="shared" si="101"/>
        <v>140552</v>
      </c>
      <c r="AV315" s="563">
        <f t="shared" si="101"/>
        <v>2784</v>
      </c>
      <c r="AW315" s="563">
        <f t="shared" si="101"/>
        <v>12732686</v>
      </c>
      <c r="AX315" s="563">
        <f t="shared" si="101"/>
        <v>7813</v>
      </c>
      <c r="AY315" s="563">
        <f t="shared" si="101"/>
        <v>930256</v>
      </c>
      <c r="AZ315" s="563">
        <f t="shared" si="101"/>
        <v>332690</v>
      </c>
      <c r="BA315" s="563">
        <f t="shared" si="101"/>
        <v>3008</v>
      </c>
      <c r="BB315" s="563">
        <f t="shared" si="101"/>
        <v>2458</v>
      </c>
      <c r="BC315" s="563">
        <f t="shared" si="101"/>
        <v>1391659</v>
      </c>
      <c r="BD315" s="563">
        <f t="shared" si="101"/>
        <v>29863</v>
      </c>
      <c r="BE315" s="563">
        <f t="shared" si="101"/>
        <v>5520651</v>
      </c>
      <c r="BF315" s="563">
        <f t="shared" si="101"/>
        <v>53004</v>
      </c>
      <c r="BG315" s="563">
        <f t="shared" si="101"/>
        <v>46289</v>
      </c>
      <c r="BH315" s="563">
        <f t="shared" si="101"/>
        <v>137827</v>
      </c>
      <c r="BI315" s="563">
        <f t="shared" si="101"/>
        <v>434852</v>
      </c>
      <c r="BJ315" s="563">
        <f t="shared" si="101"/>
        <v>88109</v>
      </c>
      <c r="BK315" s="563">
        <f t="shared" si="101"/>
        <v>237878</v>
      </c>
      <c r="BL315" s="563">
        <f t="shared" si="101"/>
        <v>318272</v>
      </c>
      <c r="BM315" s="563">
        <f t="shared" si="101"/>
        <v>87603</v>
      </c>
      <c r="BN315" s="563">
        <f t="shared" si="101"/>
        <v>4389076</v>
      </c>
      <c r="BO315" s="563">
        <f t="shared" si="101"/>
        <v>4564199</v>
      </c>
      <c r="BP315" s="563">
        <f t="shared" ref="BP315:CZ315" si="102">BP170</f>
        <v>153531950</v>
      </c>
      <c r="BQ315" s="563">
        <f t="shared" si="102"/>
        <v>36567</v>
      </c>
      <c r="BR315" s="563">
        <f t="shared" si="102"/>
        <v>0</v>
      </c>
      <c r="BS315" s="563">
        <f t="shared" si="102"/>
        <v>109232</v>
      </c>
      <c r="BT315" s="563">
        <f t="shared" si="102"/>
        <v>0</v>
      </c>
      <c r="BU315" s="563">
        <f t="shared" si="102"/>
        <v>104178</v>
      </c>
      <c r="BV315" s="563">
        <f t="shared" si="102"/>
        <v>85629</v>
      </c>
      <c r="BW315" s="563">
        <f t="shared" si="102"/>
        <v>2569511</v>
      </c>
      <c r="BX315" s="563">
        <f t="shared" si="102"/>
        <v>1559896</v>
      </c>
      <c r="BY315" s="563">
        <f t="shared" si="102"/>
        <v>0</v>
      </c>
      <c r="BZ315" s="563">
        <f t="shared" si="102"/>
        <v>1453894</v>
      </c>
      <c r="CA315" s="563">
        <f t="shared" si="102"/>
        <v>49055</v>
      </c>
      <c r="CB315" s="563">
        <f t="shared" si="102"/>
        <v>441633</v>
      </c>
      <c r="CC315" s="563">
        <f t="shared" si="102"/>
        <v>139435</v>
      </c>
      <c r="CD315" s="563">
        <f t="shared" si="102"/>
        <v>90926</v>
      </c>
      <c r="CE315" s="563">
        <f t="shared" si="102"/>
        <v>0</v>
      </c>
      <c r="CF315" s="563">
        <f t="shared" si="102"/>
        <v>2305334</v>
      </c>
      <c r="CG315" s="563">
        <f t="shared" si="102"/>
        <v>3097399</v>
      </c>
      <c r="CH315" s="563">
        <f t="shared" si="102"/>
        <v>423956</v>
      </c>
      <c r="CI315" s="563">
        <f t="shared" si="102"/>
        <v>1008591</v>
      </c>
      <c r="CJ315" s="563">
        <f t="shared" si="102"/>
        <v>0</v>
      </c>
      <c r="CK315" s="563">
        <f t="shared" si="102"/>
        <v>647</v>
      </c>
      <c r="CL315" s="563">
        <f t="shared" si="102"/>
        <v>0</v>
      </c>
      <c r="CM315" s="563">
        <f t="shared" si="102"/>
        <v>0</v>
      </c>
      <c r="CN315" s="563">
        <f t="shared" si="102"/>
        <v>0</v>
      </c>
      <c r="CO315" s="563">
        <f t="shared" si="102"/>
        <v>0</v>
      </c>
      <c r="CP315" s="563">
        <f t="shared" si="102"/>
        <v>0</v>
      </c>
      <c r="CQ315" s="563">
        <f t="shared" si="102"/>
        <v>0</v>
      </c>
      <c r="CR315" s="563">
        <f t="shared" si="102"/>
        <v>0</v>
      </c>
      <c r="CS315" s="563">
        <f t="shared" si="102"/>
        <v>0</v>
      </c>
      <c r="CT315" s="563">
        <f t="shared" si="102"/>
        <v>0</v>
      </c>
      <c r="CU315" s="563">
        <f t="shared" si="102"/>
        <v>0</v>
      </c>
      <c r="CV315" s="563">
        <f t="shared" si="102"/>
        <v>0</v>
      </c>
      <c r="CW315" s="563">
        <f t="shared" si="102"/>
        <v>0</v>
      </c>
      <c r="CX315" s="563">
        <f t="shared" si="102"/>
        <v>0</v>
      </c>
      <c r="CY315" s="563">
        <f t="shared" si="102"/>
        <v>0</v>
      </c>
      <c r="CZ315" s="563">
        <f t="shared" si="102"/>
        <v>0</v>
      </c>
    </row>
    <row r="316" spans="1:104" x14ac:dyDescent="0.3">
      <c r="A316" s="562">
        <v>338</v>
      </c>
      <c r="B316" s="180"/>
      <c r="C316" s="180">
        <v>60</v>
      </c>
      <c r="D316" s="568">
        <f t="shared" ref="D316:AI316" si="103">D60</f>
        <v>305323</v>
      </c>
      <c r="E316" s="568">
        <f t="shared" si="103"/>
        <v>661295</v>
      </c>
      <c r="F316" s="568">
        <f t="shared" si="103"/>
        <v>63680</v>
      </c>
      <c r="G316" s="568">
        <f t="shared" si="103"/>
        <v>96204</v>
      </c>
      <c r="H316" s="568">
        <f t="shared" si="103"/>
        <v>0</v>
      </c>
      <c r="I316" s="568">
        <f t="shared" si="103"/>
        <v>14916254</v>
      </c>
      <c r="J316" s="568">
        <f t="shared" si="103"/>
        <v>1427590</v>
      </c>
      <c r="K316" s="568">
        <f t="shared" si="103"/>
        <v>25918098</v>
      </c>
      <c r="L316" s="568">
        <f t="shared" si="103"/>
        <v>1332452</v>
      </c>
      <c r="M316" s="568">
        <f t="shared" si="103"/>
        <v>56643252</v>
      </c>
      <c r="N316" s="568">
        <f t="shared" si="103"/>
        <v>0</v>
      </c>
      <c r="O316" s="568">
        <f t="shared" si="103"/>
        <v>553696196</v>
      </c>
      <c r="P316" s="568">
        <f t="shared" si="103"/>
        <v>15597</v>
      </c>
      <c r="Q316" s="568">
        <f t="shared" si="103"/>
        <v>5455</v>
      </c>
      <c r="R316" s="568">
        <f t="shared" si="103"/>
        <v>1003737</v>
      </c>
      <c r="S316" s="568">
        <f t="shared" si="103"/>
        <v>895709</v>
      </c>
      <c r="T316" s="568">
        <f t="shared" si="103"/>
        <v>718540</v>
      </c>
      <c r="U316" s="568">
        <f t="shared" si="103"/>
        <v>49412</v>
      </c>
      <c r="V316" s="568">
        <f t="shared" si="103"/>
        <v>98943</v>
      </c>
      <c r="W316" s="568">
        <f t="shared" si="103"/>
        <v>855850</v>
      </c>
      <c r="X316" s="568">
        <f t="shared" si="103"/>
        <v>176786619</v>
      </c>
      <c r="Y316" s="568">
        <f t="shared" si="103"/>
        <v>3588035000</v>
      </c>
      <c r="Z316" s="568">
        <f t="shared" si="103"/>
        <v>9165544</v>
      </c>
      <c r="AA316" s="568">
        <f t="shared" si="103"/>
        <v>310654</v>
      </c>
      <c r="AB316" s="568">
        <f t="shared" si="103"/>
        <v>5136749</v>
      </c>
      <c r="AC316" s="568">
        <f t="shared" si="103"/>
        <v>0</v>
      </c>
      <c r="AD316" s="568">
        <f t="shared" si="103"/>
        <v>1656235</v>
      </c>
      <c r="AE316" s="568">
        <f t="shared" si="103"/>
        <v>296868</v>
      </c>
      <c r="AF316" s="568">
        <f t="shared" si="103"/>
        <v>41629180</v>
      </c>
      <c r="AG316" s="568">
        <f t="shared" si="103"/>
        <v>3665922</v>
      </c>
      <c r="AH316" s="568">
        <f t="shared" si="103"/>
        <v>635714</v>
      </c>
      <c r="AI316" s="568">
        <f t="shared" si="103"/>
        <v>8931678</v>
      </c>
      <c r="AJ316" s="568">
        <f t="shared" ref="AJ316:BO316" si="104">AJ60</f>
        <v>282490</v>
      </c>
      <c r="AK316" s="568">
        <f t="shared" si="104"/>
        <v>899717</v>
      </c>
      <c r="AL316" s="568">
        <f t="shared" si="104"/>
        <v>126865</v>
      </c>
      <c r="AM316" s="568">
        <f t="shared" si="104"/>
        <v>0</v>
      </c>
      <c r="AN316" s="568">
        <f t="shared" si="104"/>
        <v>587611</v>
      </c>
      <c r="AO316" s="568">
        <f t="shared" si="104"/>
        <v>0</v>
      </c>
      <c r="AP316" s="568">
        <f t="shared" si="104"/>
        <v>1299</v>
      </c>
      <c r="AQ316" s="568">
        <f t="shared" si="104"/>
        <v>130183503</v>
      </c>
      <c r="AR316" s="568">
        <f t="shared" si="104"/>
        <v>34454</v>
      </c>
      <c r="AS316" s="568">
        <f t="shared" si="104"/>
        <v>263333</v>
      </c>
      <c r="AT316" s="568">
        <f t="shared" si="104"/>
        <v>9763703</v>
      </c>
      <c r="AU316" s="568">
        <f t="shared" si="104"/>
        <v>313241</v>
      </c>
      <c r="AV316" s="568">
        <f t="shared" si="104"/>
        <v>203073</v>
      </c>
      <c r="AW316" s="568">
        <f t="shared" si="104"/>
        <v>44106139</v>
      </c>
      <c r="AX316" s="568">
        <f t="shared" si="104"/>
        <v>112971</v>
      </c>
      <c r="AY316" s="568">
        <f t="shared" si="104"/>
        <v>8644749</v>
      </c>
      <c r="AZ316" s="568">
        <f t="shared" si="104"/>
        <v>5542268</v>
      </c>
      <c r="BA316" s="568">
        <f t="shared" si="104"/>
        <v>13651</v>
      </c>
      <c r="BB316" s="568">
        <f t="shared" si="104"/>
        <v>2458</v>
      </c>
      <c r="BC316" s="568">
        <f t="shared" si="104"/>
        <v>4234712</v>
      </c>
      <c r="BD316" s="568">
        <f t="shared" si="104"/>
        <v>29863</v>
      </c>
      <c r="BE316" s="568">
        <f t="shared" si="104"/>
        <v>31499661</v>
      </c>
      <c r="BF316" s="568">
        <f t="shared" si="104"/>
        <v>986264</v>
      </c>
      <c r="BG316" s="568">
        <f t="shared" si="104"/>
        <v>46289</v>
      </c>
      <c r="BH316" s="568">
        <f t="shared" si="104"/>
        <v>137989</v>
      </c>
      <c r="BI316" s="568">
        <f t="shared" si="104"/>
        <v>1487412</v>
      </c>
      <c r="BJ316" s="568">
        <f t="shared" si="104"/>
        <v>88109</v>
      </c>
      <c r="BK316" s="568">
        <f t="shared" si="104"/>
        <v>237878</v>
      </c>
      <c r="BL316" s="568">
        <f t="shared" si="104"/>
        <v>940293</v>
      </c>
      <c r="BM316" s="568">
        <f t="shared" si="104"/>
        <v>250345</v>
      </c>
      <c r="BN316" s="568">
        <f t="shared" si="104"/>
        <v>10960308</v>
      </c>
      <c r="BO316" s="568">
        <f t="shared" si="104"/>
        <v>21654682</v>
      </c>
      <c r="BP316" s="568">
        <f t="shared" ref="BP316:CZ316" si="105">BP60</f>
        <v>611842645</v>
      </c>
      <c r="BQ316" s="568">
        <f t="shared" si="105"/>
        <v>36567</v>
      </c>
      <c r="BR316" s="568">
        <f t="shared" si="105"/>
        <v>0</v>
      </c>
      <c r="BS316" s="568">
        <f t="shared" si="105"/>
        <v>202349</v>
      </c>
      <c r="BT316" s="568">
        <f t="shared" si="105"/>
        <v>0</v>
      </c>
      <c r="BU316" s="568">
        <f t="shared" si="105"/>
        <v>689581</v>
      </c>
      <c r="BV316" s="568">
        <f t="shared" si="105"/>
        <v>1332973</v>
      </c>
      <c r="BW316" s="568">
        <f t="shared" si="105"/>
        <v>24711251</v>
      </c>
      <c r="BX316" s="568">
        <f t="shared" si="105"/>
        <v>8794156</v>
      </c>
      <c r="BY316" s="568">
        <f t="shared" si="105"/>
        <v>0</v>
      </c>
      <c r="BZ316" s="568">
        <f t="shared" si="105"/>
        <v>8045405</v>
      </c>
      <c r="CA316" s="568">
        <f t="shared" si="105"/>
        <v>564549</v>
      </c>
      <c r="CB316" s="568">
        <f t="shared" si="105"/>
        <v>2297082</v>
      </c>
      <c r="CC316" s="568">
        <f t="shared" si="105"/>
        <v>146299</v>
      </c>
      <c r="CD316" s="568">
        <f t="shared" si="105"/>
        <v>636937</v>
      </c>
      <c r="CE316" s="568">
        <f t="shared" si="105"/>
        <v>0</v>
      </c>
      <c r="CF316" s="568">
        <f t="shared" si="105"/>
        <v>5454409</v>
      </c>
      <c r="CG316" s="568">
        <f t="shared" si="105"/>
        <v>9015884</v>
      </c>
      <c r="CH316" s="568">
        <f t="shared" si="105"/>
        <v>1104890</v>
      </c>
      <c r="CI316" s="568">
        <f t="shared" si="105"/>
        <v>3164277</v>
      </c>
      <c r="CJ316" s="568">
        <f t="shared" si="105"/>
        <v>0</v>
      </c>
      <c r="CK316" s="568">
        <f t="shared" si="105"/>
        <v>647</v>
      </c>
      <c r="CL316" s="568">
        <f t="shared" si="105"/>
        <v>0</v>
      </c>
      <c r="CM316" s="568">
        <f t="shared" si="105"/>
        <v>0</v>
      </c>
      <c r="CN316" s="568">
        <f t="shared" si="105"/>
        <v>0</v>
      </c>
      <c r="CO316" s="568">
        <f t="shared" si="105"/>
        <v>0</v>
      </c>
      <c r="CP316" s="568">
        <f t="shared" si="105"/>
        <v>0</v>
      </c>
      <c r="CQ316" s="568">
        <f t="shared" si="105"/>
        <v>0</v>
      </c>
      <c r="CR316" s="568">
        <f t="shared" si="105"/>
        <v>0</v>
      </c>
      <c r="CS316" s="568">
        <f t="shared" si="105"/>
        <v>0</v>
      </c>
      <c r="CT316" s="568">
        <f t="shared" si="105"/>
        <v>0</v>
      </c>
      <c r="CU316" s="568">
        <f t="shared" si="105"/>
        <v>0</v>
      </c>
      <c r="CV316" s="568">
        <f t="shared" si="105"/>
        <v>0</v>
      </c>
      <c r="CW316" s="568">
        <f t="shared" si="105"/>
        <v>0</v>
      </c>
      <c r="CX316" s="568">
        <f t="shared" si="105"/>
        <v>0</v>
      </c>
      <c r="CY316" s="568">
        <f t="shared" si="105"/>
        <v>0</v>
      </c>
      <c r="CZ316" s="568">
        <f t="shared" si="105"/>
        <v>0</v>
      </c>
    </row>
    <row r="317" spans="1:104" s="180" customFormat="1" x14ac:dyDescent="0.3">
      <c r="A317" s="566">
        <v>620</v>
      </c>
      <c r="C317" s="180">
        <v>166</v>
      </c>
      <c r="D317" s="567">
        <f t="shared" ref="D317:AI317" si="106">D166</f>
        <v>2</v>
      </c>
      <c r="E317" s="567">
        <f t="shared" si="106"/>
        <v>2</v>
      </c>
      <c r="F317" s="567">
        <f t="shared" si="106"/>
        <v>2</v>
      </c>
      <c r="G317" s="567">
        <f t="shared" si="106"/>
        <v>2</v>
      </c>
      <c r="H317" s="567">
        <f t="shared" si="106"/>
        <v>0</v>
      </c>
      <c r="I317" s="567">
        <f t="shared" si="106"/>
        <v>1</v>
      </c>
      <c r="J317" s="567">
        <f t="shared" si="106"/>
        <v>2</v>
      </c>
      <c r="K317" s="567">
        <f t="shared" si="106"/>
        <v>1</v>
      </c>
      <c r="L317" s="567">
        <f t="shared" si="106"/>
        <v>2</v>
      </c>
      <c r="M317" s="567">
        <f t="shared" si="106"/>
        <v>1</v>
      </c>
      <c r="N317" s="567">
        <f t="shared" si="106"/>
        <v>0</v>
      </c>
      <c r="O317" s="567">
        <f t="shared" si="106"/>
        <v>2</v>
      </c>
      <c r="P317" s="567">
        <f t="shared" si="106"/>
        <v>2</v>
      </c>
      <c r="Q317" s="567">
        <f t="shared" si="106"/>
        <v>2</v>
      </c>
      <c r="R317" s="567">
        <f t="shared" si="106"/>
        <v>2</v>
      </c>
      <c r="S317" s="567">
        <f t="shared" si="106"/>
        <v>2</v>
      </c>
      <c r="T317" s="567">
        <f t="shared" si="106"/>
        <v>2</v>
      </c>
      <c r="U317" s="567">
        <f t="shared" si="106"/>
        <v>2</v>
      </c>
      <c r="V317" s="567">
        <f t="shared" si="106"/>
        <v>2</v>
      </c>
      <c r="W317" s="567">
        <f t="shared" si="106"/>
        <v>2</v>
      </c>
      <c r="X317" s="567">
        <f t="shared" si="106"/>
        <v>1</v>
      </c>
      <c r="Y317" s="567">
        <f t="shared" si="106"/>
        <v>1</v>
      </c>
      <c r="Z317" s="567">
        <f t="shared" si="106"/>
        <v>2</v>
      </c>
      <c r="AA317" s="567">
        <f t="shared" si="106"/>
        <v>2</v>
      </c>
      <c r="AB317" s="567">
        <f t="shared" si="106"/>
        <v>2</v>
      </c>
      <c r="AC317" s="567">
        <f t="shared" si="106"/>
        <v>0</v>
      </c>
      <c r="AD317" s="567">
        <f t="shared" si="106"/>
        <v>1</v>
      </c>
      <c r="AE317" s="567">
        <f t="shared" si="106"/>
        <v>2</v>
      </c>
      <c r="AF317" s="567">
        <f t="shared" si="106"/>
        <v>2</v>
      </c>
      <c r="AG317" s="567">
        <f t="shared" si="106"/>
        <v>0</v>
      </c>
      <c r="AH317" s="567">
        <f t="shared" si="106"/>
        <v>2</v>
      </c>
      <c r="AI317" s="567">
        <f t="shared" si="106"/>
        <v>2</v>
      </c>
      <c r="AJ317" s="567">
        <f t="shared" ref="AJ317:BO317" si="107">AJ166</f>
        <v>2</v>
      </c>
      <c r="AK317" s="567">
        <f t="shared" si="107"/>
        <v>2</v>
      </c>
      <c r="AL317" s="567">
        <f t="shared" si="107"/>
        <v>2</v>
      </c>
      <c r="AM317" s="567">
        <f t="shared" si="107"/>
        <v>0</v>
      </c>
      <c r="AN317" s="567">
        <f t="shared" si="107"/>
        <v>2</v>
      </c>
      <c r="AO317" s="567">
        <f t="shared" si="107"/>
        <v>0</v>
      </c>
      <c r="AP317" s="567">
        <f t="shared" si="107"/>
        <v>2</v>
      </c>
      <c r="AQ317" s="567">
        <f t="shared" si="107"/>
        <v>1</v>
      </c>
      <c r="AR317" s="567">
        <f t="shared" si="107"/>
        <v>2</v>
      </c>
      <c r="AS317" s="567">
        <f t="shared" si="107"/>
        <v>2</v>
      </c>
      <c r="AT317" s="567">
        <f t="shared" si="107"/>
        <v>1</v>
      </c>
      <c r="AU317" s="567">
        <f t="shared" si="107"/>
        <v>0</v>
      </c>
      <c r="AV317" s="567">
        <f t="shared" si="107"/>
        <v>2</v>
      </c>
      <c r="AW317" s="567">
        <f t="shared" si="107"/>
        <v>1</v>
      </c>
      <c r="AX317" s="567">
        <f t="shared" si="107"/>
        <v>2</v>
      </c>
      <c r="AY317" s="567">
        <f t="shared" si="107"/>
        <v>2</v>
      </c>
      <c r="AZ317" s="567">
        <f t="shared" si="107"/>
        <v>2</v>
      </c>
      <c r="BA317" s="567">
        <f t="shared" si="107"/>
        <v>2</v>
      </c>
      <c r="BB317" s="567">
        <f t="shared" si="107"/>
        <v>2</v>
      </c>
      <c r="BC317" s="567">
        <f t="shared" si="107"/>
        <v>2</v>
      </c>
      <c r="BD317" s="567">
        <f t="shared" si="107"/>
        <v>2</v>
      </c>
      <c r="BE317" s="567">
        <f t="shared" si="107"/>
        <v>2</v>
      </c>
      <c r="BF317" s="567">
        <f t="shared" si="107"/>
        <v>1</v>
      </c>
      <c r="BG317" s="567">
        <f t="shared" si="107"/>
        <v>2</v>
      </c>
      <c r="BH317" s="567">
        <f t="shared" si="107"/>
        <v>2</v>
      </c>
      <c r="BI317" s="567">
        <f t="shared" si="107"/>
        <v>2</v>
      </c>
      <c r="BJ317" s="567">
        <f t="shared" si="107"/>
        <v>2</v>
      </c>
      <c r="BK317" s="567">
        <f t="shared" si="107"/>
        <v>2</v>
      </c>
      <c r="BL317" s="567">
        <f t="shared" si="107"/>
        <v>2</v>
      </c>
      <c r="BM317" s="567">
        <f t="shared" si="107"/>
        <v>2</v>
      </c>
      <c r="BN317" s="567">
        <f t="shared" si="107"/>
        <v>2</v>
      </c>
      <c r="BO317" s="567">
        <f t="shared" si="107"/>
        <v>2</v>
      </c>
      <c r="BP317" s="567">
        <f t="shared" ref="BP317:CZ317" si="108">BP166</f>
        <v>1</v>
      </c>
      <c r="BQ317" s="567">
        <f t="shared" si="108"/>
        <v>2</v>
      </c>
      <c r="BR317" s="567">
        <f t="shared" si="108"/>
        <v>0</v>
      </c>
      <c r="BS317" s="567">
        <f t="shared" si="108"/>
        <v>2</v>
      </c>
      <c r="BT317" s="567">
        <f t="shared" si="108"/>
        <v>0</v>
      </c>
      <c r="BU317" s="567">
        <f t="shared" si="108"/>
        <v>1</v>
      </c>
      <c r="BV317" s="567">
        <f t="shared" si="108"/>
        <v>2</v>
      </c>
      <c r="BW317" s="567">
        <f t="shared" si="108"/>
        <v>2</v>
      </c>
      <c r="BX317" s="567">
        <f t="shared" si="108"/>
        <v>2</v>
      </c>
      <c r="BY317" s="567">
        <f t="shared" si="108"/>
        <v>0</v>
      </c>
      <c r="BZ317" s="567">
        <f t="shared" si="108"/>
        <v>2</v>
      </c>
      <c r="CA317" s="567">
        <f t="shared" si="108"/>
        <v>2</v>
      </c>
      <c r="CB317" s="567">
        <f t="shared" si="108"/>
        <v>2</v>
      </c>
      <c r="CC317" s="567">
        <f t="shared" si="108"/>
        <v>2</v>
      </c>
      <c r="CD317" s="567">
        <f t="shared" si="108"/>
        <v>2</v>
      </c>
      <c r="CE317" s="567">
        <f t="shared" si="108"/>
        <v>0</v>
      </c>
      <c r="CF317" s="567">
        <f t="shared" si="108"/>
        <v>2</v>
      </c>
      <c r="CG317" s="567">
        <f t="shared" si="108"/>
        <v>2</v>
      </c>
      <c r="CH317" s="567">
        <f t="shared" si="108"/>
        <v>2</v>
      </c>
      <c r="CI317" s="567">
        <f t="shared" si="108"/>
        <v>2</v>
      </c>
      <c r="CJ317" s="567">
        <f t="shared" si="108"/>
        <v>0</v>
      </c>
      <c r="CK317" s="567">
        <f t="shared" si="108"/>
        <v>2</v>
      </c>
      <c r="CL317" s="567">
        <f t="shared" si="108"/>
        <v>0</v>
      </c>
      <c r="CM317" s="567">
        <f t="shared" si="108"/>
        <v>0</v>
      </c>
      <c r="CN317" s="567">
        <f t="shared" si="108"/>
        <v>0</v>
      </c>
      <c r="CO317" s="567">
        <f t="shared" si="108"/>
        <v>0</v>
      </c>
      <c r="CP317" s="567">
        <f t="shared" si="108"/>
        <v>0</v>
      </c>
      <c r="CQ317" s="567">
        <f t="shared" si="108"/>
        <v>0</v>
      </c>
      <c r="CR317" s="567">
        <f t="shared" si="108"/>
        <v>0</v>
      </c>
      <c r="CS317" s="567">
        <f t="shared" si="108"/>
        <v>0</v>
      </c>
      <c r="CT317" s="567">
        <f t="shared" si="108"/>
        <v>0</v>
      </c>
      <c r="CU317" s="567">
        <f t="shared" si="108"/>
        <v>0</v>
      </c>
      <c r="CV317" s="567">
        <f t="shared" si="108"/>
        <v>0</v>
      </c>
      <c r="CW317" s="567">
        <f t="shared" si="108"/>
        <v>0</v>
      </c>
      <c r="CX317" s="567">
        <f t="shared" si="108"/>
        <v>0</v>
      </c>
      <c r="CY317" s="567">
        <f t="shared" si="108"/>
        <v>0</v>
      </c>
      <c r="CZ317" s="567">
        <f t="shared" si="108"/>
        <v>0</v>
      </c>
    </row>
    <row r="318" spans="1:104" s="180" customFormat="1" x14ac:dyDescent="0.3">
      <c r="A318" s="155">
        <v>545</v>
      </c>
      <c r="C318" s="180">
        <v>142</v>
      </c>
      <c r="D318" s="567">
        <f t="shared" ref="D318:AI318" si="109">D142</f>
        <v>0</v>
      </c>
      <c r="E318" s="567">
        <f t="shared" si="109"/>
        <v>0</v>
      </c>
      <c r="F318" s="567">
        <f t="shared" si="109"/>
        <v>0</v>
      </c>
      <c r="G318" s="567">
        <f t="shared" si="109"/>
        <v>0</v>
      </c>
      <c r="H318" s="567">
        <f t="shared" si="109"/>
        <v>0</v>
      </c>
      <c r="I318" s="567">
        <f t="shared" si="109"/>
        <v>0</v>
      </c>
      <c r="J318" s="567">
        <f t="shared" si="109"/>
        <v>0</v>
      </c>
      <c r="K318" s="567">
        <f t="shared" si="109"/>
        <v>0</v>
      </c>
      <c r="L318" s="567">
        <f t="shared" si="109"/>
        <v>0</v>
      </c>
      <c r="M318" s="567">
        <f t="shared" si="109"/>
        <v>0</v>
      </c>
      <c r="N318" s="567">
        <f t="shared" si="109"/>
        <v>0</v>
      </c>
      <c r="O318" s="567">
        <f t="shared" si="109"/>
        <v>0</v>
      </c>
      <c r="P318" s="567">
        <f t="shared" si="109"/>
        <v>0</v>
      </c>
      <c r="Q318" s="567">
        <f t="shared" si="109"/>
        <v>0</v>
      </c>
      <c r="R318" s="567">
        <f t="shared" si="109"/>
        <v>0</v>
      </c>
      <c r="S318" s="567">
        <f t="shared" si="109"/>
        <v>0</v>
      </c>
      <c r="T318" s="567">
        <f t="shared" si="109"/>
        <v>0</v>
      </c>
      <c r="U318" s="567">
        <f t="shared" si="109"/>
        <v>0</v>
      </c>
      <c r="V318" s="567">
        <f t="shared" si="109"/>
        <v>0</v>
      </c>
      <c r="W318" s="567">
        <f t="shared" si="109"/>
        <v>0</v>
      </c>
      <c r="X318" s="567">
        <f t="shared" si="109"/>
        <v>0.8</v>
      </c>
      <c r="Y318" s="567">
        <f t="shared" si="109"/>
        <v>0</v>
      </c>
      <c r="Z318" s="567">
        <f t="shared" si="109"/>
        <v>0</v>
      </c>
      <c r="AA318" s="567">
        <f t="shared" si="109"/>
        <v>0</v>
      </c>
      <c r="AB318" s="567">
        <f t="shared" si="109"/>
        <v>0.02</v>
      </c>
      <c r="AC318" s="567">
        <f t="shared" si="109"/>
        <v>0</v>
      </c>
      <c r="AD318" s="567">
        <f t="shared" si="109"/>
        <v>0</v>
      </c>
      <c r="AE318" s="567">
        <f t="shared" si="109"/>
        <v>0</v>
      </c>
      <c r="AF318" s="567">
        <f t="shared" si="109"/>
        <v>0</v>
      </c>
      <c r="AG318" s="567">
        <f t="shared" si="109"/>
        <v>0</v>
      </c>
      <c r="AH318" s="567">
        <f t="shared" si="109"/>
        <v>0</v>
      </c>
      <c r="AI318" s="567">
        <f t="shared" si="109"/>
        <v>0</v>
      </c>
      <c r="AJ318" s="567">
        <f t="shared" ref="AJ318:BO318" si="110">AJ142</f>
        <v>0</v>
      </c>
      <c r="AK318" s="567">
        <f t="shared" si="110"/>
        <v>0</v>
      </c>
      <c r="AL318" s="567">
        <f t="shared" si="110"/>
        <v>0</v>
      </c>
      <c r="AM318" s="567">
        <f t="shared" si="110"/>
        <v>0</v>
      </c>
      <c r="AN318" s="567">
        <f t="shared" si="110"/>
        <v>0</v>
      </c>
      <c r="AO318" s="567">
        <f t="shared" si="110"/>
        <v>0</v>
      </c>
      <c r="AP318" s="567">
        <f t="shared" si="110"/>
        <v>0</v>
      </c>
      <c r="AQ318" s="567">
        <f t="shared" si="110"/>
        <v>0</v>
      </c>
      <c r="AR318" s="567">
        <f t="shared" si="110"/>
        <v>0</v>
      </c>
      <c r="AS318" s="567">
        <f t="shared" si="110"/>
        <v>0</v>
      </c>
      <c r="AT318" s="567">
        <f t="shared" si="110"/>
        <v>0</v>
      </c>
      <c r="AU318" s="567">
        <f t="shared" si="110"/>
        <v>0</v>
      </c>
      <c r="AV318" s="567">
        <f t="shared" si="110"/>
        <v>0</v>
      </c>
      <c r="AW318" s="567">
        <f t="shared" si="110"/>
        <v>0</v>
      </c>
      <c r="AX318" s="567">
        <f t="shared" si="110"/>
        <v>0</v>
      </c>
      <c r="AY318" s="567">
        <f t="shared" si="110"/>
        <v>0</v>
      </c>
      <c r="AZ318" s="567">
        <f t="shared" si="110"/>
        <v>0</v>
      </c>
      <c r="BA318" s="567">
        <f t="shared" si="110"/>
        <v>0</v>
      </c>
      <c r="BB318" s="567">
        <f t="shared" si="110"/>
        <v>0</v>
      </c>
      <c r="BC318" s="567">
        <f t="shared" si="110"/>
        <v>0</v>
      </c>
      <c r="BD318" s="567">
        <f t="shared" si="110"/>
        <v>0</v>
      </c>
      <c r="BE318" s="567">
        <f t="shared" si="110"/>
        <v>0.32500000000000001</v>
      </c>
      <c r="BF318" s="567">
        <f t="shared" si="110"/>
        <v>0</v>
      </c>
      <c r="BG318" s="567">
        <f t="shared" si="110"/>
        <v>0</v>
      </c>
      <c r="BH318" s="567">
        <f t="shared" si="110"/>
        <v>0</v>
      </c>
      <c r="BI318" s="567">
        <f t="shared" si="110"/>
        <v>0</v>
      </c>
      <c r="BJ318" s="567">
        <f t="shared" si="110"/>
        <v>0</v>
      </c>
      <c r="BK318" s="567">
        <f t="shared" si="110"/>
        <v>0</v>
      </c>
      <c r="BL318" s="567">
        <f t="shared" si="110"/>
        <v>0</v>
      </c>
      <c r="BM318" s="567">
        <f t="shared" si="110"/>
        <v>0</v>
      </c>
      <c r="BN318" s="567">
        <f t="shared" si="110"/>
        <v>2.36</v>
      </c>
      <c r="BO318" s="567">
        <f t="shared" si="110"/>
        <v>0</v>
      </c>
      <c r="BP318" s="567">
        <f t="shared" ref="BP318:CZ318" si="111">BP142</f>
        <v>6.0000000000000001E-3</v>
      </c>
      <c r="BQ318" s="567">
        <f t="shared" si="111"/>
        <v>0</v>
      </c>
      <c r="BR318" s="567">
        <f t="shared" si="111"/>
        <v>0</v>
      </c>
      <c r="BS318" s="567">
        <f t="shared" si="111"/>
        <v>0</v>
      </c>
      <c r="BT318" s="567">
        <f t="shared" si="111"/>
        <v>0</v>
      </c>
      <c r="BU318" s="567">
        <f t="shared" si="111"/>
        <v>0</v>
      </c>
      <c r="BV318" s="567">
        <f t="shared" si="111"/>
        <v>0</v>
      </c>
      <c r="BW318" s="567">
        <f t="shared" si="111"/>
        <v>0</v>
      </c>
      <c r="BX318" s="567">
        <f t="shared" si="111"/>
        <v>0</v>
      </c>
      <c r="BY318" s="567">
        <f t="shared" si="111"/>
        <v>0</v>
      </c>
      <c r="BZ318" s="567">
        <f t="shared" si="111"/>
        <v>0</v>
      </c>
      <c r="CA318" s="567">
        <f t="shared" si="111"/>
        <v>0</v>
      </c>
      <c r="CB318" s="567">
        <f t="shared" si="111"/>
        <v>0</v>
      </c>
      <c r="CC318" s="567">
        <f t="shared" si="111"/>
        <v>0</v>
      </c>
      <c r="CD318" s="567">
        <f t="shared" si="111"/>
        <v>0</v>
      </c>
      <c r="CE318" s="567">
        <f t="shared" si="111"/>
        <v>0</v>
      </c>
      <c r="CF318" s="567">
        <f t="shared" si="111"/>
        <v>0</v>
      </c>
      <c r="CG318" s="567">
        <f t="shared" si="111"/>
        <v>0</v>
      </c>
      <c r="CH318" s="567">
        <f t="shared" si="111"/>
        <v>0</v>
      </c>
      <c r="CI318" s="567">
        <f t="shared" si="111"/>
        <v>0</v>
      </c>
      <c r="CJ318" s="567">
        <f t="shared" si="111"/>
        <v>0</v>
      </c>
      <c r="CK318" s="567">
        <f t="shared" si="111"/>
        <v>0</v>
      </c>
      <c r="CL318" s="567">
        <f t="shared" si="111"/>
        <v>0</v>
      </c>
      <c r="CM318" s="567">
        <f t="shared" si="111"/>
        <v>0</v>
      </c>
      <c r="CN318" s="567">
        <f t="shared" si="111"/>
        <v>0</v>
      </c>
      <c r="CO318" s="567">
        <f t="shared" si="111"/>
        <v>0</v>
      </c>
      <c r="CP318" s="567">
        <f t="shared" si="111"/>
        <v>0</v>
      </c>
      <c r="CQ318" s="567">
        <f t="shared" si="111"/>
        <v>0</v>
      </c>
      <c r="CR318" s="567">
        <f t="shared" si="111"/>
        <v>0</v>
      </c>
      <c r="CS318" s="567">
        <f t="shared" si="111"/>
        <v>0</v>
      </c>
      <c r="CT318" s="567">
        <f t="shared" si="111"/>
        <v>0</v>
      </c>
      <c r="CU318" s="567">
        <f t="shared" si="111"/>
        <v>0</v>
      </c>
      <c r="CV318" s="567">
        <f t="shared" si="111"/>
        <v>0</v>
      </c>
      <c r="CW318" s="567">
        <f t="shared" si="111"/>
        <v>0</v>
      </c>
      <c r="CX318" s="567">
        <f t="shared" si="111"/>
        <v>0</v>
      </c>
      <c r="CY318" s="567">
        <f t="shared" si="111"/>
        <v>0</v>
      </c>
      <c r="CZ318" s="567">
        <f t="shared" si="111"/>
        <v>0</v>
      </c>
    </row>
    <row r="319" spans="1:104" s="180" customFormat="1" x14ac:dyDescent="0.3">
      <c r="A319" s="566">
        <v>624</v>
      </c>
      <c r="C319" s="180">
        <v>169</v>
      </c>
      <c r="D319" s="567">
        <f t="shared" ref="D319:AI319" si="112">D169</f>
        <v>2</v>
      </c>
      <c r="E319" s="567">
        <f t="shared" si="112"/>
        <v>1</v>
      </c>
      <c r="F319" s="567">
        <f t="shared" si="112"/>
        <v>2</v>
      </c>
      <c r="G319" s="567">
        <f t="shared" si="112"/>
        <v>1</v>
      </c>
      <c r="H319" s="567">
        <f t="shared" si="112"/>
        <v>0</v>
      </c>
      <c r="I319" s="567">
        <f t="shared" si="112"/>
        <v>2</v>
      </c>
      <c r="J319" s="567">
        <f t="shared" si="112"/>
        <v>1</v>
      </c>
      <c r="K319" s="567">
        <f t="shared" si="112"/>
        <v>1</v>
      </c>
      <c r="L319" s="567">
        <f t="shared" si="112"/>
        <v>1</v>
      </c>
      <c r="M319" s="567">
        <f t="shared" si="112"/>
        <v>1</v>
      </c>
      <c r="N319" s="567">
        <f t="shared" si="112"/>
        <v>0</v>
      </c>
      <c r="O319" s="567">
        <f t="shared" si="112"/>
        <v>2</v>
      </c>
      <c r="P319" s="567">
        <f t="shared" si="112"/>
        <v>0</v>
      </c>
      <c r="Q319" s="567">
        <f t="shared" si="112"/>
        <v>1</v>
      </c>
      <c r="R319" s="567">
        <f t="shared" si="112"/>
        <v>1</v>
      </c>
      <c r="S319" s="567">
        <f t="shared" si="112"/>
        <v>1</v>
      </c>
      <c r="T319" s="567">
        <f t="shared" si="112"/>
        <v>2</v>
      </c>
      <c r="U319" s="567">
        <f t="shared" si="112"/>
        <v>1</v>
      </c>
      <c r="V319" s="567">
        <f t="shared" si="112"/>
        <v>1</v>
      </c>
      <c r="W319" s="567">
        <f t="shared" si="112"/>
        <v>1</v>
      </c>
      <c r="X319" s="567">
        <f t="shared" si="112"/>
        <v>1</v>
      </c>
      <c r="Y319" s="567">
        <f t="shared" si="112"/>
        <v>1</v>
      </c>
      <c r="Z319" s="567">
        <f t="shared" si="112"/>
        <v>1</v>
      </c>
      <c r="AA319" s="567">
        <f t="shared" si="112"/>
        <v>1</v>
      </c>
      <c r="AB319" s="567">
        <f t="shared" si="112"/>
        <v>1</v>
      </c>
      <c r="AC319" s="567">
        <f t="shared" si="112"/>
        <v>0</v>
      </c>
      <c r="AD319" s="567">
        <f t="shared" si="112"/>
        <v>1</v>
      </c>
      <c r="AE319" s="567">
        <f t="shared" si="112"/>
        <v>2</v>
      </c>
      <c r="AF319" s="567">
        <f t="shared" si="112"/>
        <v>2</v>
      </c>
      <c r="AG319" s="567">
        <f t="shared" si="112"/>
        <v>1</v>
      </c>
      <c r="AH319" s="567">
        <f t="shared" si="112"/>
        <v>1</v>
      </c>
      <c r="AI319" s="567">
        <f t="shared" si="112"/>
        <v>0</v>
      </c>
      <c r="AJ319" s="567">
        <f t="shared" ref="AJ319:BO319" si="113">AJ169</f>
        <v>2</v>
      </c>
      <c r="AK319" s="567">
        <f t="shared" si="113"/>
        <v>1</v>
      </c>
      <c r="AL319" s="567">
        <f t="shared" si="113"/>
        <v>1</v>
      </c>
      <c r="AM319" s="567">
        <f t="shared" si="113"/>
        <v>0</v>
      </c>
      <c r="AN319" s="567">
        <f t="shared" si="113"/>
        <v>1</v>
      </c>
      <c r="AO319" s="567">
        <f t="shared" si="113"/>
        <v>0</v>
      </c>
      <c r="AP319" s="567">
        <f t="shared" si="113"/>
        <v>1</v>
      </c>
      <c r="AQ319" s="567">
        <f t="shared" si="113"/>
        <v>1</v>
      </c>
      <c r="AR319" s="567">
        <f t="shared" si="113"/>
        <v>1</v>
      </c>
      <c r="AS319" s="567">
        <f t="shared" si="113"/>
        <v>1</v>
      </c>
      <c r="AT319" s="567">
        <f t="shared" si="113"/>
        <v>2</v>
      </c>
      <c r="AU319" s="567">
        <f t="shared" si="113"/>
        <v>0</v>
      </c>
      <c r="AV319" s="567">
        <f t="shared" si="113"/>
        <v>1</v>
      </c>
      <c r="AW319" s="567">
        <f t="shared" si="113"/>
        <v>1</v>
      </c>
      <c r="AX319" s="567">
        <f t="shared" si="113"/>
        <v>1</v>
      </c>
      <c r="AY319" s="567">
        <f t="shared" si="113"/>
        <v>1</v>
      </c>
      <c r="AZ319" s="567">
        <f t="shared" si="113"/>
        <v>1</v>
      </c>
      <c r="BA319" s="567">
        <f t="shared" si="113"/>
        <v>1</v>
      </c>
      <c r="BB319" s="567">
        <f t="shared" si="113"/>
        <v>2</v>
      </c>
      <c r="BC319" s="567">
        <f t="shared" si="113"/>
        <v>1</v>
      </c>
      <c r="BD319" s="567">
        <f t="shared" si="113"/>
        <v>1</v>
      </c>
      <c r="BE319" s="567">
        <f t="shared" si="113"/>
        <v>1</v>
      </c>
      <c r="BF319" s="567">
        <f t="shared" si="113"/>
        <v>1</v>
      </c>
      <c r="BG319" s="567">
        <f t="shared" si="113"/>
        <v>1</v>
      </c>
      <c r="BH319" s="567">
        <f t="shared" si="113"/>
        <v>2</v>
      </c>
      <c r="BI319" s="567">
        <f t="shared" si="113"/>
        <v>1</v>
      </c>
      <c r="BJ319" s="567">
        <f t="shared" si="113"/>
        <v>2</v>
      </c>
      <c r="BK319" s="567">
        <f t="shared" si="113"/>
        <v>1</v>
      </c>
      <c r="BL319" s="567">
        <f t="shared" si="113"/>
        <v>2</v>
      </c>
      <c r="BM319" s="567">
        <f t="shared" si="113"/>
        <v>2</v>
      </c>
      <c r="BN319" s="567">
        <f t="shared" si="113"/>
        <v>1</v>
      </c>
      <c r="BO319" s="567">
        <f t="shared" si="113"/>
        <v>1</v>
      </c>
      <c r="BP319" s="567">
        <f t="shared" ref="BP319:CZ319" si="114">BP169</f>
        <v>1</v>
      </c>
      <c r="BQ319" s="567">
        <f t="shared" si="114"/>
        <v>1</v>
      </c>
      <c r="BR319" s="567">
        <f t="shared" si="114"/>
        <v>0</v>
      </c>
      <c r="BS319" s="567">
        <f t="shared" si="114"/>
        <v>1</v>
      </c>
      <c r="BT319" s="567">
        <f t="shared" si="114"/>
        <v>0</v>
      </c>
      <c r="BU319" s="567">
        <f t="shared" si="114"/>
        <v>1</v>
      </c>
      <c r="BV319" s="567">
        <f t="shared" si="114"/>
        <v>1</v>
      </c>
      <c r="BW319" s="567">
        <f t="shared" si="114"/>
        <v>1</v>
      </c>
      <c r="BX319" s="567">
        <f t="shared" si="114"/>
        <v>1</v>
      </c>
      <c r="BY319" s="567">
        <f t="shared" si="114"/>
        <v>0</v>
      </c>
      <c r="BZ319" s="567">
        <f t="shared" si="114"/>
        <v>2</v>
      </c>
      <c r="CA319" s="567">
        <f t="shared" si="114"/>
        <v>2</v>
      </c>
      <c r="CB319" s="567">
        <f t="shared" si="114"/>
        <v>1</v>
      </c>
      <c r="CC319" s="567">
        <f t="shared" si="114"/>
        <v>1</v>
      </c>
      <c r="CD319" s="567">
        <f t="shared" si="114"/>
        <v>1</v>
      </c>
      <c r="CE319" s="567">
        <f t="shared" si="114"/>
        <v>0</v>
      </c>
      <c r="CF319" s="567">
        <f t="shared" si="114"/>
        <v>2</v>
      </c>
      <c r="CG319" s="567">
        <f t="shared" si="114"/>
        <v>1</v>
      </c>
      <c r="CH319" s="567">
        <f t="shared" si="114"/>
        <v>1</v>
      </c>
      <c r="CI319" s="567">
        <f t="shared" si="114"/>
        <v>0</v>
      </c>
      <c r="CJ319" s="567">
        <f t="shared" si="114"/>
        <v>0</v>
      </c>
      <c r="CK319" s="567">
        <f t="shared" si="114"/>
        <v>1</v>
      </c>
      <c r="CL319" s="567">
        <f t="shared" si="114"/>
        <v>0</v>
      </c>
      <c r="CM319" s="567">
        <f t="shared" si="114"/>
        <v>0</v>
      </c>
      <c r="CN319" s="567">
        <f t="shared" si="114"/>
        <v>0</v>
      </c>
      <c r="CO319" s="567">
        <f t="shared" si="114"/>
        <v>0</v>
      </c>
      <c r="CP319" s="567">
        <f t="shared" si="114"/>
        <v>0</v>
      </c>
      <c r="CQ319" s="567">
        <f t="shared" si="114"/>
        <v>0</v>
      </c>
      <c r="CR319" s="567">
        <f t="shared" si="114"/>
        <v>0</v>
      </c>
      <c r="CS319" s="567">
        <f t="shared" si="114"/>
        <v>0</v>
      </c>
      <c r="CT319" s="567">
        <f t="shared" si="114"/>
        <v>0</v>
      </c>
      <c r="CU319" s="567">
        <f t="shared" si="114"/>
        <v>0</v>
      </c>
      <c r="CV319" s="567">
        <f t="shared" si="114"/>
        <v>0</v>
      </c>
      <c r="CW319" s="567">
        <f t="shared" si="114"/>
        <v>0</v>
      </c>
      <c r="CX319" s="567">
        <f t="shared" si="114"/>
        <v>0</v>
      </c>
      <c r="CY319" s="567">
        <f t="shared" si="114"/>
        <v>0</v>
      </c>
      <c r="CZ319" s="567">
        <f t="shared" si="114"/>
        <v>0</v>
      </c>
    </row>
    <row r="320" spans="1:104" s="180" customFormat="1" x14ac:dyDescent="0.3">
      <c r="A320" s="566">
        <v>577</v>
      </c>
      <c r="C320" s="180">
        <v>150</v>
      </c>
      <c r="D320" s="567">
        <f t="shared" ref="D320:AI320" si="115">D150</f>
        <v>0</v>
      </c>
      <c r="E320" s="567">
        <f t="shared" si="115"/>
        <v>2</v>
      </c>
      <c r="F320" s="567">
        <f t="shared" si="115"/>
        <v>2</v>
      </c>
      <c r="G320" s="567">
        <f t="shared" si="115"/>
        <v>2</v>
      </c>
      <c r="H320" s="567">
        <f t="shared" si="115"/>
        <v>0</v>
      </c>
      <c r="I320" s="567">
        <f t="shared" si="115"/>
        <v>2</v>
      </c>
      <c r="J320" s="567">
        <f t="shared" si="115"/>
        <v>2</v>
      </c>
      <c r="K320" s="567">
        <f t="shared" si="115"/>
        <v>2</v>
      </c>
      <c r="L320" s="567">
        <f t="shared" si="115"/>
        <v>2</v>
      </c>
      <c r="M320" s="567">
        <f t="shared" si="115"/>
        <v>1</v>
      </c>
      <c r="N320" s="567">
        <f t="shared" si="115"/>
        <v>0</v>
      </c>
      <c r="O320" s="567">
        <f t="shared" si="115"/>
        <v>2</v>
      </c>
      <c r="P320" s="567">
        <f t="shared" si="115"/>
        <v>0</v>
      </c>
      <c r="Q320" s="567">
        <f t="shared" si="115"/>
        <v>2</v>
      </c>
      <c r="R320" s="567">
        <f t="shared" si="115"/>
        <v>0</v>
      </c>
      <c r="S320" s="567">
        <f t="shared" si="115"/>
        <v>2</v>
      </c>
      <c r="T320" s="567">
        <f t="shared" si="115"/>
        <v>2</v>
      </c>
      <c r="U320" s="567">
        <f t="shared" si="115"/>
        <v>2</v>
      </c>
      <c r="V320" s="567">
        <f t="shared" si="115"/>
        <v>2</v>
      </c>
      <c r="W320" s="567">
        <f t="shared" si="115"/>
        <v>2</v>
      </c>
      <c r="X320" s="567">
        <f t="shared" si="115"/>
        <v>2</v>
      </c>
      <c r="Y320" s="567">
        <f t="shared" si="115"/>
        <v>1</v>
      </c>
      <c r="Z320" s="567">
        <f t="shared" si="115"/>
        <v>2</v>
      </c>
      <c r="AA320" s="567">
        <f t="shared" si="115"/>
        <v>0</v>
      </c>
      <c r="AB320" s="567">
        <f t="shared" si="115"/>
        <v>2</v>
      </c>
      <c r="AC320" s="567">
        <f t="shared" si="115"/>
        <v>0</v>
      </c>
      <c r="AD320" s="567">
        <f t="shared" si="115"/>
        <v>2</v>
      </c>
      <c r="AE320" s="567">
        <f t="shared" si="115"/>
        <v>2</v>
      </c>
      <c r="AF320" s="567">
        <f t="shared" si="115"/>
        <v>2</v>
      </c>
      <c r="AG320" s="567">
        <f t="shared" si="115"/>
        <v>0</v>
      </c>
      <c r="AH320" s="567">
        <f t="shared" si="115"/>
        <v>2</v>
      </c>
      <c r="AI320" s="567">
        <f t="shared" si="115"/>
        <v>2</v>
      </c>
      <c r="AJ320" s="567">
        <f t="shared" ref="AJ320:BO320" si="116">AJ150</f>
        <v>2</v>
      </c>
      <c r="AK320" s="567">
        <f t="shared" si="116"/>
        <v>2</v>
      </c>
      <c r="AL320" s="567">
        <f t="shared" si="116"/>
        <v>2</v>
      </c>
      <c r="AM320" s="567">
        <f t="shared" si="116"/>
        <v>0</v>
      </c>
      <c r="AN320" s="567">
        <f t="shared" si="116"/>
        <v>2</v>
      </c>
      <c r="AO320" s="567">
        <f t="shared" si="116"/>
        <v>0</v>
      </c>
      <c r="AP320" s="567">
        <f t="shared" si="116"/>
        <v>0</v>
      </c>
      <c r="AQ320" s="567">
        <f t="shared" si="116"/>
        <v>2</v>
      </c>
      <c r="AR320" s="567">
        <f t="shared" si="116"/>
        <v>2</v>
      </c>
      <c r="AS320" s="567">
        <f t="shared" si="116"/>
        <v>2</v>
      </c>
      <c r="AT320" s="567">
        <f t="shared" si="116"/>
        <v>2</v>
      </c>
      <c r="AU320" s="567">
        <f t="shared" si="116"/>
        <v>0</v>
      </c>
      <c r="AV320" s="567">
        <f t="shared" si="116"/>
        <v>2</v>
      </c>
      <c r="AW320" s="567">
        <f t="shared" si="116"/>
        <v>2</v>
      </c>
      <c r="AX320" s="567">
        <f t="shared" si="116"/>
        <v>2</v>
      </c>
      <c r="AY320" s="567">
        <f t="shared" si="116"/>
        <v>2</v>
      </c>
      <c r="AZ320" s="567">
        <f t="shared" si="116"/>
        <v>2</v>
      </c>
      <c r="BA320" s="567">
        <f t="shared" si="116"/>
        <v>2</v>
      </c>
      <c r="BB320" s="567">
        <f t="shared" si="116"/>
        <v>2</v>
      </c>
      <c r="BC320" s="567">
        <f t="shared" si="116"/>
        <v>2</v>
      </c>
      <c r="BD320" s="567">
        <f t="shared" si="116"/>
        <v>2</v>
      </c>
      <c r="BE320" s="567">
        <f t="shared" si="116"/>
        <v>2</v>
      </c>
      <c r="BF320" s="567">
        <f t="shared" si="116"/>
        <v>2</v>
      </c>
      <c r="BG320" s="567">
        <f t="shared" si="116"/>
        <v>0</v>
      </c>
      <c r="BH320" s="567">
        <f t="shared" si="116"/>
        <v>2</v>
      </c>
      <c r="BI320" s="567">
        <f t="shared" si="116"/>
        <v>1</v>
      </c>
      <c r="BJ320" s="567">
        <f t="shared" si="116"/>
        <v>2</v>
      </c>
      <c r="BK320" s="567">
        <f t="shared" si="116"/>
        <v>2</v>
      </c>
      <c r="BL320" s="567">
        <f t="shared" si="116"/>
        <v>2</v>
      </c>
      <c r="BM320" s="567">
        <f t="shared" si="116"/>
        <v>0</v>
      </c>
      <c r="BN320" s="567">
        <f t="shared" si="116"/>
        <v>0</v>
      </c>
      <c r="BO320" s="567">
        <f t="shared" si="116"/>
        <v>2</v>
      </c>
      <c r="BP320" s="567">
        <f t="shared" ref="BP320:CZ320" si="117">BP150</f>
        <v>2</v>
      </c>
      <c r="BQ320" s="567">
        <f t="shared" si="117"/>
        <v>0</v>
      </c>
      <c r="BR320" s="567">
        <f t="shared" si="117"/>
        <v>0</v>
      </c>
      <c r="BS320" s="567">
        <f t="shared" si="117"/>
        <v>2</v>
      </c>
      <c r="BT320" s="567">
        <f t="shared" si="117"/>
        <v>0</v>
      </c>
      <c r="BU320" s="567">
        <f t="shared" si="117"/>
        <v>2</v>
      </c>
      <c r="BV320" s="567">
        <f t="shared" si="117"/>
        <v>2</v>
      </c>
      <c r="BW320" s="567">
        <f t="shared" si="117"/>
        <v>2</v>
      </c>
      <c r="BX320" s="567">
        <f t="shared" si="117"/>
        <v>2</v>
      </c>
      <c r="BY320" s="567">
        <f t="shared" si="117"/>
        <v>0</v>
      </c>
      <c r="BZ320" s="567">
        <f t="shared" si="117"/>
        <v>2</v>
      </c>
      <c r="CA320" s="567">
        <f t="shared" si="117"/>
        <v>2</v>
      </c>
      <c r="CB320" s="567">
        <f t="shared" si="117"/>
        <v>2</v>
      </c>
      <c r="CC320" s="567">
        <f t="shared" si="117"/>
        <v>2</v>
      </c>
      <c r="CD320" s="567">
        <f t="shared" si="117"/>
        <v>2</v>
      </c>
      <c r="CE320" s="567">
        <f t="shared" si="117"/>
        <v>0</v>
      </c>
      <c r="CF320" s="567">
        <f t="shared" si="117"/>
        <v>2</v>
      </c>
      <c r="CG320" s="567">
        <f t="shared" si="117"/>
        <v>2</v>
      </c>
      <c r="CH320" s="567">
        <f t="shared" si="117"/>
        <v>2</v>
      </c>
      <c r="CI320" s="567">
        <f t="shared" si="117"/>
        <v>1</v>
      </c>
      <c r="CJ320" s="567">
        <f t="shared" si="117"/>
        <v>0</v>
      </c>
      <c r="CK320" s="567">
        <f t="shared" si="117"/>
        <v>2</v>
      </c>
      <c r="CL320" s="567">
        <f t="shared" si="117"/>
        <v>0</v>
      </c>
      <c r="CM320" s="567">
        <f t="shared" si="117"/>
        <v>0</v>
      </c>
      <c r="CN320" s="567">
        <f t="shared" si="117"/>
        <v>0</v>
      </c>
      <c r="CO320" s="567">
        <f t="shared" si="117"/>
        <v>0</v>
      </c>
      <c r="CP320" s="567">
        <f t="shared" si="117"/>
        <v>0</v>
      </c>
      <c r="CQ320" s="567">
        <f t="shared" si="117"/>
        <v>0</v>
      </c>
      <c r="CR320" s="567">
        <f t="shared" si="117"/>
        <v>0</v>
      </c>
      <c r="CS320" s="567">
        <f t="shared" si="117"/>
        <v>0</v>
      </c>
      <c r="CT320" s="567">
        <f t="shared" si="117"/>
        <v>0</v>
      </c>
      <c r="CU320" s="567">
        <f t="shared" si="117"/>
        <v>0</v>
      </c>
      <c r="CV320" s="567">
        <f t="shared" si="117"/>
        <v>0</v>
      </c>
      <c r="CW320" s="567">
        <f t="shared" si="117"/>
        <v>0</v>
      </c>
      <c r="CX320" s="567">
        <f t="shared" si="117"/>
        <v>0</v>
      </c>
      <c r="CY320" s="567">
        <f t="shared" si="117"/>
        <v>0</v>
      </c>
      <c r="CZ320" s="567">
        <f t="shared" si="117"/>
        <v>0</v>
      </c>
    </row>
    <row r="321" spans="1:104" s="180" customFormat="1" x14ac:dyDescent="0.3">
      <c r="A321" s="566">
        <v>991</v>
      </c>
      <c r="C321" s="180">
        <v>235</v>
      </c>
      <c r="D321" s="567">
        <f t="shared" ref="D321:AI321" si="118">D235</f>
        <v>23</v>
      </c>
      <c r="E321" s="567">
        <f t="shared" si="118"/>
        <v>20</v>
      </c>
      <c r="F321" s="567">
        <f t="shared" si="118"/>
        <v>22</v>
      </c>
      <c r="G321" s="567">
        <f t="shared" si="118"/>
        <v>20</v>
      </c>
      <c r="H321" s="567">
        <f t="shared" si="118"/>
        <v>0</v>
      </c>
      <c r="I321" s="567">
        <f t="shared" si="118"/>
        <v>23</v>
      </c>
      <c r="J321" s="567">
        <f t="shared" si="118"/>
        <v>23</v>
      </c>
      <c r="K321" s="567">
        <f t="shared" si="118"/>
        <v>22</v>
      </c>
      <c r="L321" s="567">
        <f t="shared" si="118"/>
        <v>20</v>
      </c>
      <c r="M321" s="567">
        <f t="shared" si="118"/>
        <v>23</v>
      </c>
      <c r="N321" s="567">
        <f t="shared" si="118"/>
        <v>0</v>
      </c>
      <c r="O321" s="567">
        <f t="shared" si="118"/>
        <v>23</v>
      </c>
      <c r="P321" s="567">
        <f t="shared" si="118"/>
        <v>23</v>
      </c>
      <c r="Q321" s="567">
        <f t="shared" si="118"/>
        <v>23</v>
      </c>
      <c r="R321" s="567">
        <f t="shared" si="118"/>
        <v>22</v>
      </c>
      <c r="S321" s="567">
        <f t="shared" si="118"/>
        <v>20</v>
      </c>
      <c r="T321" s="567">
        <f t="shared" si="118"/>
        <v>23</v>
      </c>
      <c r="U321" s="567">
        <f t="shared" si="118"/>
        <v>23</v>
      </c>
      <c r="V321" s="567">
        <f t="shared" si="118"/>
        <v>23</v>
      </c>
      <c r="W321" s="567">
        <f t="shared" si="118"/>
        <v>23</v>
      </c>
      <c r="X321" s="567">
        <f t="shared" si="118"/>
        <v>23</v>
      </c>
      <c r="Y321" s="567">
        <f t="shared" si="118"/>
        <v>23</v>
      </c>
      <c r="Z321" s="567">
        <f t="shared" si="118"/>
        <v>23</v>
      </c>
      <c r="AA321" s="567">
        <f t="shared" si="118"/>
        <v>22</v>
      </c>
      <c r="AB321" s="567">
        <f t="shared" si="118"/>
        <v>20</v>
      </c>
      <c r="AC321" s="567">
        <f t="shared" si="118"/>
        <v>0</v>
      </c>
      <c r="AD321" s="567">
        <f t="shared" si="118"/>
        <v>20</v>
      </c>
      <c r="AE321" s="567">
        <f t="shared" si="118"/>
        <v>23</v>
      </c>
      <c r="AF321" s="567">
        <f t="shared" si="118"/>
        <v>23</v>
      </c>
      <c r="AG321" s="567">
        <f t="shared" si="118"/>
        <v>23</v>
      </c>
      <c r="AH321" s="567">
        <f t="shared" si="118"/>
        <v>23</v>
      </c>
      <c r="AI321" s="567">
        <f t="shared" si="118"/>
        <v>23</v>
      </c>
      <c r="AJ321" s="567">
        <f t="shared" ref="AJ321:BO321" si="119">AJ235</f>
        <v>23</v>
      </c>
      <c r="AK321" s="567">
        <f t="shared" si="119"/>
        <v>23</v>
      </c>
      <c r="AL321" s="567">
        <f t="shared" si="119"/>
        <v>23</v>
      </c>
      <c r="AM321" s="567">
        <f t="shared" si="119"/>
        <v>0</v>
      </c>
      <c r="AN321" s="567">
        <f t="shared" si="119"/>
        <v>23</v>
      </c>
      <c r="AO321" s="567">
        <f t="shared" si="119"/>
        <v>0</v>
      </c>
      <c r="AP321" s="567">
        <f t="shared" si="119"/>
        <v>0</v>
      </c>
      <c r="AQ321" s="567">
        <f t="shared" si="119"/>
        <v>23</v>
      </c>
      <c r="AR321" s="567">
        <f t="shared" si="119"/>
        <v>23</v>
      </c>
      <c r="AS321" s="567">
        <f t="shared" si="119"/>
        <v>20</v>
      </c>
      <c r="AT321" s="567">
        <f t="shared" si="119"/>
        <v>20</v>
      </c>
      <c r="AU321" s="567">
        <f t="shared" si="119"/>
        <v>20</v>
      </c>
      <c r="AV321" s="567">
        <f t="shared" si="119"/>
        <v>23</v>
      </c>
      <c r="AW321" s="567">
        <f t="shared" si="119"/>
        <v>20</v>
      </c>
      <c r="AX321" s="567">
        <f t="shared" si="119"/>
        <v>20</v>
      </c>
      <c r="AY321" s="567">
        <f t="shared" si="119"/>
        <v>23</v>
      </c>
      <c r="AZ321" s="567">
        <f t="shared" si="119"/>
        <v>23</v>
      </c>
      <c r="BA321" s="567">
        <f t="shared" si="119"/>
        <v>23</v>
      </c>
      <c r="BB321" s="567">
        <f t="shared" si="119"/>
        <v>20</v>
      </c>
      <c r="BC321" s="567">
        <f t="shared" si="119"/>
        <v>20</v>
      </c>
      <c r="BD321" s="567">
        <f t="shared" si="119"/>
        <v>22</v>
      </c>
      <c r="BE321" s="567">
        <f t="shared" si="119"/>
        <v>20</v>
      </c>
      <c r="BF321" s="567">
        <f t="shared" si="119"/>
        <v>23</v>
      </c>
      <c r="BG321" s="567">
        <f t="shared" si="119"/>
        <v>23</v>
      </c>
      <c r="BH321" s="567">
        <f t="shared" si="119"/>
        <v>23</v>
      </c>
      <c r="BI321" s="567">
        <f t="shared" si="119"/>
        <v>23</v>
      </c>
      <c r="BJ321" s="567">
        <f t="shared" si="119"/>
        <v>23</v>
      </c>
      <c r="BK321" s="567">
        <f t="shared" si="119"/>
        <v>22</v>
      </c>
      <c r="BL321" s="567">
        <f t="shared" si="119"/>
        <v>23</v>
      </c>
      <c r="BM321" s="567">
        <f t="shared" si="119"/>
        <v>23</v>
      </c>
      <c r="BN321" s="567">
        <f t="shared" si="119"/>
        <v>0</v>
      </c>
      <c r="BO321" s="567">
        <f t="shared" si="119"/>
        <v>20</v>
      </c>
      <c r="BP321" s="567">
        <f t="shared" ref="BP321:CZ321" si="120">BP235</f>
        <v>23</v>
      </c>
      <c r="BQ321" s="567">
        <f t="shared" si="120"/>
        <v>23</v>
      </c>
      <c r="BR321" s="567">
        <f t="shared" si="120"/>
        <v>0</v>
      </c>
      <c r="BS321" s="567">
        <f t="shared" si="120"/>
        <v>20</v>
      </c>
      <c r="BT321" s="567">
        <f t="shared" si="120"/>
        <v>0</v>
      </c>
      <c r="BU321" s="567">
        <f t="shared" si="120"/>
        <v>23</v>
      </c>
      <c r="BV321" s="567">
        <f t="shared" si="120"/>
        <v>23</v>
      </c>
      <c r="BW321" s="567">
        <f t="shared" si="120"/>
        <v>22</v>
      </c>
      <c r="BX321" s="567">
        <f t="shared" si="120"/>
        <v>23</v>
      </c>
      <c r="BY321" s="567">
        <f t="shared" si="120"/>
        <v>0</v>
      </c>
      <c r="BZ321" s="567">
        <f t="shared" si="120"/>
        <v>23</v>
      </c>
      <c r="CA321" s="567">
        <f t="shared" si="120"/>
        <v>20</v>
      </c>
      <c r="CB321" s="567">
        <f t="shared" si="120"/>
        <v>23</v>
      </c>
      <c r="CC321" s="567">
        <f t="shared" si="120"/>
        <v>22</v>
      </c>
      <c r="CD321" s="567">
        <f t="shared" si="120"/>
        <v>23</v>
      </c>
      <c r="CE321" s="567">
        <f t="shared" si="120"/>
        <v>0</v>
      </c>
      <c r="CF321" s="567">
        <f t="shared" si="120"/>
        <v>20</v>
      </c>
      <c r="CG321" s="567">
        <f t="shared" si="120"/>
        <v>23</v>
      </c>
      <c r="CH321" s="567">
        <f t="shared" si="120"/>
        <v>23</v>
      </c>
      <c r="CI321" s="567">
        <f t="shared" si="120"/>
        <v>23</v>
      </c>
      <c r="CJ321" s="567">
        <f t="shared" si="120"/>
        <v>0</v>
      </c>
      <c r="CK321" s="567">
        <f t="shared" si="120"/>
        <v>23</v>
      </c>
      <c r="CL321" s="567">
        <f t="shared" si="120"/>
        <v>0</v>
      </c>
      <c r="CM321" s="567">
        <f t="shared" si="120"/>
        <v>0</v>
      </c>
      <c r="CN321" s="567">
        <f t="shared" si="120"/>
        <v>0</v>
      </c>
      <c r="CO321" s="567">
        <f t="shared" si="120"/>
        <v>0</v>
      </c>
      <c r="CP321" s="567">
        <f t="shared" si="120"/>
        <v>0</v>
      </c>
      <c r="CQ321" s="567">
        <f t="shared" si="120"/>
        <v>0</v>
      </c>
      <c r="CR321" s="567">
        <f t="shared" si="120"/>
        <v>0</v>
      </c>
      <c r="CS321" s="567">
        <f t="shared" si="120"/>
        <v>0</v>
      </c>
      <c r="CT321" s="567">
        <f t="shared" si="120"/>
        <v>0</v>
      </c>
      <c r="CU321" s="567">
        <f t="shared" si="120"/>
        <v>0</v>
      </c>
      <c r="CV321" s="567">
        <f t="shared" si="120"/>
        <v>0</v>
      </c>
      <c r="CW321" s="567">
        <f t="shared" si="120"/>
        <v>0</v>
      </c>
      <c r="CX321" s="567">
        <f t="shared" si="120"/>
        <v>0</v>
      </c>
      <c r="CY321" s="567">
        <f t="shared" si="120"/>
        <v>0</v>
      </c>
      <c r="CZ321" s="567">
        <f t="shared" si="120"/>
        <v>0</v>
      </c>
    </row>
    <row r="322" spans="1:104" s="180" customFormat="1" x14ac:dyDescent="0.3">
      <c r="A322" s="555">
        <v>1055</v>
      </c>
      <c r="B322" s="556" t="s">
        <v>1769</v>
      </c>
      <c r="C322" s="180">
        <v>245</v>
      </c>
      <c r="D322" s="567">
        <f t="shared" ref="D322:AI322" si="121">D245</f>
        <v>2</v>
      </c>
      <c r="E322" s="567">
        <f t="shared" si="121"/>
        <v>2</v>
      </c>
      <c r="F322" s="567">
        <f t="shared" si="121"/>
        <v>2</v>
      </c>
      <c r="G322" s="567">
        <f t="shared" si="121"/>
        <v>2</v>
      </c>
      <c r="H322" s="567">
        <f t="shared" si="121"/>
        <v>0</v>
      </c>
      <c r="I322" s="567">
        <f t="shared" si="121"/>
        <v>2</v>
      </c>
      <c r="J322" s="567">
        <f t="shared" si="121"/>
        <v>2</v>
      </c>
      <c r="K322" s="567">
        <f t="shared" si="121"/>
        <v>2</v>
      </c>
      <c r="L322" s="567">
        <f t="shared" si="121"/>
        <v>2</v>
      </c>
      <c r="M322" s="567">
        <f t="shared" si="121"/>
        <v>2</v>
      </c>
      <c r="N322" s="567">
        <f t="shared" si="121"/>
        <v>0</v>
      </c>
      <c r="O322" s="567">
        <f t="shared" si="121"/>
        <v>2</v>
      </c>
      <c r="P322" s="567">
        <f t="shared" si="121"/>
        <v>2</v>
      </c>
      <c r="Q322" s="567">
        <f t="shared" si="121"/>
        <v>2</v>
      </c>
      <c r="R322" s="567">
        <f t="shared" si="121"/>
        <v>2</v>
      </c>
      <c r="S322" s="567">
        <f t="shared" si="121"/>
        <v>2</v>
      </c>
      <c r="T322" s="567">
        <f t="shared" si="121"/>
        <v>2</v>
      </c>
      <c r="U322" s="567">
        <f t="shared" si="121"/>
        <v>2</v>
      </c>
      <c r="V322" s="567">
        <f t="shared" si="121"/>
        <v>2</v>
      </c>
      <c r="W322" s="567">
        <f t="shared" si="121"/>
        <v>2</v>
      </c>
      <c r="X322" s="567">
        <f t="shared" si="121"/>
        <v>2</v>
      </c>
      <c r="Y322" s="567">
        <f t="shared" si="121"/>
        <v>2</v>
      </c>
      <c r="Z322" s="567">
        <f t="shared" si="121"/>
        <v>2</v>
      </c>
      <c r="AA322" s="567">
        <f t="shared" si="121"/>
        <v>2</v>
      </c>
      <c r="AB322" s="567">
        <f t="shared" si="121"/>
        <v>2</v>
      </c>
      <c r="AC322" s="567">
        <f t="shared" si="121"/>
        <v>0</v>
      </c>
      <c r="AD322" s="567">
        <f t="shared" si="121"/>
        <v>2</v>
      </c>
      <c r="AE322" s="567">
        <f t="shared" si="121"/>
        <v>2</v>
      </c>
      <c r="AF322" s="567">
        <f t="shared" si="121"/>
        <v>1</v>
      </c>
      <c r="AG322" s="567">
        <f t="shared" si="121"/>
        <v>2</v>
      </c>
      <c r="AH322" s="567">
        <f t="shared" si="121"/>
        <v>2</v>
      </c>
      <c r="AI322" s="567">
        <f t="shared" si="121"/>
        <v>2</v>
      </c>
      <c r="AJ322" s="567">
        <f t="shared" ref="AJ322:BO322" si="122">AJ245</f>
        <v>2</v>
      </c>
      <c r="AK322" s="567">
        <f t="shared" si="122"/>
        <v>2</v>
      </c>
      <c r="AL322" s="567">
        <f t="shared" si="122"/>
        <v>1</v>
      </c>
      <c r="AM322" s="567">
        <f t="shared" si="122"/>
        <v>0</v>
      </c>
      <c r="AN322" s="567">
        <f t="shared" si="122"/>
        <v>2</v>
      </c>
      <c r="AO322" s="567">
        <f t="shared" si="122"/>
        <v>0</v>
      </c>
      <c r="AP322" s="567">
        <f t="shared" si="122"/>
        <v>2</v>
      </c>
      <c r="AQ322" s="567">
        <f t="shared" si="122"/>
        <v>2</v>
      </c>
      <c r="AR322" s="567">
        <f t="shared" si="122"/>
        <v>1</v>
      </c>
      <c r="AS322" s="567">
        <f t="shared" si="122"/>
        <v>2</v>
      </c>
      <c r="AT322" s="567">
        <f t="shared" si="122"/>
        <v>2</v>
      </c>
      <c r="AU322" s="567">
        <f t="shared" si="122"/>
        <v>2</v>
      </c>
      <c r="AV322" s="567">
        <f t="shared" si="122"/>
        <v>2</v>
      </c>
      <c r="AW322" s="567">
        <f t="shared" si="122"/>
        <v>2</v>
      </c>
      <c r="AX322" s="567">
        <f t="shared" si="122"/>
        <v>2</v>
      </c>
      <c r="AY322" s="567">
        <f t="shared" si="122"/>
        <v>2</v>
      </c>
      <c r="AZ322" s="567">
        <f t="shared" si="122"/>
        <v>2</v>
      </c>
      <c r="BA322" s="567">
        <f t="shared" si="122"/>
        <v>2</v>
      </c>
      <c r="BB322" s="567">
        <f t="shared" si="122"/>
        <v>2</v>
      </c>
      <c r="BC322" s="567">
        <f t="shared" si="122"/>
        <v>2</v>
      </c>
      <c r="BD322" s="567">
        <f t="shared" si="122"/>
        <v>2</v>
      </c>
      <c r="BE322" s="567">
        <f t="shared" si="122"/>
        <v>2</v>
      </c>
      <c r="BF322" s="567">
        <f t="shared" si="122"/>
        <v>2</v>
      </c>
      <c r="BG322" s="567">
        <f t="shared" si="122"/>
        <v>2</v>
      </c>
      <c r="BH322" s="567">
        <f t="shared" si="122"/>
        <v>2</v>
      </c>
      <c r="BI322" s="567">
        <f t="shared" si="122"/>
        <v>1</v>
      </c>
      <c r="BJ322" s="567">
        <f t="shared" si="122"/>
        <v>2</v>
      </c>
      <c r="BK322" s="567">
        <f t="shared" si="122"/>
        <v>1</v>
      </c>
      <c r="BL322" s="567">
        <f t="shared" si="122"/>
        <v>2</v>
      </c>
      <c r="BM322" s="567">
        <f t="shared" si="122"/>
        <v>2</v>
      </c>
      <c r="BN322" s="567">
        <f t="shared" si="122"/>
        <v>2</v>
      </c>
      <c r="BO322" s="567">
        <f t="shared" si="122"/>
        <v>2</v>
      </c>
      <c r="BP322" s="567">
        <f t="shared" ref="BP322:CZ322" si="123">BP245</f>
        <v>2</v>
      </c>
      <c r="BQ322" s="567">
        <f t="shared" si="123"/>
        <v>2</v>
      </c>
      <c r="BR322" s="567">
        <f t="shared" si="123"/>
        <v>0</v>
      </c>
      <c r="BS322" s="567">
        <f t="shared" si="123"/>
        <v>2</v>
      </c>
      <c r="BT322" s="567">
        <f t="shared" si="123"/>
        <v>0</v>
      </c>
      <c r="BU322" s="567">
        <f t="shared" si="123"/>
        <v>1</v>
      </c>
      <c r="BV322" s="567">
        <f t="shared" si="123"/>
        <v>2</v>
      </c>
      <c r="BW322" s="567">
        <f t="shared" si="123"/>
        <v>2</v>
      </c>
      <c r="BX322" s="567">
        <f t="shared" si="123"/>
        <v>2</v>
      </c>
      <c r="BY322" s="567">
        <f t="shared" si="123"/>
        <v>0</v>
      </c>
      <c r="BZ322" s="567">
        <f t="shared" si="123"/>
        <v>2</v>
      </c>
      <c r="CA322" s="567">
        <f t="shared" si="123"/>
        <v>2</v>
      </c>
      <c r="CB322" s="567">
        <f t="shared" si="123"/>
        <v>2</v>
      </c>
      <c r="CC322" s="567">
        <f t="shared" si="123"/>
        <v>2</v>
      </c>
      <c r="CD322" s="567">
        <f t="shared" si="123"/>
        <v>1</v>
      </c>
      <c r="CE322" s="567">
        <f t="shared" si="123"/>
        <v>0</v>
      </c>
      <c r="CF322" s="567">
        <f t="shared" si="123"/>
        <v>2</v>
      </c>
      <c r="CG322" s="567">
        <f t="shared" si="123"/>
        <v>2</v>
      </c>
      <c r="CH322" s="567">
        <f t="shared" si="123"/>
        <v>2</v>
      </c>
      <c r="CI322" s="567">
        <f t="shared" si="123"/>
        <v>2</v>
      </c>
      <c r="CJ322" s="567">
        <f t="shared" si="123"/>
        <v>0</v>
      </c>
      <c r="CK322" s="567">
        <f t="shared" si="123"/>
        <v>1</v>
      </c>
      <c r="CL322" s="567">
        <f t="shared" si="123"/>
        <v>0</v>
      </c>
      <c r="CM322" s="567">
        <f t="shared" si="123"/>
        <v>0</v>
      </c>
      <c r="CN322" s="567">
        <f t="shared" si="123"/>
        <v>0</v>
      </c>
      <c r="CO322" s="567">
        <f t="shared" si="123"/>
        <v>0</v>
      </c>
      <c r="CP322" s="567">
        <f t="shared" si="123"/>
        <v>0</v>
      </c>
      <c r="CQ322" s="567">
        <f t="shared" si="123"/>
        <v>0</v>
      </c>
      <c r="CR322" s="567">
        <f t="shared" si="123"/>
        <v>0</v>
      </c>
      <c r="CS322" s="567">
        <f t="shared" si="123"/>
        <v>0</v>
      </c>
      <c r="CT322" s="567">
        <f t="shared" si="123"/>
        <v>0</v>
      </c>
      <c r="CU322" s="567">
        <f t="shared" si="123"/>
        <v>0</v>
      </c>
      <c r="CV322" s="567">
        <f t="shared" si="123"/>
        <v>0</v>
      </c>
      <c r="CW322" s="567">
        <f t="shared" si="123"/>
        <v>0</v>
      </c>
      <c r="CX322" s="567">
        <f t="shared" si="123"/>
        <v>0</v>
      </c>
      <c r="CY322" s="567">
        <f t="shared" si="123"/>
        <v>0</v>
      </c>
      <c r="CZ322" s="567">
        <f t="shared" si="123"/>
        <v>0</v>
      </c>
    </row>
    <row r="323" spans="1:104" s="180" customFormat="1" x14ac:dyDescent="0.3">
      <c r="A323" s="555">
        <v>1056</v>
      </c>
      <c r="B323" s="556" t="s">
        <v>1770</v>
      </c>
      <c r="C323" s="180">
        <v>246</v>
      </c>
      <c r="D323" s="567">
        <f t="shared" ref="D323:AI323" si="124">D246</f>
        <v>2</v>
      </c>
      <c r="E323" s="567">
        <f t="shared" si="124"/>
        <v>2</v>
      </c>
      <c r="F323" s="567">
        <f t="shared" si="124"/>
        <v>2</v>
      </c>
      <c r="G323" s="567">
        <f t="shared" si="124"/>
        <v>2</v>
      </c>
      <c r="H323" s="567">
        <f t="shared" si="124"/>
        <v>0</v>
      </c>
      <c r="I323" s="567">
        <f t="shared" si="124"/>
        <v>2</v>
      </c>
      <c r="J323" s="567">
        <f t="shared" si="124"/>
        <v>2</v>
      </c>
      <c r="K323" s="567">
        <f t="shared" si="124"/>
        <v>2</v>
      </c>
      <c r="L323" s="567">
        <f t="shared" si="124"/>
        <v>2</v>
      </c>
      <c r="M323" s="567">
        <f t="shared" si="124"/>
        <v>2</v>
      </c>
      <c r="N323" s="567">
        <f t="shared" si="124"/>
        <v>0</v>
      </c>
      <c r="O323" s="567">
        <f t="shared" si="124"/>
        <v>2</v>
      </c>
      <c r="P323" s="567">
        <f t="shared" si="124"/>
        <v>2</v>
      </c>
      <c r="Q323" s="567">
        <f t="shared" si="124"/>
        <v>2</v>
      </c>
      <c r="R323" s="567">
        <f t="shared" si="124"/>
        <v>2</v>
      </c>
      <c r="S323" s="567">
        <f t="shared" si="124"/>
        <v>2</v>
      </c>
      <c r="T323" s="567">
        <f t="shared" si="124"/>
        <v>2</v>
      </c>
      <c r="U323" s="567">
        <f t="shared" si="124"/>
        <v>2</v>
      </c>
      <c r="V323" s="567">
        <f t="shared" si="124"/>
        <v>2</v>
      </c>
      <c r="W323" s="567">
        <f t="shared" si="124"/>
        <v>2</v>
      </c>
      <c r="X323" s="567">
        <f t="shared" si="124"/>
        <v>2</v>
      </c>
      <c r="Y323" s="567">
        <f t="shared" si="124"/>
        <v>2</v>
      </c>
      <c r="Z323" s="567">
        <f t="shared" si="124"/>
        <v>2</v>
      </c>
      <c r="AA323" s="567">
        <f t="shared" si="124"/>
        <v>2</v>
      </c>
      <c r="AB323" s="567">
        <f t="shared" si="124"/>
        <v>2</v>
      </c>
      <c r="AC323" s="567">
        <f t="shared" si="124"/>
        <v>0</v>
      </c>
      <c r="AD323" s="567">
        <f t="shared" si="124"/>
        <v>2</v>
      </c>
      <c r="AE323" s="567">
        <f t="shared" si="124"/>
        <v>2</v>
      </c>
      <c r="AF323" s="567">
        <f t="shared" si="124"/>
        <v>2</v>
      </c>
      <c r="AG323" s="567">
        <f t="shared" si="124"/>
        <v>2</v>
      </c>
      <c r="AH323" s="567">
        <f t="shared" si="124"/>
        <v>2</v>
      </c>
      <c r="AI323" s="567">
        <f t="shared" si="124"/>
        <v>2</v>
      </c>
      <c r="AJ323" s="567">
        <f t="shared" ref="AJ323:BO323" si="125">AJ246</f>
        <v>2</v>
      </c>
      <c r="AK323" s="567">
        <f t="shared" si="125"/>
        <v>2</v>
      </c>
      <c r="AL323" s="567">
        <f t="shared" si="125"/>
        <v>1</v>
      </c>
      <c r="AM323" s="567">
        <f t="shared" si="125"/>
        <v>0</v>
      </c>
      <c r="AN323" s="567">
        <f t="shared" si="125"/>
        <v>2</v>
      </c>
      <c r="AO323" s="567">
        <f t="shared" si="125"/>
        <v>0</v>
      </c>
      <c r="AP323" s="567">
        <f t="shared" si="125"/>
        <v>2</v>
      </c>
      <c r="AQ323" s="567">
        <f t="shared" si="125"/>
        <v>2</v>
      </c>
      <c r="AR323" s="567">
        <f t="shared" si="125"/>
        <v>1</v>
      </c>
      <c r="AS323" s="567">
        <f t="shared" si="125"/>
        <v>2</v>
      </c>
      <c r="AT323" s="567">
        <f t="shared" si="125"/>
        <v>2</v>
      </c>
      <c r="AU323" s="567">
        <f t="shared" si="125"/>
        <v>2</v>
      </c>
      <c r="AV323" s="567">
        <f t="shared" si="125"/>
        <v>2</v>
      </c>
      <c r="AW323" s="567">
        <f t="shared" si="125"/>
        <v>2</v>
      </c>
      <c r="AX323" s="567">
        <f t="shared" si="125"/>
        <v>1</v>
      </c>
      <c r="AY323" s="567">
        <f t="shared" si="125"/>
        <v>2</v>
      </c>
      <c r="AZ323" s="567">
        <f t="shared" si="125"/>
        <v>2</v>
      </c>
      <c r="BA323" s="567">
        <f t="shared" si="125"/>
        <v>2</v>
      </c>
      <c r="BB323" s="567">
        <f t="shared" si="125"/>
        <v>2</v>
      </c>
      <c r="BC323" s="567">
        <f t="shared" si="125"/>
        <v>2</v>
      </c>
      <c r="BD323" s="567">
        <f t="shared" si="125"/>
        <v>2</v>
      </c>
      <c r="BE323" s="567">
        <f t="shared" si="125"/>
        <v>2</v>
      </c>
      <c r="BF323" s="567">
        <f t="shared" si="125"/>
        <v>2</v>
      </c>
      <c r="BG323" s="567">
        <f t="shared" si="125"/>
        <v>2</v>
      </c>
      <c r="BH323" s="567">
        <f t="shared" si="125"/>
        <v>2</v>
      </c>
      <c r="BI323" s="567">
        <f t="shared" si="125"/>
        <v>2</v>
      </c>
      <c r="BJ323" s="567">
        <f t="shared" si="125"/>
        <v>2</v>
      </c>
      <c r="BK323" s="567">
        <f t="shared" si="125"/>
        <v>2</v>
      </c>
      <c r="BL323" s="567">
        <f t="shared" si="125"/>
        <v>2</v>
      </c>
      <c r="BM323" s="567">
        <f t="shared" si="125"/>
        <v>2</v>
      </c>
      <c r="BN323" s="567">
        <f t="shared" si="125"/>
        <v>2</v>
      </c>
      <c r="BO323" s="567">
        <f t="shared" si="125"/>
        <v>2</v>
      </c>
      <c r="BP323" s="567">
        <f t="shared" ref="BP323:CZ323" si="126">BP246</f>
        <v>2</v>
      </c>
      <c r="BQ323" s="567">
        <f t="shared" si="126"/>
        <v>1</v>
      </c>
      <c r="BR323" s="567">
        <f t="shared" si="126"/>
        <v>0</v>
      </c>
      <c r="BS323" s="567">
        <f t="shared" si="126"/>
        <v>2</v>
      </c>
      <c r="BT323" s="567">
        <f t="shared" si="126"/>
        <v>0</v>
      </c>
      <c r="BU323" s="567">
        <f t="shared" si="126"/>
        <v>1</v>
      </c>
      <c r="BV323" s="567">
        <f t="shared" si="126"/>
        <v>2</v>
      </c>
      <c r="BW323" s="567">
        <f t="shared" si="126"/>
        <v>2</v>
      </c>
      <c r="BX323" s="567">
        <f t="shared" si="126"/>
        <v>2</v>
      </c>
      <c r="BY323" s="567">
        <f t="shared" si="126"/>
        <v>0</v>
      </c>
      <c r="BZ323" s="567">
        <f t="shared" si="126"/>
        <v>2</v>
      </c>
      <c r="CA323" s="567">
        <f t="shared" si="126"/>
        <v>2</v>
      </c>
      <c r="CB323" s="567">
        <f t="shared" si="126"/>
        <v>2</v>
      </c>
      <c r="CC323" s="567">
        <f t="shared" si="126"/>
        <v>2</v>
      </c>
      <c r="CD323" s="567">
        <f t="shared" si="126"/>
        <v>1</v>
      </c>
      <c r="CE323" s="567">
        <f t="shared" si="126"/>
        <v>0</v>
      </c>
      <c r="CF323" s="567">
        <f t="shared" si="126"/>
        <v>2</v>
      </c>
      <c r="CG323" s="567">
        <f t="shared" si="126"/>
        <v>2</v>
      </c>
      <c r="CH323" s="567">
        <f t="shared" si="126"/>
        <v>2</v>
      </c>
      <c r="CI323" s="567">
        <f t="shared" si="126"/>
        <v>2</v>
      </c>
      <c r="CJ323" s="567">
        <f t="shared" si="126"/>
        <v>0</v>
      </c>
      <c r="CK323" s="567">
        <f t="shared" si="126"/>
        <v>1</v>
      </c>
      <c r="CL323" s="567">
        <f t="shared" si="126"/>
        <v>0</v>
      </c>
      <c r="CM323" s="567">
        <f t="shared" si="126"/>
        <v>0</v>
      </c>
      <c r="CN323" s="567">
        <f t="shared" si="126"/>
        <v>0</v>
      </c>
      <c r="CO323" s="567">
        <f t="shared" si="126"/>
        <v>0</v>
      </c>
      <c r="CP323" s="567">
        <f t="shared" si="126"/>
        <v>0</v>
      </c>
      <c r="CQ323" s="567">
        <f t="shared" si="126"/>
        <v>0</v>
      </c>
      <c r="CR323" s="567">
        <f t="shared" si="126"/>
        <v>0</v>
      </c>
      <c r="CS323" s="567">
        <f t="shared" si="126"/>
        <v>0</v>
      </c>
      <c r="CT323" s="567">
        <f t="shared" si="126"/>
        <v>0</v>
      </c>
      <c r="CU323" s="567">
        <f t="shared" si="126"/>
        <v>0</v>
      </c>
      <c r="CV323" s="567">
        <f t="shared" si="126"/>
        <v>0</v>
      </c>
      <c r="CW323" s="567">
        <f t="shared" si="126"/>
        <v>0</v>
      </c>
      <c r="CX323" s="567">
        <f t="shared" si="126"/>
        <v>0</v>
      </c>
      <c r="CY323" s="567">
        <f t="shared" si="126"/>
        <v>0</v>
      </c>
      <c r="CZ323" s="567">
        <f t="shared" si="126"/>
        <v>0</v>
      </c>
    </row>
    <row r="324" spans="1:104" s="180" customFormat="1" x14ac:dyDescent="0.3">
      <c r="A324" s="555">
        <v>1057</v>
      </c>
      <c r="B324" s="556" t="s">
        <v>1536</v>
      </c>
      <c r="C324" s="180">
        <v>247</v>
      </c>
      <c r="D324" s="567">
        <f t="shared" ref="D324:AI324" si="127">D247</f>
        <v>2</v>
      </c>
      <c r="E324" s="567">
        <f t="shared" si="127"/>
        <v>2</v>
      </c>
      <c r="F324" s="567">
        <f t="shared" si="127"/>
        <v>1</v>
      </c>
      <c r="G324" s="567">
        <f t="shared" si="127"/>
        <v>2</v>
      </c>
      <c r="H324" s="567">
        <f t="shared" si="127"/>
        <v>0</v>
      </c>
      <c r="I324" s="567">
        <f t="shared" si="127"/>
        <v>1</v>
      </c>
      <c r="J324" s="567">
        <f t="shared" si="127"/>
        <v>2</v>
      </c>
      <c r="K324" s="567">
        <f t="shared" si="127"/>
        <v>2</v>
      </c>
      <c r="L324" s="567">
        <f t="shared" si="127"/>
        <v>2</v>
      </c>
      <c r="M324" s="567">
        <f t="shared" si="127"/>
        <v>2</v>
      </c>
      <c r="N324" s="567">
        <f t="shared" si="127"/>
        <v>0</v>
      </c>
      <c r="O324" s="567">
        <f t="shared" si="127"/>
        <v>2</v>
      </c>
      <c r="P324" s="567">
        <f t="shared" si="127"/>
        <v>2</v>
      </c>
      <c r="Q324" s="567">
        <f t="shared" si="127"/>
        <v>2</v>
      </c>
      <c r="R324" s="567">
        <f t="shared" si="127"/>
        <v>2</v>
      </c>
      <c r="S324" s="567">
        <f t="shared" si="127"/>
        <v>2</v>
      </c>
      <c r="T324" s="567">
        <f t="shared" si="127"/>
        <v>2</v>
      </c>
      <c r="U324" s="567">
        <f t="shared" si="127"/>
        <v>2</v>
      </c>
      <c r="V324" s="567">
        <f t="shared" si="127"/>
        <v>1</v>
      </c>
      <c r="W324" s="567">
        <f t="shared" si="127"/>
        <v>2</v>
      </c>
      <c r="X324" s="567">
        <f t="shared" si="127"/>
        <v>2</v>
      </c>
      <c r="Y324" s="567">
        <f t="shared" si="127"/>
        <v>2</v>
      </c>
      <c r="Z324" s="567">
        <f t="shared" si="127"/>
        <v>2</v>
      </c>
      <c r="AA324" s="567">
        <f t="shared" si="127"/>
        <v>1</v>
      </c>
      <c r="AB324" s="567">
        <f t="shared" si="127"/>
        <v>2</v>
      </c>
      <c r="AC324" s="567">
        <f t="shared" si="127"/>
        <v>0</v>
      </c>
      <c r="AD324" s="567">
        <f t="shared" si="127"/>
        <v>2</v>
      </c>
      <c r="AE324" s="567">
        <f t="shared" si="127"/>
        <v>2</v>
      </c>
      <c r="AF324" s="567">
        <f t="shared" si="127"/>
        <v>2</v>
      </c>
      <c r="AG324" s="567">
        <f t="shared" si="127"/>
        <v>2</v>
      </c>
      <c r="AH324" s="567">
        <f t="shared" si="127"/>
        <v>2</v>
      </c>
      <c r="AI324" s="567">
        <f t="shared" si="127"/>
        <v>2</v>
      </c>
      <c r="AJ324" s="567">
        <f t="shared" ref="AJ324:BO324" si="128">AJ247</f>
        <v>2</v>
      </c>
      <c r="AK324" s="567">
        <f t="shared" si="128"/>
        <v>2</v>
      </c>
      <c r="AL324" s="567">
        <f t="shared" si="128"/>
        <v>2</v>
      </c>
      <c r="AM324" s="567">
        <f t="shared" si="128"/>
        <v>0</v>
      </c>
      <c r="AN324" s="567">
        <f t="shared" si="128"/>
        <v>2</v>
      </c>
      <c r="AO324" s="567">
        <f t="shared" si="128"/>
        <v>0</v>
      </c>
      <c r="AP324" s="567">
        <f t="shared" si="128"/>
        <v>2</v>
      </c>
      <c r="AQ324" s="567">
        <f t="shared" si="128"/>
        <v>2</v>
      </c>
      <c r="AR324" s="567">
        <f t="shared" si="128"/>
        <v>1</v>
      </c>
      <c r="AS324" s="567">
        <f t="shared" si="128"/>
        <v>2</v>
      </c>
      <c r="AT324" s="567">
        <f t="shared" si="128"/>
        <v>1</v>
      </c>
      <c r="AU324" s="567">
        <f t="shared" si="128"/>
        <v>2</v>
      </c>
      <c r="AV324" s="567">
        <f t="shared" si="128"/>
        <v>2</v>
      </c>
      <c r="AW324" s="567">
        <f t="shared" si="128"/>
        <v>2</v>
      </c>
      <c r="AX324" s="567">
        <f t="shared" si="128"/>
        <v>1</v>
      </c>
      <c r="AY324" s="567">
        <f t="shared" si="128"/>
        <v>2</v>
      </c>
      <c r="AZ324" s="567">
        <f t="shared" si="128"/>
        <v>2</v>
      </c>
      <c r="BA324" s="567">
        <f t="shared" si="128"/>
        <v>2</v>
      </c>
      <c r="BB324" s="567">
        <f t="shared" si="128"/>
        <v>2</v>
      </c>
      <c r="BC324" s="567">
        <f t="shared" si="128"/>
        <v>2</v>
      </c>
      <c r="BD324" s="567">
        <f t="shared" si="128"/>
        <v>2</v>
      </c>
      <c r="BE324" s="567">
        <f t="shared" si="128"/>
        <v>2</v>
      </c>
      <c r="BF324" s="567">
        <f t="shared" si="128"/>
        <v>2</v>
      </c>
      <c r="BG324" s="567">
        <f t="shared" si="128"/>
        <v>2</v>
      </c>
      <c r="BH324" s="567">
        <f t="shared" si="128"/>
        <v>1</v>
      </c>
      <c r="BI324" s="567">
        <f t="shared" si="128"/>
        <v>2</v>
      </c>
      <c r="BJ324" s="567">
        <f t="shared" si="128"/>
        <v>2</v>
      </c>
      <c r="BK324" s="567">
        <f t="shared" si="128"/>
        <v>1</v>
      </c>
      <c r="BL324" s="567">
        <f t="shared" si="128"/>
        <v>2</v>
      </c>
      <c r="BM324" s="567">
        <f t="shared" si="128"/>
        <v>1</v>
      </c>
      <c r="BN324" s="567">
        <f t="shared" si="128"/>
        <v>2</v>
      </c>
      <c r="BO324" s="567">
        <f t="shared" si="128"/>
        <v>1</v>
      </c>
      <c r="BP324" s="567">
        <f t="shared" ref="BP324:CZ324" si="129">BP247</f>
        <v>2</v>
      </c>
      <c r="BQ324" s="567">
        <f t="shared" si="129"/>
        <v>2</v>
      </c>
      <c r="BR324" s="567">
        <f t="shared" si="129"/>
        <v>0</v>
      </c>
      <c r="BS324" s="567">
        <f t="shared" si="129"/>
        <v>1</v>
      </c>
      <c r="BT324" s="567">
        <f t="shared" si="129"/>
        <v>0</v>
      </c>
      <c r="BU324" s="567">
        <f t="shared" si="129"/>
        <v>1</v>
      </c>
      <c r="BV324" s="567">
        <f t="shared" si="129"/>
        <v>2</v>
      </c>
      <c r="BW324" s="567">
        <f t="shared" si="129"/>
        <v>2</v>
      </c>
      <c r="BX324" s="567">
        <f t="shared" si="129"/>
        <v>2</v>
      </c>
      <c r="BY324" s="567">
        <f t="shared" si="129"/>
        <v>0</v>
      </c>
      <c r="BZ324" s="567">
        <f t="shared" si="129"/>
        <v>2</v>
      </c>
      <c r="CA324" s="567">
        <f t="shared" si="129"/>
        <v>2</v>
      </c>
      <c r="CB324" s="567">
        <f t="shared" si="129"/>
        <v>2</v>
      </c>
      <c r="CC324" s="567">
        <f t="shared" si="129"/>
        <v>2</v>
      </c>
      <c r="CD324" s="567">
        <f t="shared" si="129"/>
        <v>2</v>
      </c>
      <c r="CE324" s="567">
        <f t="shared" si="129"/>
        <v>0</v>
      </c>
      <c r="CF324" s="567">
        <f t="shared" si="129"/>
        <v>1</v>
      </c>
      <c r="CG324" s="567">
        <f t="shared" si="129"/>
        <v>2</v>
      </c>
      <c r="CH324" s="567">
        <f t="shared" si="129"/>
        <v>1</v>
      </c>
      <c r="CI324" s="567">
        <f t="shared" si="129"/>
        <v>2</v>
      </c>
      <c r="CJ324" s="567">
        <f t="shared" si="129"/>
        <v>0</v>
      </c>
      <c r="CK324" s="567">
        <f t="shared" si="129"/>
        <v>2</v>
      </c>
      <c r="CL324" s="567">
        <f t="shared" si="129"/>
        <v>0</v>
      </c>
      <c r="CM324" s="567">
        <f t="shared" si="129"/>
        <v>0</v>
      </c>
      <c r="CN324" s="567">
        <f t="shared" si="129"/>
        <v>0</v>
      </c>
      <c r="CO324" s="567">
        <f t="shared" si="129"/>
        <v>0</v>
      </c>
      <c r="CP324" s="567">
        <f t="shared" si="129"/>
        <v>0</v>
      </c>
      <c r="CQ324" s="567">
        <f t="shared" si="129"/>
        <v>0</v>
      </c>
      <c r="CR324" s="567">
        <f t="shared" si="129"/>
        <v>0</v>
      </c>
      <c r="CS324" s="567">
        <f t="shared" si="129"/>
        <v>0</v>
      </c>
      <c r="CT324" s="567">
        <f t="shared" si="129"/>
        <v>0</v>
      </c>
      <c r="CU324" s="567">
        <f t="shared" si="129"/>
        <v>0</v>
      </c>
      <c r="CV324" s="567">
        <f t="shared" si="129"/>
        <v>0</v>
      </c>
      <c r="CW324" s="567">
        <f t="shared" si="129"/>
        <v>0</v>
      </c>
      <c r="CX324" s="567">
        <f t="shared" si="129"/>
        <v>0</v>
      </c>
      <c r="CY324" s="567">
        <f t="shared" si="129"/>
        <v>0</v>
      </c>
      <c r="CZ324" s="567">
        <f t="shared" si="129"/>
        <v>0</v>
      </c>
    </row>
    <row r="325" spans="1:104" s="180" customFormat="1" x14ac:dyDescent="0.3">
      <c r="A325" s="555">
        <v>1058</v>
      </c>
      <c r="B325" s="556" t="s">
        <v>1537</v>
      </c>
      <c r="C325" s="180">
        <v>248</v>
      </c>
      <c r="D325" s="567">
        <f t="shared" ref="D325:AI325" si="130">D248</f>
        <v>2</v>
      </c>
      <c r="E325" s="567">
        <f t="shared" si="130"/>
        <v>2</v>
      </c>
      <c r="F325" s="567">
        <f t="shared" si="130"/>
        <v>2</v>
      </c>
      <c r="G325" s="567">
        <f t="shared" si="130"/>
        <v>2</v>
      </c>
      <c r="H325" s="567">
        <f t="shared" si="130"/>
        <v>0</v>
      </c>
      <c r="I325" s="567">
        <f t="shared" si="130"/>
        <v>2</v>
      </c>
      <c r="J325" s="567">
        <f t="shared" si="130"/>
        <v>2</v>
      </c>
      <c r="K325" s="567">
        <f t="shared" si="130"/>
        <v>2</v>
      </c>
      <c r="L325" s="567">
        <f t="shared" si="130"/>
        <v>2</v>
      </c>
      <c r="M325" s="567">
        <f t="shared" si="130"/>
        <v>2</v>
      </c>
      <c r="N325" s="567">
        <f t="shared" si="130"/>
        <v>0</v>
      </c>
      <c r="O325" s="567">
        <f t="shared" si="130"/>
        <v>2</v>
      </c>
      <c r="P325" s="567">
        <f t="shared" si="130"/>
        <v>2</v>
      </c>
      <c r="Q325" s="567">
        <f t="shared" si="130"/>
        <v>2</v>
      </c>
      <c r="R325" s="567">
        <f t="shared" si="130"/>
        <v>2</v>
      </c>
      <c r="S325" s="567">
        <f t="shared" si="130"/>
        <v>2</v>
      </c>
      <c r="T325" s="567">
        <f t="shared" si="130"/>
        <v>2</v>
      </c>
      <c r="U325" s="567">
        <f t="shared" si="130"/>
        <v>2</v>
      </c>
      <c r="V325" s="567">
        <f t="shared" si="130"/>
        <v>2</v>
      </c>
      <c r="W325" s="567">
        <f t="shared" si="130"/>
        <v>2</v>
      </c>
      <c r="X325" s="567">
        <f t="shared" si="130"/>
        <v>2</v>
      </c>
      <c r="Y325" s="567">
        <f t="shared" si="130"/>
        <v>2</v>
      </c>
      <c r="Z325" s="567">
        <f t="shared" si="130"/>
        <v>2</v>
      </c>
      <c r="AA325" s="567">
        <f t="shared" si="130"/>
        <v>1</v>
      </c>
      <c r="AB325" s="567">
        <f t="shared" si="130"/>
        <v>2</v>
      </c>
      <c r="AC325" s="567">
        <f t="shared" si="130"/>
        <v>0</v>
      </c>
      <c r="AD325" s="567">
        <f t="shared" si="130"/>
        <v>2</v>
      </c>
      <c r="AE325" s="567">
        <f t="shared" si="130"/>
        <v>2</v>
      </c>
      <c r="AF325" s="567">
        <f t="shared" si="130"/>
        <v>2</v>
      </c>
      <c r="AG325" s="567">
        <f t="shared" si="130"/>
        <v>2</v>
      </c>
      <c r="AH325" s="567">
        <f t="shared" si="130"/>
        <v>2</v>
      </c>
      <c r="AI325" s="567">
        <f t="shared" si="130"/>
        <v>2</v>
      </c>
      <c r="AJ325" s="567">
        <f t="shared" ref="AJ325:BO325" si="131">AJ248</f>
        <v>2</v>
      </c>
      <c r="AK325" s="567">
        <f t="shared" si="131"/>
        <v>2</v>
      </c>
      <c r="AL325" s="567">
        <f t="shared" si="131"/>
        <v>1</v>
      </c>
      <c r="AM325" s="567">
        <f t="shared" si="131"/>
        <v>0</v>
      </c>
      <c r="AN325" s="567">
        <f t="shared" si="131"/>
        <v>1</v>
      </c>
      <c r="AO325" s="567">
        <f t="shared" si="131"/>
        <v>0</v>
      </c>
      <c r="AP325" s="567">
        <f t="shared" si="131"/>
        <v>2</v>
      </c>
      <c r="AQ325" s="567">
        <f t="shared" si="131"/>
        <v>2</v>
      </c>
      <c r="AR325" s="567">
        <f t="shared" si="131"/>
        <v>1</v>
      </c>
      <c r="AS325" s="567">
        <f t="shared" si="131"/>
        <v>2</v>
      </c>
      <c r="AT325" s="567">
        <f t="shared" si="131"/>
        <v>2</v>
      </c>
      <c r="AU325" s="567">
        <f t="shared" si="131"/>
        <v>2</v>
      </c>
      <c r="AV325" s="567">
        <f t="shared" si="131"/>
        <v>2</v>
      </c>
      <c r="AW325" s="567">
        <f t="shared" si="131"/>
        <v>2</v>
      </c>
      <c r="AX325" s="567">
        <f t="shared" si="131"/>
        <v>1</v>
      </c>
      <c r="AY325" s="567">
        <f t="shared" si="131"/>
        <v>2</v>
      </c>
      <c r="AZ325" s="567">
        <f t="shared" si="131"/>
        <v>2</v>
      </c>
      <c r="BA325" s="567">
        <f t="shared" si="131"/>
        <v>1</v>
      </c>
      <c r="BB325" s="567">
        <f t="shared" si="131"/>
        <v>2</v>
      </c>
      <c r="BC325" s="567">
        <f t="shared" si="131"/>
        <v>2</v>
      </c>
      <c r="BD325" s="567">
        <f t="shared" si="131"/>
        <v>2</v>
      </c>
      <c r="BE325" s="567">
        <f t="shared" si="131"/>
        <v>2</v>
      </c>
      <c r="BF325" s="567">
        <f t="shared" si="131"/>
        <v>2</v>
      </c>
      <c r="BG325" s="567">
        <f t="shared" si="131"/>
        <v>2</v>
      </c>
      <c r="BH325" s="567">
        <f t="shared" si="131"/>
        <v>2</v>
      </c>
      <c r="BI325" s="567">
        <f t="shared" si="131"/>
        <v>2</v>
      </c>
      <c r="BJ325" s="567">
        <f t="shared" si="131"/>
        <v>2</v>
      </c>
      <c r="BK325" s="567">
        <f t="shared" si="131"/>
        <v>1</v>
      </c>
      <c r="BL325" s="567">
        <f t="shared" si="131"/>
        <v>2</v>
      </c>
      <c r="BM325" s="567">
        <f t="shared" si="131"/>
        <v>2</v>
      </c>
      <c r="BN325" s="567">
        <f t="shared" si="131"/>
        <v>2</v>
      </c>
      <c r="BO325" s="567">
        <f t="shared" si="131"/>
        <v>1</v>
      </c>
      <c r="BP325" s="567">
        <f t="shared" ref="BP325:CZ325" si="132">BP248</f>
        <v>2</v>
      </c>
      <c r="BQ325" s="567">
        <f t="shared" si="132"/>
        <v>2</v>
      </c>
      <c r="BR325" s="567">
        <f t="shared" si="132"/>
        <v>0</v>
      </c>
      <c r="BS325" s="567">
        <f t="shared" si="132"/>
        <v>2</v>
      </c>
      <c r="BT325" s="567">
        <f t="shared" si="132"/>
        <v>0</v>
      </c>
      <c r="BU325" s="567">
        <f t="shared" si="132"/>
        <v>1</v>
      </c>
      <c r="BV325" s="567">
        <f t="shared" si="132"/>
        <v>2</v>
      </c>
      <c r="BW325" s="567">
        <f t="shared" si="132"/>
        <v>2</v>
      </c>
      <c r="BX325" s="567">
        <f t="shared" si="132"/>
        <v>2</v>
      </c>
      <c r="BY325" s="567">
        <f t="shared" si="132"/>
        <v>0</v>
      </c>
      <c r="BZ325" s="567">
        <f t="shared" si="132"/>
        <v>2</v>
      </c>
      <c r="CA325" s="567">
        <f t="shared" si="132"/>
        <v>2</v>
      </c>
      <c r="CB325" s="567">
        <f t="shared" si="132"/>
        <v>2</v>
      </c>
      <c r="CC325" s="567">
        <f t="shared" si="132"/>
        <v>2</v>
      </c>
      <c r="CD325" s="567">
        <f t="shared" si="132"/>
        <v>1</v>
      </c>
      <c r="CE325" s="567">
        <f t="shared" si="132"/>
        <v>0</v>
      </c>
      <c r="CF325" s="567">
        <f t="shared" si="132"/>
        <v>2</v>
      </c>
      <c r="CG325" s="567">
        <f t="shared" si="132"/>
        <v>2</v>
      </c>
      <c r="CH325" s="567">
        <f t="shared" si="132"/>
        <v>2</v>
      </c>
      <c r="CI325" s="567">
        <f t="shared" si="132"/>
        <v>2</v>
      </c>
      <c r="CJ325" s="567">
        <f t="shared" si="132"/>
        <v>0</v>
      </c>
      <c r="CK325" s="567">
        <f t="shared" si="132"/>
        <v>1</v>
      </c>
      <c r="CL325" s="567">
        <f t="shared" si="132"/>
        <v>0</v>
      </c>
      <c r="CM325" s="567">
        <f t="shared" si="132"/>
        <v>0</v>
      </c>
      <c r="CN325" s="567">
        <f t="shared" si="132"/>
        <v>0</v>
      </c>
      <c r="CO325" s="567">
        <f t="shared" si="132"/>
        <v>0</v>
      </c>
      <c r="CP325" s="567">
        <f t="shared" si="132"/>
        <v>0</v>
      </c>
      <c r="CQ325" s="567">
        <f t="shared" si="132"/>
        <v>0</v>
      </c>
      <c r="CR325" s="567">
        <f t="shared" si="132"/>
        <v>0</v>
      </c>
      <c r="CS325" s="567">
        <f t="shared" si="132"/>
        <v>0</v>
      </c>
      <c r="CT325" s="567">
        <f t="shared" si="132"/>
        <v>0</v>
      </c>
      <c r="CU325" s="567">
        <f t="shared" si="132"/>
        <v>0</v>
      </c>
      <c r="CV325" s="567">
        <f t="shared" si="132"/>
        <v>0</v>
      </c>
      <c r="CW325" s="567">
        <f t="shared" si="132"/>
        <v>0</v>
      </c>
      <c r="CX325" s="567">
        <f t="shared" si="132"/>
        <v>0</v>
      </c>
      <c r="CY325" s="567">
        <f t="shared" si="132"/>
        <v>0</v>
      </c>
      <c r="CZ325" s="567">
        <f t="shared" si="132"/>
        <v>0</v>
      </c>
    </row>
    <row r="326" spans="1:104" s="180" customFormat="1" x14ac:dyDescent="0.3">
      <c r="A326" s="555">
        <v>1059</v>
      </c>
      <c r="B326" s="556" t="s">
        <v>1771</v>
      </c>
      <c r="C326" s="180">
        <v>249</v>
      </c>
      <c r="D326" s="567">
        <f t="shared" ref="D326:AI326" si="133">D249</f>
        <v>1</v>
      </c>
      <c r="E326" s="567">
        <f t="shared" si="133"/>
        <v>1</v>
      </c>
      <c r="F326" s="567">
        <f t="shared" si="133"/>
        <v>1</v>
      </c>
      <c r="G326" s="567">
        <f t="shared" si="133"/>
        <v>1</v>
      </c>
      <c r="H326" s="567">
        <f t="shared" si="133"/>
        <v>0</v>
      </c>
      <c r="I326" s="567">
        <f t="shared" si="133"/>
        <v>1</v>
      </c>
      <c r="J326" s="567">
        <f t="shared" si="133"/>
        <v>1</v>
      </c>
      <c r="K326" s="567">
        <f t="shared" si="133"/>
        <v>1</v>
      </c>
      <c r="L326" s="567">
        <f t="shared" si="133"/>
        <v>1</v>
      </c>
      <c r="M326" s="567">
        <f t="shared" si="133"/>
        <v>1</v>
      </c>
      <c r="N326" s="567">
        <f t="shared" si="133"/>
        <v>0</v>
      </c>
      <c r="O326" s="567">
        <f t="shared" si="133"/>
        <v>1</v>
      </c>
      <c r="P326" s="567">
        <f t="shared" si="133"/>
        <v>1</v>
      </c>
      <c r="Q326" s="567">
        <f t="shared" si="133"/>
        <v>1</v>
      </c>
      <c r="R326" s="567">
        <f t="shared" si="133"/>
        <v>1</v>
      </c>
      <c r="S326" s="567">
        <f t="shared" si="133"/>
        <v>1</v>
      </c>
      <c r="T326" s="567">
        <f t="shared" si="133"/>
        <v>1</v>
      </c>
      <c r="U326" s="567">
        <f t="shared" si="133"/>
        <v>1</v>
      </c>
      <c r="V326" s="567">
        <f t="shared" si="133"/>
        <v>1</v>
      </c>
      <c r="W326" s="567">
        <f t="shared" si="133"/>
        <v>1</v>
      </c>
      <c r="X326" s="567">
        <f t="shared" si="133"/>
        <v>1</v>
      </c>
      <c r="Y326" s="567">
        <f t="shared" si="133"/>
        <v>1</v>
      </c>
      <c r="Z326" s="567">
        <f t="shared" si="133"/>
        <v>1</v>
      </c>
      <c r="AA326" s="567">
        <f t="shared" si="133"/>
        <v>1</v>
      </c>
      <c r="AB326" s="567">
        <f t="shared" si="133"/>
        <v>1</v>
      </c>
      <c r="AC326" s="567">
        <f t="shared" si="133"/>
        <v>0</v>
      </c>
      <c r="AD326" s="567">
        <f t="shared" si="133"/>
        <v>1</v>
      </c>
      <c r="AE326" s="567">
        <f t="shared" si="133"/>
        <v>1</v>
      </c>
      <c r="AF326" s="567">
        <f t="shared" si="133"/>
        <v>1</v>
      </c>
      <c r="AG326" s="567">
        <f t="shared" si="133"/>
        <v>1</v>
      </c>
      <c r="AH326" s="567">
        <f t="shared" si="133"/>
        <v>1</v>
      </c>
      <c r="AI326" s="567">
        <f t="shared" si="133"/>
        <v>1</v>
      </c>
      <c r="AJ326" s="567">
        <f t="shared" ref="AJ326:BO326" si="134">AJ249</f>
        <v>1</v>
      </c>
      <c r="AK326" s="567">
        <f t="shared" si="134"/>
        <v>1</v>
      </c>
      <c r="AL326" s="567">
        <f t="shared" si="134"/>
        <v>1</v>
      </c>
      <c r="AM326" s="567">
        <f t="shared" si="134"/>
        <v>0</v>
      </c>
      <c r="AN326" s="567">
        <f t="shared" si="134"/>
        <v>1</v>
      </c>
      <c r="AO326" s="567">
        <f t="shared" si="134"/>
        <v>0</v>
      </c>
      <c r="AP326" s="567">
        <f t="shared" si="134"/>
        <v>1</v>
      </c>
      <c r="AQ326" s="567">
        <f t="shared" si="134"/>
        <v>1</v>
      </c>
      <c r="AR326" s="567">
        <f t="shared" si="134"/>
        <v>2</v>
      </c>
      <c r="AS326" s="567">
        <f t="shared" si="134"/>
        <v>1</v>
      </c>
      <c r="AT326" s="567">
        <f t="shared" si="134"/>
        <v>1</v>
      </c>
      <c r="AU326" s="567">
        <f t="shared" si="134"/>
        <v>1</v>
      </c>
      <c r="AV326" s="567">
        <f t="shared" si="134"/>
        <v>1</v>
      </c>
      <c r="AW326" s="567">
        <f t="shared" si="134"/>
        <v>1</v>
      </c>
      <c r="AX326" s="567">
        <f t="shared" si="134"/>
        <v>1</v>
      </c>
      <c r="AY326" s="567">
        <f t="shared" si="134"/>
        <v>1</v>
      </c>
      <c r="AZ326" s="567">
        <f t="shared" si="134"/>
        <v>2</v>
      </c>
      <c r="BA326" s="567">
        <f t="shared" si="134"/>
        <v>1</v>
      </c>
      <c r="BB326" s="567">
        <f t="shared" si="134"/>
        <v>1</v>
      </c>
      <c r="BC326" s="567">
        <f t="shared" si="134"/>
        <v>1</v>
      </c>
      <c r="BD326" s="567">
        <f t="shared" si="134"/>
        <v>1</v>
      </c>
      <c r="BE326" s="567">
        <f t="shared" si="134"/>
        <v>1</v>
      </c>
      <c r="BF326" s="567">
        <f t="shared" si="134"/>
        <v>1</v>
      </c>
      <c r="BG326" s="567">
        <f t="shared" si="134"/>
        <v>1</v>
      </c>
      <c r="BH326" s="567">
        <f t="shared" si="134"/>
        <v>1</v>
      </c>
      <c r="BI326" s="567">
        <f t="shared" si="134"/>
        <v>1</v>
      </c>
      <c r="BJ326" s="567">
        <f t="shared" si="134"/>
        <v>1</v>
      </c>
      <c r="BK326" s="567">
        <f t="shared" si="134"/>
        <v>1</v>
      </c>
      <c r="BL326" s="567">
        <f t="shared" si="134"/>
        <v>1</v>
      </c>
      <c r="BM326" s="567">
        <f t="shared" si="134"/>
        <v>1</v>
      </c>
      <c r="BN326" s="567">
        <f t="shared" si="134"/>
        <v>1</v>
      </c>
      <c r="BO326" s="567">
        <f t="shared" si="134"/>
        <v>1</v>
      </c>
      <c r="BP326" s="567">
        <f t="shared" ref="BP326:CZ326" si="135">BP249</f>
        <v>1</v>
      </c>
      <c r="BQ326" s="567">
        <f t="shared" si="135"/>
        <v>1</v>
      </c>
      <c r="BR326" s="567">
        <f t="shared" si="135"/>
        <v>0</v>
      </c>
      <c r="BS326" s="567">
        <f t="shared" si="135"/>
        <v>1</v>
      </c>
      <c r="BT326" s="567">
        <f t="shared" si="135"/>
        <v>0</v>
      </c>
      <c r="BU326" s="567">
        <f t="shared" si="135"/>
        <v>1</v>
      </c>
      <c r="BV326" s="567">
        <f t="shared" si="135"/>
        <v>1</v>
      </c>
      <c r="BW326" s="567">
        <f t="shared" si="135"/>
        <v>1</v>
      </c>
      <c r="BX326" s="567">
        <f t="shared" si="135"/>
        <v>1</v>
      </c>
      <c r="BY326" s="567">
        <f t="shared" si="135"/>
        <v>0</v>
      </c>
      <c r="BZ326" s="567">
        <f t="shared" si="135"/>
        <v>1</v>
      </c>
      <c r="CA326" s="567">
        <f t="shared" si="135"/>
        <v>1</v>
      </c>
      <c r="CB326" s="567">
        <f t="shared" si="135"/>
        <v>1</v>
      </c>
      <c r="CC326" s="567">
        <f t="shared" si="135"/>
        <v>1</v>
      </c>
      <c r="CD326" s="567">
        <f t="shared" si="135"/>
        <v>1</v>
      </c>
      <c r="CE326" s="567">
        <f t="shared" si="135"/>
        <v>0</v>
      </c>
      <c r="CF326" s="567">
        <f t="shared" si="135"/>
        <v>1</v>
      </c>
      <c r="CG326" s="567">
        <f t="shared" si="135"/>
        <v>1</v>
      </c>
      <c r="CH326" s="567">
        <f t="shared" si="135"/>
        <v>1</v>
      </c>
      <c r="CI326" s="567">
        <f t="shared" si="135"/>
        <v>1</v>
      </c>
      <c r="CJ326" s="567">
        <f t="shared" si="135"/>
        <v>0</v>
      </c>
      <c r="CK326" s="567">
        <f t="shared" si="135"/>
        <v>1</v>
      </c>
      <c r="CL326" s="567">
        <f t="shared" si="135"/>
        <v>0</v>
      </c>
      <c r="CM326" s="567">
        <f t="shared" si="135"/>
        <v>0</v>
      </c>
      <c r="CN326" s="567">
        <f t="shared" si="135"/>
        <v>0</v>
      </c>
      <c r="CO326" s="567">
        <f t="shared" si="135"/>
        <v>0</v>
      </c>
      <c r="CP326" s="567">
        <f t="shared" si="135"/>
        <v>0</v>
      </c>
      <c r="CQ326" s="567">
        <f t="shared" si="135"/>
        <v>0</v>
      </c>
      <c r="CR326" s="567">
        <f t="shared" si="135"/>
        <v>0</v>
      </c>
      <c r="CS326" s="567">
        <f t="shared" si="135"/>
        <v>0</v>
      </c>
      <c r="CT326" s="567">
        <f t="shared" si="135"/>
        <v>0</v>
      </c>
      <c r="CU326" s="567">
        <f t="shared" si="135"/>
        <v>0</v>
      </c>
      <c r="CV326" s="567">
        <f t="shared" si="135"/>
        <v>0</v>
      </c>
      <c r="CW326" s="567">
        <f t="shared" si="135"/>
        <v>0</v>
      </c>
      <c r="CX326" s="567">
        <f t="shared" si="135"/>
        <v>0</v>
      </c>
      <c r="CY326" s="567">
        <f t="shared" si="135"/>
        <v>0</v>
      </c>
      <c r="CZ326" s="567">
        <f t="shared" si="135"/>
        <v>0</v>
      </c>
    </row>
    <row r="327" spans="1:104" s="561" customFormat="1" x14ac:dyDescent="0.3">
      <c r="A327" s="560" t="s">
        <v>1072</v>
      </c>
      <c r="D327" s="561">
        <f>SUM(D285:D326)</f>
        <v>5225452.01</v>
      </c>
      <c r="E327" s="561">
        <f t="shared" ref="E327:BP327" si="136">SUM(E285:E326)</f>
        <v>6192704</v>
      </c>
      <c r="F327" s="561">
        <f t="shared" si="136"/>
        <v>2575046.0099999998</v>
      </c>
      <c r="G327" s="251">
        <f>SUM(G285:G326)</f>
        <v>1730163.01</v>
      </c>
      <c r="H327" s="561">
        <f t="shared" si="136"/>
        <v>50112.01</v>
      </c>
      <c r="I327" s="561">
        <f t="shared" si="136"/>
        <v>45443120.009999998</v>
      </c>
      <c r="J327" s="561">
        <f t="shared" si="136"/>
        <v>7718118</v>
      </c>
      <c r="K327" s="561">
        <f t="shared" si="136"/>
        <v>92534982.00999999</v>
      </c>
      <c r="L327" s="561">
        <f t="shared" si="136"/>
        <v>10878161</v>
      </c>
      <c r="M327" s="561">
        <f t="shared" si="136"/>
        <v>164854421</v>
      </c>
      <c r="N327" s="561">
        <f t="shared" si="136"/>
        <v>50117.01</v>
      </c>
      <c r="O327" s="561">
        <f t="shared" si="136"/>
        <v>2540867047.0100002</v>
      </c>
      <c r="P327" s="561">
        <f t="shared" si="136"/>
        <v>245490</v>
      </c>
      <c r="Q327" s="561">
        <f t="shared" si="136"/>
        <v>1015466</v>
      </c>
      <c r="R327" s="561">
        <f t="shared" si="136"/>
        <v>11817770</v>
      </c>
      <c r="S327" s="561">
        <f t="shared" si="136"/>
        <v>4473091</v>
      </c>
      <c r="T327" s="561">
        <f t="shared" si="136"/>
        <v>8609695</v>
      </c>
      <c r="U327" s="561">
        <f t="shared" si="136"/>
        <v>898773</v>
      </c>
      <c r="V327" s="561">
        <f t="shared" si="136"/>
        <v>1792359.01</v>
      </c>
      <c r="W327" s="561">
        <f t="shared" si="136"/>
        <v>8799372.0099999998</v>
      </c>
      <c r="X327" s="561">
        <f t="shared" si="136"/>
        <v>541150362.79999995</v>
      </c>
      <c r="Y327" s="561">
        <f t="shared" si="136"/>
        <v>14540844502.01</v>
      </c>
      <c r="Z327" s="561">
        <f t="shared" si="136"/>
        <v>38650565.079999998</v>
      </c>
      <c r="AA327" s="561">
        <f t="shared" si="136"/>
        <v>3116125.01</v>
      </c>
      <c r="AB327" s="561">
        <f t="shared" si="136"/>
        <v>17090041.02</v>
      </c>
      <c r="AC327" s="561">
        <f t="shared" si="136"/>
        <v>50128.01</v>
      </c>
      <c r="AD327" s="561">
        <f t="shared" si="136"/>
        <v>21906996.009999998</v>
      </c>
      <c r="AE327" s="561">
        <f t="shared" si="136"/>
        <v>5169487.01</v>
      </c>
      <c r="AF327" s="561">
        <f t="shared" si="136"/>
        <v>209781107.09</v>
      </c>
      <c r="AG327" s="561">
        <f t="shared" si="136"/>
        <v>75901988</v>
      </c>
      <c r="AH327" s="561">
        <f t="shared" si="136"/>
        <v>9746476.0099999998</v>
      </c>
      <c r="AI327" s="561">
        <f t="shared" si="136"/>
        <v>43751853.009999998</v>
      </c>
      <c r="AJ327" s="561">
        <f t="shared" si="136"/>
        <v>4579584.01</v>
      </c>
      <c r="AK327" s="561">
        <f t="shared" si="136"/>
        <v>5565461.0099999998</v>
      </c>
      <c r="AL327" s="561">
        <f t="shared" si="136"/>
        <v>3027402.01</v>
      </c>
      <c r="AM327" s="561">
        <f t="shared" si="136"/>
        <v>50136.01</v>
      </c>
      <c r="AN327" s="561">
        <f t="shared" si="136"/>
        <v>5462044.0099999998</v>
      </c>
      <c r="AO327" s="561">
        <f t="shared" si="136"/>
        <v>50138.01</v>
      </c>
      <c r="AP327" s="561">
        <f t="shared" si="136"/>
        <v>174560</v>
      </c>
      <c r="AQ327" s="561">
        <f t="shared" si="136"/>
        <v>1157812635.0999999</v>
      </c>
      <c r="AR327" s="561">
        <f t="shared" si="136"/>
        <v>655710</v>
      </c>
      <c r="AS327" s="561">
        <f t="shared" si="136"/>
        <v>4635848.01</v>
      </c>
      <c r="AT327" s="561">
        <f t="shared" si="136"/>
        <v>110680085.00999999</v>
      </c>
      <c r="AU327" s="561">
        <f t="shared" si="136"/>
        <v>3109206.01</v>
      </c>
      <c r="AV327" s="561">
        <f t="shared" si="136"/>
        <v>2423930</v>
      </c>
      <c r="AW327" s="561">
        <f t="shared" si="136"/>
        <v>219930534.06999999</v>
      </c>
      <c r="AX327" s="561">
        <f t="shared" si="136"/>
        <v>1105219.01</v>
      </c>
      <c r="AY327" s="561">
        <f t="shared" si="136"/>
        <v>30090607</v>
      </c>
      <c r="AZ327" s="561">
        <f t="shared" si="136"/>
        <v>42249936</v>
      </c>
      <c r="BA327" s="561">
        <f t="shared" si="136"/>
        <v>1123772.01</v>
      </c>
      <c r="BB327" s="561">
        <f t="shared" si="136"/>
        <v>582559.01</v>
      </c>
      <c r="BC327" s="561">
        <f t="shared" si="136"/>
        <v>31491110.100000001</v>
      </c>
      <c r="BD327" s="561">
        <f t="shared" si="136"/>
        <v>493707</v>
      </c>
      <c r="BE327" s="561">
        <f t="shared" si="136"/>
        <v>108871155.325</v>
      </c>
      <c r="BF327" s="561">
        <f t="shared" si="136"/>
        <v>7048521.0099999998</v>
      </c>
      <c r="BG327" s="561">
        <f t="shared" si="136"/>
        <v>2039634</v>
      </c>
      <c r="BH327" s="561">
        <f t="shared" si="136"/>
        <v>1449949</v>
      </c>
      <c r="BI327" s="561">
        <f t="shared" si="136"/>
        <v>8433451.0099999998</v>
      </c>
      <c r="BJ327" s="561">
        <f t="shared" si="136"/>
        <v>4059209</v>
      </c>
      <c r="BK327" s="561">
        <f t="shared" si="136"/>
        <v>1773071.01</v>
      </c>
      <c r="BL327" s="561">
        <f t="shared" si="136"/>
        <v>15429900.08</v>
      </c>
      <c r="BM327" s="561">
        <f t="shared" si="136"/>
        <v>2759365.01</v>
      </c>
      <c r="BN327" s="561">
        <f t="shared" si="136"/>
        <v>57104282.359999999</v>
      </c>
      <c r="BO327" s="561">
        <f t="shared" si="136"/>
        <v>68906895.00999999</v>
      </c>
      <c r="BP327" s="561">
        <f t="shared" si="136"/>
        <v>2583730538.0160003</v>
      </c>
      <c r="BQ327" s="561">
        <f t="shared" ref="BQ327:CZ327" si="137">SUM(BQ285:BQ326)</f>
        <v>291067</v>
      </c>
      <c r="BR327" s="561">
        <f t="shared" si="137"/>
        <v>50511.01</v>
      </c>
      <c r="BS327" s="561">
        <f t="shared" si="137"/>
        <v>3015439.01</v>
      </c>
      <c r="BT327" s="561">
        <f t="shared" si="137"/>
        <v>50162</v>
      </c>
      <c r="BU327" s="561">
        <f t="shared" si="137"/>
        <v>5598773.0099999998</v>
      </c>
      <c r="BV327" s="561">
        <f t="shared" si="137"/>
        <v>12753314</v>
      </c>
      <c r="BW327" s="561">
        <f t="shared" si="137"/>
        <v>94731277.00999999</v>
      </c>
      <c r="BX327" s="561">
        <f t="shared" si="137"/>
        <v>33990411.090000004</v>
      </c>
      <c r="BY327" s="561">
        <f t="shared" si="137"/>
        <v>50166.09</v>
      </c>
      <c r="BZ327" s="561">
        <f t="shared" si="137"/>
        <v>49702725.009999998</v>
      </c>
      <c r="CA327" s="561">
        <f t="shared" si="137"/>
        <v>2387932.0099999998</v>
      </c>
      <c r="CB327" s="561">
        <f t="shared" si="137"/>
        <v>24202509.009999998</v>
      </c>
      <c r="CC327" s="561">
        <f t="shared" si="137"/>
        <v>2776314.01</v>
      </c>
      <c r="CD327" s="561">
        <f t="shared" si="137"/>
        <v>3170393.01</v>
      </c>
      <c r="CE327" s="561">
        <f t="shared" si="137"/>
        <v>50172.01</v>
      </c>
      <c r="CF327" s="561">
        <f t="shared" si="137"/>
        <v>38537272.009999998</v>
      </c>
      <c r="CG327" s="561">
        <f t="shared" si="137"/>
        <v>57126660</v>
      </c>
      <c r="CH327" s="561">
        <f t="shared" si="137"/>
        <v>25803155.100000001</v>
      </c>
      <c r="CI327" s="561">
        <f t="shared" si="137"/>
        <v>17856999</v>
      </c>
      <c r="CJ327" s="561">
        <f t="shared" si="137"/>
        <v>50177.01</v>
      </c>
      <c r="CK327" s="561">
        <f t="shared" si="137"/>
        <v>240928.01</v>
      </c>
      <c r="CL327" s="561">
        <f t="shared" si="137"/>
        <v>0</v>
      </c>
      <c r="CM327" s="561">
        <f t="shared" si="137"/>
        <v>0</v>
      </c>
      <c r="CN327" s="561">
        <f t="shared" si="137"/>
        <v>0</v>
      </c>
      <c r="CO327" s="561">
        <f t="shared" si="137"/>
        <v>0</v>
      </c>
      <c r="CP327" s="561">
        <f t="shared" si="137"/>
        <v>0</v>
      </c>
      <c r="CQ327" s="561">
        <f t="shared" si="137"/>
        <v>0</v>
      </c>
      <c r="CR327" s="561">
        <f t="shared" si="137"/>
        <v>0</v>
      </c>
      <c r="CS327" s="561">
        <f t="shared" si="137"/>
        <v>0</v>
      </c>
      <c r="CT327" s="561">
        <f t="shared" si="137"/>
        <v>0</v>
      </c>
      <c r="CU327" s="561">
        <f t="shared" si="137"/>
        <v>0</v>
      </c>
      <c r="CV327" s="561">
        <f t="shared" si="137"/>
        <v>0</v>
      </c>
      <c r="CW327" s="561">
        <f t="shared" si="137"/>
        <v>0</v>
      </c>
      <c r="CX327" s="561">
        <f t="shared" si="137"/>
        <v>0</v>
      </c>
      <c r="CY327" s="561">
        <f t="shared" si="137"/>
        <v>0</v>
      </c>
      <c r="CZ327" s="561">
        <f t="shared" si="137"/>
        <v>0</v>
      </c>
    </row>
    <row r="328" spans="1:104" s="561" customFormat="1" x14ac:dyDescent="0.3">
      <c r="A328" s="560"/>
    </row>
    <row r="329" spans="1:104" s="561" customFormat="1" x14ac:dyDescent="0.3">
      <c r="A329" s="560" t="s">
        <v>1796</v>
      </c>
      <c r="D329" s="797">
        <f>D280-D327</f>
        <v>40546552</v>
      </c>
      <c r="E329" s="797">
        <f t="shared" ref="E329:BP329" si="138">E280-E327</f>
        <v>29408248.777500004</v>
      </c>
      <c r="F329" s="797">
        <f t="shared" si="138"/>
        <v>32153281.690000005</v>
      </c>
      <c r="G329" s="797">
        <f t="shared" si="138"/>
        <v>12445475.52</v>
      </c>
      <c r="H329" s="797">
        <f t="shared" si="138"/>
        <v>0</v>
      </c>
      <c r="I329" s="797">
        <f t="shared" si="138"/>
        <v>180218901.08000001</v>
      </c>
      <c r="J329" s="797">
        <f t="shared" si="138"/>
        <v>36387514.072499998</v>
      </c>
      <c r="K329" s="797">
        <f t="shared" si="138"/>
        <v>578481943.95500004</v>
      </c>
      <c r="L329" s="797">
        <f t="shared" si="138"/>
        <v>74563153.651600003</v>
      </c>
      <c r="M329" s="797">
        <f t="shared" si="138"/>
        <v>439432683.47490001</v>
      </c>
      <c r="N329" s="797">
        <f t="shared" si="138"/>
        <v>0</v>
      </c>
      <c r="O329" s="797">
        <f t="shared" si="138"/>
        <v>11588977742.115</v>
      </c>
      <c r="P329" s="797">
        <f t="shared" si="138"/>
        <v>1294695.93</v>
      </c>
      <c r="Q329" s="797">
        <f t="shared" si="138"/>
        <v>4404083.62</v>
      </c>
      <c r="R329" s="797">
        <f t="shared" si="138"/>
        <v>33783962.560000002</v>
      </c>
      <c r="S329" s="797">
        <f t="shared" si="138"/>
        <v>18623351.309999999</v>
      </c>
      <c r="T329" s="797">
        <f t="shared" si="138"/>
        <v>30861215.907499999</v>
      </c>
      <c r="U329" s="797">
        <f t="shared" si="138"/>
        <v>4908086.1399999997</v>
      </c>
      <c r="V329" s="797">
        <f t="shared" si="138"/>
        <v>16270644.549999999</v>
      </c>
      <c r="W329" s="797">
        <f t="shared" si="138"/>
        <v>97713870.949999988</v>
      </c>
      <c r="X329" s="797">
        <f t="shared" si="138"/>
        <v>1457559272.7720001</v>
      </c>
      <c r="Y329" s="797">
        <f t="shared" si="138"/>
        <v>53301431393.18</v>
      </c>
      <c r="Z329" s="797">
        <f t="shared" si="138"/>
        <v>300826508.28000003</v>
      </c>
      <c r="AA329" s="797">
        <f t="shared" si="138"/>
        <v>29729372.390000001</v>
      </c>
      <c r="AB329" s="797">
        <f t="shared" si="138"/>
        <v>67281673.010000005</v>
      </c>
      <c r="AC329" s="797">
        <f t="shared" si="138"/>
        <v>0</v>
      </c>
      <c r="AD329" s="797">
        <f t="shared" si="138"/>
        <v>149683928.28</v>
      </c>
      <c r="AE329" s="797">
        <f t="shared" si="138"/>
        <v>52438819.020000003</v>
      </c>
      <c r="AF329" s="797">
        <f t="shared" si="138"/>
        <v>1559741472.5</v>
      </c>
      <c r="AG329" s="797">
        <f t="shared" si="138"/>
        <v>252024751.47500002</v>
      </c>
      <c r="AH329" s="797">
        <f t="shared" si="138"/>
        <v>69630085.149999991</v>
      </c>
      <c r="AI329" s="797">
        <f t="shared" si="138"/>
        <v>412902791.34000003</v>
      </c>
      <c r="AJ329" s="797">
        <f t="shared" si="138"/>
        <v>48897435.060000002</v>
      </c>
      <c r="AK329" s="797">
        <f t="shared" si="138"/>
        <v>38187358.280000001</v>
      </c>
      <c r="AL329" s="797">
        <f t="shared" si="138"/>
        <v>24819905.049999997</v>
      </c>
      <c r="AM329" s="797">
        <f t="shared" si="138"/>
        <v>0</v>
      </c>
      <c r="AN329" s="797">
        <f t="shared" si="138"/>
        <v>82843905.710999995</v>
      </c>
      <c r="AO329" s="797">
        <f t="shared" si="138"/>
        <v>0</v>
      </c>
      <c r="AP329" s="797">
        <f t="shared" si="138"/>
        <v>935798.97</v>
      </c>
      <c r="AQ329" s="797">
        <f t="shared" si="138"/>
        <v>6976007851.5200005</v>
      </c>
      <c r="AR329" s="797">
        <f t="shared" si="138"/>
        <v>3552508.1100000003</v>
      </c>
      <c r="AS329" s="797">
        <f t="shared" si="138"/>
        <v>32546012.810000002</v>
      </c>
      <c r="AT329" s="797">
        <f t="shared" si="138"/>
        <v>533394371.90999997</v>
      </c>
      <c r="AU329" s="797">
        <f t="shared" si="138"/>
        <v>34718331.840000004</v>
      </c>
      <c r="AV329" s="797">
        <f t="shared" si="138"/>
        <v>12400605.380000001</v>
      </c>
      <c r="AW329" s="797">
        <f t="shared" si="138"/>
        <v>767890057.91199994</v>
      </c>
      <c r="AX329" s="797">
        <f t="shared" si="138"/>
        <v>26300771.84</v>
      </c>
      <c r="AY329" s="797">
        <f t="shared" si="138"/>
        <v>112677951.85499999</v>
      </c>
      <c r="AZ329" s="797">
        <f t="shared" si="138"/>
        <v>139507078.35499999</v>
      </c>
      <c r="BA329" s="797">
        <f t="shared" si="138"/>
        <v>31964741.59</v>
      </c>
      <c r="BB329" s="797">
        <f t="shared" si="138"/>
        <v>9543710.75</v>
      </c>
      <c r="BC329" s="797">
        <f t="shared" si="138"/>
        <v>260839523.54999998</v>
      </c>
      <c r="BD329" s="797">
        <f t="shared" si="138"/>
        <v>1851441.79</v>
      </c>
      <c r="BE329" s="797">
        <f t="shared" si="138"/>
        <v>376377842.88999999</v>
      </c>
      <c r="BF329" s="797">
        <f t="shared" si="138"/>
        <v>107044264</v>
      </c>
      <c r="BG329" s="797">
        <f t="shared" si="138"/>
        <v>9153511.5500000007</v>
      </c>
      <c r="BH329" s="797">
        <f t="shared" si="138"/>
        <v>7617018.3200000003</v>
      </c>
      <c r="BI329" s="797">
        <f t="shared" si="138"/>
        <v>100401834.72999999</v>
      </c>
      <c r="BJ329" s="797">
        <f t="shared" si="138"/>
        <v>23285730</v>
      </c>
      <c r="BK329" s="797">
        <f t="shared" si="138"/>
        <v>37781316.520000003</v>
      </c>
      <c r="BL329" s="797">
        <f t="shared" si="138"/>
        <v>98377107.930000007</v>
      </c>
      <c r="BM329" s="797">
        <f t="shared" si="138"/>
        <v>26677890.859999999</v>
      </c>
      <c r="BN329" s="797">
        <f t="shared" si="138"/>
        <v>193330546.19999999</v>
      </c>
      <c r="BO329" s="797">
        <f t="shared" si="138"/>
        <v>384634864.16000003</v>
      </c>
      <c r="BP329" s="797">
        <f t="shared" si="138"/>
        <v>12329637275.187698</v>
      </c>
      <c r="BQ329" s="797">
        <f t="shared" ref="BQ329:CZ329" si="139">BQ280-BQ327</f>
        <v>1322670.6599999999</v>
      </c>
      <c r="BR329" s="797">
        <f t="shared" si="139"/>
        <v>0</v>
      </c>
      <c r="BS329" s="797">
        <f t="shared" si="139"/>
        <v>20642403.93</v>
      </c>
      <c r="BT329" s="797">
        <f t="shared" si="139"/>
        <v>0</v>
      </c>
      <c r="BU329" s="797">
        <f t="shared" si="139"/>
        <v>58602631.380000003</v>
      </c>
      <c r="BV329" s="797">
        <f t="shared" si="139"/>
        <v>62345083.510000005</v>
      </c>
      <c r="BW329" s="797">
        <f t="shared" si="139"/>
        <v>723585942.15999997</v>
      </c>
      <c r="BX329" s="797">
        <f t="shared" si="139"/>
        <v>272752778.68999994</v>
      </c>
      <c r="BY329" s="797">
        <f t="shared" si="139"/>
        <v>0</v>
      </c>
      <c r="BZ329" s="797">
        <f t="shared" si="139"/>
        <v>215492457.755</v>
      </c>
      <c r="CA329" s="797">
        <f t="shared" si="139"/>
        <v>23999983.920000002</v>
      </c>
      <c r="CB329" s="797">
        <f t="shared" si="139"/>
        <v>169514182.2755</v>
      </c>
      <c r="CC329" s="797">
        <f t="shared" si="139"/>
        <v>32962485.280000001</v>
      </c>
      <c r="CD329" s="797">
        <f t="shared" si="139"/>
        <v>46632842.210000001</v>
      </c>
      <c r="CE329" s="797">
        <f t="shared" si="139"/>
        <v>0</v>
      </c>
      <c r="CF329" s="797">
        <f t="shared" si="139"/>
        <v>244982237.44</v>
      </c>
      <c r="CG329" s="797">
        <f t="shared" si="139"/>
        <v>157339030.79499999</v>
      </c>
      <c r="CH329" s="797">
        <f t="shared" si="139"/>
        <v>155071882.02700001</v>
      </c>
      <c r="CI329" s="797">
        <f t="shared" si="139"/>
        <v>67680631.849999994</v>
      </c>
      <c r="CJ329" s="797">
        <f t="shared" si="139"/>
        <v>0</v>
      </c>
      <c r="CK329" s="797">
        <f t="shared" si="139"/>
        <v>9792793.0600000005</v>
      </c>
      <c r="CL329" s="797">
        <f t="shared" si="139"/>
        <v>0</v>
      </c>
      <c r="CM329" s="797">
        <f t="shared" si="139"/>
        <v>0</v>
      </c>
      <c r="CN329" s="797">
        <f t="shared" si="139"/>
        <v>0</v>
      </c>
      <c r="CO329" s="797">
        <f t="shared" si="139"/>
        <v>0</v>
      </c>
      <c r="CP329" s="797">
        <f t="shared" si="139"/>
        <v>0</v>
      </c>
      <c r="CQ329" s="797">
        <f t="shared" si="139"/>
        <v>0</v>
      </c>
      <c r="CR329" s="797">
        <f t="shared" si="139"/>
        <v>0</v>
      </c>
      <c r="CS329" s="797">
        <f t="shared" si="139"/>
        <v>0</v>
      </c>
      <c r="CT329" s="797">
        <f t="shared" si="139"/>
        <v>0</v>
      </c>
      <c r="CU329" s="797">
        <f t="shared" si="139"/>
        <v>0</v>
      </c>
      <c r="CV329" s="797">
        <f t="shared" si="139"/>
        <v>0</v>
      </c>
      <c r="CW329" s="797">
        <f t="shared" si="139"/>
        <v>0</v>
      </c>
      <c r="CX329" s="797">
        <f t="shared" si="139"/>
        <v>0</v>
      </c>
      <c r="CY329" s="797">
        <f t="shared" si="139"/>
        <v>0</v>
      </c>
      <c r="CZ329" s="797">
        <f t="shared" si="139"/>
        <v>0</v>
      </c>
    </row>
    <row r="330" spans="1:104" s="561" customFormat="1" x14ac:dyDescent="0.3">
      <c r="A330" s="560"/>
    </row>
    <row r="331" spans="1:104" x14ac:dyDescent="0.3">
      <c r="A331" s="562">
        <v>1</v>
      </c>
      <c r="B331" s="180"/>
      <c r="C331" s="180"/>
      <c r="D331" s="563">
        <f t="shared" ref="D331:AI331" si="140">D258</f>
        <v>4100909</v>
      </c>
      <c r="E331" s="563">
        <f t="shared" si="140"/>
        <v>4807550</v>
      </c>
      <c r="F331" s="563">
        <f t="shared" si="140"/>
        <v>1183722</v>
      </c>
      <c r="G331" s="563">
        <f t="shared" si="140"/>
        <v>1048113</v>
      </c>
      <c r="H331" s="563">
        <f t="shared" si="140"/>
        <v>0</v>
      </c>
      <c r="I331" s="563">
        <f t="shared" si="140"/>
        <v>18286100</v>
      </c>
      <c r="J331" s="563">
        <f t="shared" si="140"/>
        <v>5673073</v>
      </c>
      <c r="K331" s="563">
        <f t="shared" si="140"/>
        <v>51520364</v>
      </c>
      <c r="L331" s="563">
        <f t="shared" si="140"/>
        <v>9495058</v>
      </c>
      <c r="M331" s="563">
        <f t="shared" si="140"/>
        <v>90485874</v>
      </c>
      <c r="N331" s="563">
        <f t="shared" si="140"/>
        <v>0</v>
      </c>
      <c r="O331" s="563">
        <f t="shared" si="140"/>
        <v>1506205992</v>
      </c>
      <c r="P331" s="563">
        <f t="shared" si="140"/>
        <v>162718</v>
      </c>
      <c r="Q331" s="563">
        <f t="shared" si="140"/>
        <v>949621</v>
      </c>
      <c r="R331" s="563">
        <f t="shared" si="140"/>
        <v>10257646</v>
      </c>
      <c r="S331" s="563">
        <f t="shared" si="140"/>
        <v>2871883</v>
      </c>
      <c r="T331" s="563">
        <f t="shared" si="140"/>
        <v>5073076</v>
      </c>
      <c r="U331" s="563">
        <f t="shared" si="140"/>
        <v>740202</v>
      </c>
      <c r="V331" s="563">
        <f t="shared" si="140"/>
        <v>1248288</v>
      </c>
      <c r="W331" s="563">
        <f t="shared" si="140"/>
        <v>5380606</v>
      </c>
      <c r="X331" s="563">
        <f t="shared" si="140"/>
        <v>258822992</v>
      </c>
      <c r="Y331" s="563">
        <f t="shared" si="140"/>
        <v>8786001000</v>
      </c>
      <c r="Z331" s="563">
        <f t="shared" si="140"/>
        <v>14474501</v>
      </c>
      <c r="AA331" s="563">
        <f t="shared" si="140"/>
        <v>2386148</v>
      </c>
      <c r="AB331" s="563">
        <f t="shared" si="140"/>
        <v>10027349</v>
      </c>
      <c r="AC331" s="563">
        <f t="shared" si="140"/>
        <v>0</v>
      </c>
      <c r="AD331" s="563">
        <f t="shared" si="140"/>
        <v>14557427</v>
      </c>
      <c r="AE331" s="563">
        <f t="shared" si="140"/>
        <v>3618305</v>
      </c>
      <c r="AF331" s="563">
        <f t="shared" si="140"/>
        <v>120795888</v>
      </c>
      <c r="AG331" s="563">
        <f t="shared" si="140"/>
        <v>59733473</v>
      </c>
      <c r="AH331" s="563">
        <f t="shared" si="140"/>
        <v>6081224</v>
      </c>
      <c r="AI331" s="563">
        <f t="shared" si="140"/>
        <v>24743901</v>
      </c>
      <c r="AJ331" s="563">
        <f t="shared" ref="AJ331:BO331" si="141">AJ258</f>
        <v>2875093</v>
      </c>
      <c r="AK331" s="563">
        <f t="shared" si="141"/>
        <v>3632296</v>
      </c>
      <c r="AL331" s="563">
        <f t="shared" si="141"/>
        <v>2075027</v>
      </c>
      <c r="AM331" s="563">
        <f t="shared" si="141"/>
        <v>0</v>
      </c>
      <c r="AN331" s="563">
        <f t="shared" si="141"/>
        <v>1766830</v>
      </c>
      <c r="AO331" s="563">
        <f t="shared" si="141"/>
        <v>0</v>
      </c>
      <c r="AP331" s="563">
        <f t="shared" si="141"/>
        <v>120498</v>
      </c>
      <c r="AQ331" s="563">
        <f t="shared" si="141"/>
        <v>681227846</v>
      </c>
      <c r="AR331" s="563">
        <f t="shared" si="141"/>
        <v>502148</v>
      </c>
      <c r="AS331" s="563">
        <f t="shared" si="141"/>
        <v>3776790</v>
      </c>
      <c r="AT331" s="563">
        <f t="shared" si="141"/>
        <v>66512297</v>
      </c>
      <c r="AU331" s="563">
        <f t="shared" si="141"/>
        <v>1292860</v>
      </c>
      <c r="AV331" s="563">
        <f t="shared" si="141"/>
        <v>2164677</v>
      </c>
      <c r="AW331" s="563">
        <f t="shared" si="141"/>
        <v>138771667</v>
      </c>
      <c r="AX331" s="563">
        <f t="shared" si="141"/>
        <v>764530</v>
      </c>
      <c r="AY331" s="563">
        <f t="shared" si="141"/>
        <v>19565004</v>
      </c>
      <c r="AZ331" s="563">
        <f t="shared" si="141"/>
        <v>36022308</v>
      </c>
      <c r="BA331" s="563">
        <f t="shared" si="141"/>
        <v>672831</v>
      </c>
      <c r="BB331" s="563">
        <f t="shared" si="141"/>
        <v>466226</v>
      </c>
      <c r="BC331" s="563">
        <f t="shared" si="141"/>
        <v>14410558</v>
      </c>
      <c r="BD331" s="563">
        <f t="shared" si="141"/>
        <v>353916</v>
      </c>
      <c r="BE331" s="563">
        <f t="shared" si="141"/>
        <v>67344579</v>
      </c>
      <c r="BF331" s="563">
        <f t="shared" si="141"/>
        <v>4603304</v>
      </c>
      <c r="BG331" s="563">
        <f t="shared" si="141"/>
        <v>1850563</v>
      </c>
      <c r="BH331" s="563">
        <f t="shared" si="141"/>
        <v>985694</v>
      </c>
      <c r="BI331" s="563">
        <f t="shared" si="141"/>
        <v>4712603</v>
      </c>
      <c r="BJ331" s="563">
        <f t="shared" si="141"/>
        <v>3796290</v>
      </c>
      <c r="BK331" s="563">
        <f t="shared" si="141"/>
        <v>991184</v>
      </c>
      <c r="BL331" s="563">
        <f t="shared" si="141"/>
        <v>4286683</v>
      </c>
      <c r="BM331" s="563">
        <f t="shared" si="141"/>
        <v>1786259</v>
      </c>
      <c r="BN331" s="563">
        <f t="shared" si="141"/>
        <v>37906638</v>
      </c>
      <c r="BO331" s="563">
        <f t="shared" si="141"/>
        <v>30225591</v>
      </c>
      <c r="BP331" s="563">
        <f t="shared" ref="BP331:CZ331" si="142">BP258</f>
        <v>1337342965</v>
      </c>
      <c r="BQ331" s="563">
        <f t="shared" si="142"/>
        <v>166672</v>
      </c>
      <c r="BR331" s="563">
        <f t="shared" si="142"/>
        <v>0</v>
      </c>
      <c r="BS331" s="563">
        <f t="shared" si="142"/>
        <v>1989925</v>
      </c>
      <c r="BT331" s="563">
        <f t="shared" si="142"/>
        <v>0</v>
      </c>
      <c r="BU331" s="563">
        <f t="shared" si="142"/>
        <v>4362694</v>
      </c>
      <c r="BV331" s="563">
        <f t="shared" si="142"/>
        <v>11198415</v>
      </c>
      <c r="BW331" s="563">
        <f t="shared" si="142"/>
        <v>48919679</v>
      </c>
      <c r="BX331" s="563">
        <f t="shared" si="142"/>
        <v>14324375</v>
      </c>
      <c r="BY331" s="563">
        <f t="shared" si="142"/>
        <v>0</v>
      </c>
      <c r="BZ331" s="563">
        <f t="shared" si="142"/>
        <v>27426259</v>
      </c>
      <c r="CA331" s="563">
        <f t="shared" si="142"/>
        <v>1475161</v>
      </c>
      <c r="CB331" s="563">
        <f t="shared" si="142"/>
        <v>15492437</v>
      </c>
      <c r="CC331" s="563">
        <f t="shared" si="142"/>
        <v>1251891</v>
      </c>
      <c r="CD331" s="563">
        <f t="shared" si="142"/>
        <v>2251057</v>
      </c>
      <c r="CE331" s="563">
        <f t="shared" si="142"/>
        <v>0</v>
      </c>
      <c r="CF331" s="563">
        <f t="shared" si="142"/>
        <v>22017361</v>
      </c>
      <c r="CG331" s="563">
        <f t="shared" si="142"/>
        <v>39950333</v>
      </c>
      <c r="CH331" s="563">
        <f t="shared" si="142"/>
        <v>9662390</v>
      </c>
      <c r="CI331" s="563">
        <f t="shared" si="142"/>
        <v>12687775</v>
      </c>
      <c r="CJ331" s="563">
        <f t="shared" si="142"/>
        <v>0</v>
      </c>
      <c r="CK331" s="563">
        <f t="shared" si="142"/>
        <v>129283</v>
      </c>
      <c r="CL331" s="563">
        <f t="shared" si="142"/>
        <v>0</v>
      </c>
      <c r="CM331" s="563">
        <f t="shared" si="142"/>
        <v>0</v>
      </c>
      <c r="CN331" s="563">
        <f t="shared" si="142"/>
        <v>0</v>
      </c>
      <c r="CO331" s="563">
        <f t="shared" si="142"/>
        <v>0</v>
      </c>
      <c r="CP331" s="563">
        <f t="shared" si="142"/>
        <v>0</v>
      </c>
      <c r="CQ331" s="563">
        <f t="shared" si="142"/>
        <v>0</v>
      </c>
      <c r="CR331" s="563">
        <f t="shared" si="142"/>
        <v>0</v>
      </c>
      <c r="CS331" s="563">
        <f t="shared" si="142"/>
        <v>0</v>
      </c>
      <c r="CT331" s="563">
        <f t="shared" si="142"/>
        <v>0</v>
      </c>
      <c r="CU331" s="563">
        <f t="shared" si="142"/>
        <v>0</v>
      </c>
      <c r="CV331" s="563">
        <f t="shared" si="142"/>
        <v>0</v>
      </c>
      <c r="CW331" s="563">
        <f t="shared" si="142"/>
        <v>0</v>
      </c>
      <c r="CX331" s="563">
        <f t="shared" si="142"/>
        <v>0</v>
      </c>
      <c r="CY331" s="563">
        <f t="shared" si="142"/>
        <v>0</v>
      </c>
      <c r="CZ331" s="563">
        <f t="shared" si="142"/>
        <v>0</v>
      </c>
    </row>
    <row r="332" spans="1:104" x14ac:dyDescent="0.3">
      <c r="A332" s="562">
        <v>2</v>
      </c>
      <c r="B332" s="180"/>
      <c r="C332" s="180"/>
      <c r="D332" s="563">
        <f t="shared" ref="D332:AI332" si="143">D259</f>
        <v>296092</v>
      </c>
      <c r="E332" s="563">
        <f t="shared" si="143"/>
        <v>462628</v>
      </c>
      <c r="F332" s="563">
        <f t="shared" si="143"/>
        <v>22416</v>
      </c>
      <c r="G332" s="563">
        <f t="shared" si="143"/>
        <v>37723</v>
      </c>
      <c r="H332" s="563">
        <f t="shared" si="143"/>
        <v>0</v>
      </c>
      <c r="I332" s="563">
        <f t="shared" si="143"/>
        <v>322103</v>
      </c>
      <c r="J332" s="563">
        <f t="shared" si="143"/>
        <v>56397</v>
      </c>
      <c r="K332" s="563">
        <f t="shared" si="143"/>
        <v>4986821</v>
      </c>
      <c r="L332" s="563">
        <f t="shared" si="143"/>
        <v>0</v>
      </c>
      <c r="M332" s="563">
        <f t="shared" si="143"/>
        <v>7403096</v>
      </c>
      <c r="N332" s="563">
        <f t="shared" si="143"/>
        <v>0</v>
      </c>
      <c r="O332" s="563">
        <f t="shared" si="143"/>
        <v>86351942</v>
      </c>
      <c r="P332" s="563">
        <f t="shared" si="143"/>
        <v>15597</v>
      </c>
      <c r="Q332" s="563">
        <f t="shared" si="143"/>
        <v>5455</v>
      </c>
      <c r="R332" s="563">
        <f t="shared" si="143"/>
        <v>430828</v>
      </c>
      <c r="S332" s="563">
        <f t="shared" si="143"/>
        <v>330492</v>
      </c>
      <c r="T332" s="563">
        <f t="shared" si="143"/>
        <v>309214</v>
      </c>
      <c r="U332" s="563">
        <f t="shared" si="143"/>
        <v>49412</v>
      </c>
      <c r="V332" s="563">
        <f t="shared" si="143"/>
        <v>98943</v>
      </c>
      <c r="W332" s="563">
        <f t="shared" si="143"/>
        <v>34749</v>
      </c>
      <c r="X332" s="563">
        <f t="shared" si="143"/>
        <v>31601722</v>
      </c>
      <c r="Y332" s="563">
        <f t="shared" si="143"/>
        <v>451953000</v>
      </c>
      <c r="Z332" s="563">
        <f t="shared" si="143"/>
        <v>622012</v>
      </c>
      <c r="AA332" s="563">
        <f t="shared" si="143"/>
        <v>46768</v>
      </c>
      <c r="AB332" s="563">
        <f t="shared" si="143"/>
        <v>1375482</v>
      </c>
      <c r="AC332" s="563">
        <f t="shared" si="143"/>
        <v>0</v>
      </c>
      <c r="AD332" s="563">
        <f t="shared" si="143"/>
        <v>545476</v>
      </c>
      <c r="AE332" s="563">
        <f t="shared" si="143"/>
        <v>132544</v>
      </c>
      <c r="AF332" s="563">
        <f t="shared" si="143"/>
        <v>10117769</v>
      </c>
      <c r="AG332" s="563">
        <f t="shared" si="143"/>
        <v>3059982</v>
      </c>
      <c r="AH332" s="563">
        <f t="shared" si="143"/>
        <v>28561</v>
      </c>
      <c r="AI332" s="563">
        <f t="shared" si="143"/>
        <v>1175794</v>
      </c>
      <c r="AJ332" s="563">
        <f t="shared" ref="AJ332:BO332" si="144">AJ259</f>
        <v>96035</v>
      </c>
      <c r="AK332" s="563">
        <f t="shared" si="144"/>
        <v>13118</v>
      </c>
      <c r="AL332" s="563">
        <f t="shared" si="144"/>
        <v>74103</v>
      </c>
      <c r="AM332" s="563">
        <f t="shared" si="144"/>
        <v>0</v>
      </c>
      <c r="AN332" s="563">
        <f t="shared" si="144"/>
        <v>10895</v>
      </c>
      <c r="AO332" s="563">
        <f t="shared" si="144"/>
        <v>0</v>
      </c>
      <c r="AP332" s="563">
        <f t="shared" si="144"/>
        <v>1299</v>
      </c>
      <c r="AQ332" s="563">
        <f t="shared" si="144"/>
        <v>42220591</v>
      </c>
      <c r="AR332" s="563">
        <f t="shared" si="144"/>
        <v>34454</v>
      </c>
      <c r="AS332" s="563">
        <f t="shared" si="144"/>
        <v>238585</v>
      </c>
      <c r="AT332" s="563">
        <f t="shared" si="144"/>
        <v>2223529</v>
      </c>
      <c r="AU332" s="563">
        <f t="shared" si="144"/>
        <v>127715</v>
      </c>
      <c r="AV332" s="563">
        <f t="shared" si="144"/>
        <v>2784</v>
      </c>
      <c r="AW332" s="563">
        <f t="shared" si="144"/>
        <v>12732686</v>
      </c>
      <c r="AX332" s="563">
        <f t="shared" si="144"/>
        <v>7813</v>
      </c>
      <c r="AY332" s="563">
        <f t="shared" si="144"/>
        <v>930256</v>
      </c>
      <c r="AZ332" s="563">
        <f t="shared" si="144"/>
        <v>332690</v>
      </c>
      <c r="BA332" s="563">
        <f t="shared" si="144"/>
        <v>3008</v>
      </c>
      <c r="BB332" s="563">
        <f t="shared" si="144"/>
        <v>2458</v>
      </c>
      <c r="BC332" s="563">
        <f t="shared" si="144"/>
        <v>1391659</v>
      </c>
      <c r="BD332" s="563">
        <f t="shared" si="144"/>
        <v>29863</v>
      </c>
      <c r="BE332" s="563">
        <f t="shared" si="144"/>
        <v>5176186</v>
      </c>
      <c r="BF332" s="563">
        <f t="shared" si="144"/>
        <v>53004</v>
      </c>
      <c r="BG332" s="563">
        <f t="shared" si="144"/>
        <v>46289</v>
      </c>
      <c r="BH332" s="563">
        <f t="shared" si="144"/>
        <v>137827</v>
      </c>
      <c r="BI332" s="563">
        <f t="shared" si="144"/>
        <v>434852</v>
      </c>
      <c r="BJ332" s="563">
        <f t="shared" si="144"/>
        <v>88109</v>
      </c>
      <c r="BK332" s="563">
        <f t="shared" si="144"/>
        <v>237878</v>
      </c>
      <c r="BL332" s="563">
        <f t="shared" si="144"/>
        <v>318272</v>
      </c>
      <c r="BM332" s="563">
        <f t="shared" si="144"/>
        <v>87603</v>
      </c>
      <c r="BN332" s="563">
        <f t="shared" si="144"/>
        <v>4389076</v>
      </c>
      <c r="BO332" s="563">
        <f t="shared" si="144"/>
        <v>3540053</v>
      </c>
      <c r="BP332" s="563">
        <f t="shared" ref="BP332:CZ332" si="145">BP259</f>
        <v>153279057</v>
      </c>
      <c r="BQ332" s="563">
        <f t="shared" si="145"/>
        <v>36567</v>
      </c>
      <c r="BR332" s="563">
        <f t="shared" si="145"/>
        <v>0</v>
      </c>
      <c r="BS332" s="563">
        <f t="shared" si="145"/>
        <v>109232</v>
      </c>
      <c r="BT332" s="563">
        <f t="shared" si="145"/>
        <v>0</v>
      </c>
      <c r="BU332" s="563">
        <f t="shared" si="145"/>
        <v>104178</v>
      </c>
      <c r="BV332" s="563">
        <f t="shared" si="145"/>
        <v>85629</v>
      </c>
      <c r="BW332" s="563">
        <f t="shared" si="145"/>
        <v>2569511</v>
      </c>
      <c r="BX332" s="563">
        <f t="shared" si="145"/>
        <v>1559896</v>
      </c>
      <c r="BY332" s="563">
        <f t="shared" si="145"/>
        <v>0</v>
      </c>
      <c r="BZ332" s="563">
        <f t="shared" si="145"/>
        <v>1203474</v>
      </c>
      <c r="CA332" s="563">
        <f t="shared" si="145"/>
        <v>49055</v>
      </c>
      <c r="CB332" s="563">
        <f t="shared" si="145"/>
        <v>441633</v>
      </c>
      <c r="CC332" s="563">
        <f t="shared" si="145"/>
        <v>139435</v>
      </c>
      <c r="CD332" s="563">
        <f t="shared" si="145"/>
        <v>90926</v>
      </c>
      <c r="CE332" s="563">
        <f t="shared" si="145"/>
        <v>0</v>
      </c>
      <c r="CF332" s="563">
        <f t="shared" si="145"/>
        <v>2305334</v>
      </c>
      <c r="CG332" s="563">
        <f t="shared" si="145"/>
        <v>3097399</v>
      </c>
      <c r="CH332" s="563">
        <f t="shared" si="145"/>
        <v>423956</v>
      </c>
      <c r="CI332" s="563">
        <f t="shared" si="145"/>
        <v>1008591</v>
      </c>
      <c r="CJ332" s="563">
        <f t="shared" si="145"/>
        <v>0</v>
      </c>
      <c r="CK332" s="563">
        <f t="shared" si="145"/>
        <v>647</v>
      </c>
      <c r="CL332" s="563">
        <f t="shared" si="145"/>
        <v>0</v>
      </c>
      <c r="CM332" s="563">
        <f t="shared" si="145"/>
        <v>0</v>
      </c>
      <c r="CN332" s="563">
        <f t="shared" si="145"/>
        <v>0</v>
      </c>
      <c r="CO332" s="563">
        <f t="shared" si="145"/>
        <v>0</v>
      </c>
      <c r="CP332" s="563">
        <f t="shared" si="145"/>
        <v>0</v>
      </c>
      <c r="CQ332" s="563">
        <f t="shared" si="145"/>
        <v>0</v>
      </c>
      <c r="CR332" s="563">
        <f t="shared" si="145"/>
        <v>0</v>
      </c>
      <c r="CS332" s="563">
        <f t="shared" si="145"/>
        <v>0</v>
      </c>
      <c r="CT332" s="563">
        <f t="shared" si="145"/>
        <v>0</v>
      </c>
      <c r="CU332" s="563">
        <f t="shared" si="145"/>
        <v>0</v>
      </c>
      <c r="CV332" s="563">
        <f t="shared" si="145"/>
        <v>0</v>
      </c>
      <c r="CW332" s="563">
        <f t="shared" si="145"/>
        <v>0</v>
      </c>
      <c r="CX332" s="563">
        <f t="shared" si="145"/>
        <v>0</v>
      </c>
      <c r="CY332" s="563">
        <f t="shared" si="145"/>
        <v>0</v>
      </c>
      <c r="CZ332" s="563">
        <f t="shared" si="145"/>
        <v>0</v>
      </c>
    </row>
    <row r="333" spans="1:104" x14ac:dyDescent="0.3">
      <c r="A333" s="562">
        <v>3</v>
      </c>
      <c r="B333" s="180"/>
      <c r="C333" s="180"/>
      <c r="D333" s="563">
        <f t="shared" ref="D333:AI333" si="146">D260</f>
        <v>305323</v>
      </c>
      <c r="E333" s="563">
        <f t="shared" si="146"/>
        <v>661295</v>
      </c>
      <c r="F333" s="563">
        <f t="shared" si="146"/>
        <v>63680</v>
      </c>
      <c r="G333" s="563">
        <f t="shared" si="146"/>
        <v>96204</v>
      </c>
      <c r="H333" s="563">
        <f t="shared" si="146"/>
        <v>0</v>
      </c>
      <c r="I333" s="563">
        <f t="shared" si="146"/>
        <v>14916254</v>
      </c>
      <c r="J333" s="563">
        <f t="shared" si="146"/>
        <v>1427590</v>
      </c>
      <c r="K333" s="563">
        <f t="shared" si="146"/>
        <v>25918098</v>
      </c>
      <c r="L333" s="563">
        <f t="shared" si="146"/>
        <v>1332452</v>
      </c>
      <c r="M333" s="563">
        <f t="shared" si="146"/>
        <v>56643252</v>
      </c>
      <c r="N333" s="563">
        <f t="shared" si="146"/>
        <v>0</v>
      </c>
      <c r="O333" s="563">
        <f t="shared" si="146"/>
        <v>553696196</v>
      </c>
      <c r="P333" s="563">
        <f t="shared" si="146"/>
        <v>15597</v>
      </c>
      <c r="Q333" s="563">
        <f t="shared" si="146"/>
        <v>5455</v>
      </c>
      <c r="R333" s="563">
        <f t="shared" si="146"/>
        <v>1003737</v>
      </c>
      <c r="S333" s="563">
        <f t="shared" si="146"/>
        <v>895709</v>
      </c>
      <c r="T333" s="563">
        <f t="shared" si="146"/>
        <v>718540</v>
      </c>
      <c r="U333" s="563">
        <f t="shared" si="146"/>
        <v>49412</v>
      </c>
      <c r="V333" s="563">
        <f t="shared" si="146"/>
        <v>98943</v>
      </c>
      <c r="W333" s="563">
        <f t="shared" si="146"/>
        <v>855850</v>
      </c>
      <c r="X333" s="563">
        <f t="shared" si="146"/>
        <v>176786619</v>
      </c>
      <c r="Y333" s="563">
        <f t="shared" si="146"/>
        <v>3588035000</v>
      </c>
      <c r="Z333" s="563">
        <f t="shared" si="146"/>
        <v>8604984</v>
      </c>
      <c r="AA333" s="563">
        <f t="shared" si="146"/>
        <v>310654</v>
      </c>
      <c r="AB333" s="563">
        <f t="shared" si="146"/>
        <v>5136749</v>
      </c>
      <c r="AC333" s="563">
        <f t="shared" si="146"/>
        <v>0</v>
      </c>
      <c r="AD333" s="563">
        <f t="shared" si="146"/>
        <v>1656235</v>
      </c>
      <c r="AE333" s="563">
        <f t="shared" si="146"/>
        <v>218282</v>
      </c>
      <c r="AF333" s="563">
        <f t="shared" si="146"/>
        <v>41629180</v>
      </c>
      <c r="AG333" s="563">
        <f t="shared" si="146"/>
        <v>3665922</v>
      </c>
      <c r="AH333" s="563">
        <f t="shared" si="146"/>
        <v>635714</v>
      </c>
      <c r="AI333" s="563">
        <f t="shared" si="146"/>
        <v>8931678</v>
      </c>
      <c r="AJ333" s="563">
        <f t="shared" ref="AJ333:BO333" si="147">AJ260</f>
        <v>282490</v>
      </c>
      <c r="AK333" s="563">
        <f t="shared" si="147"/>
        <v>899717</v>
      </c>
      <c r="AL333" s="563">
        <f t="shared" si="147"/>
        <v>126865</v>
      </c>
      <c r="AM333" s="563">
        <f t="shared" si="147"/>
        <v>0</v>
      </c>
      <c r="AN333" s="563">
        <f t="shared" si="147"/>
        <v>587611</v>
      </c>
      <c r="AO333" s="563">
        <f t="shared" si="147"/>
        <v>0</v>
      </c>
      <c r="AP333" s="563">
        <f t="shared" si="147"/>
        <v>1299</v>
      </c>
      <c r="AQ333" s="563">
        <f t="shared" si="147"/>
        <v>130183503</v>
      </c>
      <c r="AR333" s="563">
        <f t="shared" si="147"/>
        <v>34454</v>
      </c>
      <c r="AS333" s="563">
        <f t="shared" si="147"/>
        <v>263333</v>
      </c>
      <c r="AT333" s="563">
        <f t="shared" si="147"/>
        <v>9763703</v>
      </c>
      <c r="AU333" s="563">
        <f t="shared" si="147"/>
        <v>300404</v>
      </c>
      <c r="AV333" s="563">
        <f t="shared" si="147"/>
        <v>203073</v>
      </c>
      <c r="AW333" s="563">
        <f t="shared" si="147"/>
        <v>44106139</v>
      </c>
      <c r="AX333" s="563">
        <f t="shared" si="147"/>
        <v>112971</v>
      </c>
      <c r="AY333" s="563">
        <f t="shared" si="147"/>
        <v>8644749</v>
      </c>
      <c r="AZ333" s="563">
        <f t="shared" si="147"/>
        <v>5542268</v>
      </c>
      <c r="BA333" s="563">
        <f t="shared" si="147"/>
        <v>13651</v>
      </c>
      <c r="BB333" s="563">
        <f t="shared" si="147"/>
        <v>2458</v>
      </c>
      <c r="BC333" s="563">
        <f t="shared" si="147"/>
        <v>4234712</v>
      </c>
      <c r="BD333" s="563">
        <f t="shared" si="147"/>
        <v>29863</v>
      </c>
      <c r="BE333" s="563">
        <f t="shared" si="147"/>
        <v>31155196</v>
      </c>
      <c r="BF333" s="563">
        <f t="shared" si="147"/>
        <v>986264</v>
      </c>
      <c r="BG333" s="563">
        <f t="shared" si="147"/>
        <v>46289</v>
      </c>
      <c r="BH333" s="563">
        <f t="shared" si="147"/>
        <v>137989</v>
      </c>
      <c r="BI333" s="563">
        <f t="shared" si="147"/>
        <v>1487412</v>
      </c>
      <c r="BJ333" s="563">
        <f t="shared" si="147"/>
        <v>88109</v>
      </c>
      <c r="BK333" s="563">
        <f t="shared" si="147"/>
        <v>237878</v>
      </c>
      <c r="BL333" s="563">
        <f t="shared" si="147"/>
        <v>940293</v>
      </c>
      <c r="BM333" s="563">
        <f t="shared" si="147"/>
        <v>250345</v>
      </c>
      <c r="BN333" s="563">
        <f t="shared" si="147"/>
        <v>10960308</v>
      </c>
      <c r="BO333" s="563">
        <f t="shared" si="147"/>
        <v>20630536</v>
      </c>
      <c r="BP333" s="563">
        <f t="shared" ref="BP333:CZ333" si="148">BP260</f>
        <v>611589752</v>
      </c>
      <c r="BQ333" s="563">
        <f t="shared" si="148"/>
        <v>36567</v>
      </c>
      <c r="BR333" s="563">
        <f t="shared" si="148"/>
        <v>0</v>
      </c>
      <c r="BS333" s="563">
        <f t="shared" si="148"/>
        <v>202349</v>
      </c>
      <c r="BT333" s="563">
        <f t="shared" si="148"/>
        <v>0</v>
      </c>
      <c r="BU333" s="563">
        <f t="shared" si="148"/>
        <v>689581</v>
      </c>
      <c r="BV333" s="563">
        <f t="shared" si="148"/>
        <v>1332973</v>
      </c>
      <c r="BW333" s="563">
        <f t="shared" si="148"/>
        <v>24711251</v>
      </c>
      <c r="BX333" s="563">
        <f t="shared" si="148"/>
        <v>8794156</v>
      </c>
      <c r="BY333" s="563">
        <f t="shared" si="148"/>
        <v>0</v>
      </c>
      <c r="BZ333" s="563">
        <f t="shared" si="148"/>
        <v>7794985</v>
      </c>
      <c r="CA333" s="563">
        <f t="shared" si="148"/>
        <v>564549</v>
      </c>
      <c r="CB333" s="563">
        <f t="shared" si="148"/>
        <v>2297082</v>
      </c>
      <c r="CC333" s="563">
        <f t="shared" si="148"/>
        <v>146299</v>
      </c>
      <c r="CD333" s="563">
        <f t="shared" si="148"/>
        <v>636937</v>
      </c>
      <c r="CE333" s="563">
        <f t="shared" si="148"/>
        <v>0</v>
      </c>
      <c r="CF333" s="563">
        <f t="shared" si="148"/>
        <v>5454409</v>
      </c>
      <c r="CG333" s="563">
        <f t="shared" si="148"/>
        <v>9015884</v>
      </c>
      <c r="CH333" s="563">
        <f t="shared" si="148"/>
        <v>1104890</v>
      </c>
      <c r="CI333" s="563">
        <f t="shared" si="148"/>
        <v>3164277</v>
      </c>
      <c r="CJ333" s="563">
        <f t="shared" si="148"/>
        <v>0</v>
      </c>
      <c r="CK333" s="563">
        <f t="shared" si="148"/>
        <v>647</v>
      </c>
      <c r="CL333" s="563">
        <f t="shared" si="148"/>
        <v>0</v>
      </c>
      <c r="CM333" s="563">
        <f t="shared" si="148"/>
        <v>0</v>
      </c>
      <c r="CN333" s="563">
        <f t="shared" si="148"/>
        <v>0</v>
      </c>
      <c r="CO333" s="563">
        <f t="shared" si="148"/>
        <v>0</v>
      </c>
      <c r="CP333" s="563">
        <f t="shared" si="148"/>
        <v>0</v>
      </c>
      <c r="CQ333" s="563">
        <f t="shared" si="148"/>
        <v>0</v>
      </c>
      <c r="CR333" s="563">
        <f t="shared" si="148"/>
        <v>0</v>
      </c>
      <c r="CS333" s="563">
        <f t="shared" si="148"/>
        <v>0</v>
      </c>
      <c r="CT333" s="563">
        <f t="shared" si="148"/>
        <v>0</v>
      </c>
      <c r="CU333" s="563">
        <f t="shared" si="148"/>
        <v>0</v>
      </c>
      <c r="CV333" s="563">
        <f t="shared" si="148"/>
        <v>0</v>
      </c>
      <c r="CW333" s="563">
        <f t="shared" si="148"/>
        <v>0</v>
      </c>
      <c r="CX333" s="563">
        <f t="shared" si="148"/>
        <v>0</v>
      </c>
      <c r="CY333" s="563">
        <f t="shared" si="148"/>
        <v>0</v>
      </c>
      <c r="CZ333" s="563">
        <f t="shared" si="148"/>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3">
        <f>D329+D331+D332+D333</f>
        <v>45248876</v>
      </c>
      <c r="E335" s="573">
        <f t="shared" ref="E335:BP335" si="149">E329+E331+E332+E333</f>
        <v>35339721.777500004</v>
      </c>
      <c r="F335" s="573">
        <f t="shared" si="149"/>
        <v>33423099.690000005</v>
      </c>
      <c r="G335" s="573">
        <f t="shared" si="149"/>
        <v>13627515.52</v>
      </c>
      <c r="H335" s="573">
        <f t="shared" si="149"/>
        <v>0</v>
      </c>
      <c r="I335" s="573">
        <f t="shared" si="149"/>
        <v>213743358.08000001</v>
      </c>
      <c r="J335" s="573">
        <f t="shared" si="149"/>
        <v>43544574.072499998</v>
      </c>
      <c r="K335" s="573">
        <f t="shared" si="149"/>
        <v>660907226.95500004</v>
      </c>
      <c r="L335" s="573">
        <f t="shared" si="149"/>
        <v>85390663.651600003</v>
      </c>
      <c r="M335" s="573">
        <f t="shared" si="149"/>
        <v>593964905.47490001</v>
      </c>
      <c r="N335" s="573">
        <f t="shared" si="149"/>
        <v>0</v>
      </c>
      <c r="O335" s="573">
        <f t="shared" si="149"/>
        <v>13735231872.115</v>
      </c>
      <c r="P335" s="573">
        <f t="shared" si="149"/>
        <v>1488607.93</v>
      </c>
      <c r="Q335" s="573">
        <f t="shared" si="149"/>
        <v>5364614.62</v>
      </c>
      <c r="R335" s="573">
        <f t="shared" si="149"/>
        <v>45476173.560000002</v>
      </c>
      <c r="S335" s="573">
        <f t="shared" si="149"/>
        <v>22721435.309999999</v>
      </c>
      <c r="T335" s="573">
        <f t="shared" si="149"/>
        <v>36962045.907499999</v>
      </c>
      <c r="U335" s="573">
        <f t="shared" si="149"/>
        <v>5747112.1399999997</v>
      </c>
      <c r="V335" s="573">
        <f t="shared" si="149"/>
        <v>17716818.549999997</v>
      </c>
      <c r="W335" s="573">
        <f t="shared" si="149"/>
        <v>103985075.94999999</v>
      </c>
      <c r="X335" s="573">
        <f t="shared" si="149"/>
        <v>1924770605.7720001</v>
      </c>
      <c r="Y335" s="573">
        <f t="shared" si="149"/>
        <v>66127420393.18</v>
      </c>
      <c r="Z335" s="573">
        <f t="shared" si="149"/>
        <v>324528005.28000003</v>
      </c>
      <c r="AA335" s="573">
        <f t="shared" si="149"/>
        <v>32472942.390000001</v>
      </c>
      <c r="AB335" s="573">
        <f t="shared" si="149"/>
        <v>83821253.010000005</v>
      </c>
      <c r="AC335" s="573">
        <f t="shared" si="149"/>
        <v>0</v>
      </c>
      <c r="AD335" s="573">
        <f t="shared" si="149"/>
        <v>166443066.28</v>
      </c>
      <c r="AE335" s="573">
        <f t="shared" si="149"/>
        <v>56407950.020000003</v>
      </c>
      <c r="AF335" s="573">
        <f t="shared" si="149"/>
        <v>1732284309.5</v>
      </c>
      <c r="AG335" s="573">
        <f t="shared" si="149"/>
        <v>318484128.47500002</v>
      </c>
      <c r="AH335" s="573">
        <f t="shared" si="149"/>
        <v>76375584.149999991</v>
      </c>
      <c r="AI335" s="573">
        <f t="shared" si="149"/>
        <v>447754164.34000003</v>
      </c>
      <c r="AJ335" s="573">
        <f t="shared" si="149"/>
        <v>52151053.060000002</v>
      </c>
      <c r="AK335" s="573">
        <f t="shared" si="149"/>
        <v>42732489.280000001</v>
      </c>
      <c r="AL335" s="573">
        <f t="shared" si="149"/>
        <v>27095900.049999997</v>
      </c>
      <c r="AM335" s="573">
        <f t="shared" si="149"/>
        <v>0</v>
      </c>
      <c r="AN335" s="573">
        <f t="shared" si="149"/>
        <v>85209241.710999995</v>
      </c>
      <c r="AO335" s="573">
        <f t="shared" si="149"/>
        <v>0</v>
      </c>
      <c r="AP335" s="573">
        <f t="shared" si="149"/>
        <v>1058894.97</v>
      </c>
      <c r="AQ335" s="573">
        <f t="shared" si="149"/>
        <v>7829639791.5200005</v>
      </c>
      <c r="AR335" s="573">
        <f t="shared" si="149"/>
        <v>4123564.1100000003</v>
      </c>
      <c r="AS335" s="573">
        <f t="shared" si="149"/>
        <v>36824720.810000002</v>
      </c>
      <c r="AT335" s="573">
        <f t="shared" si="149"/>
        <v>611893900.90999997</v>
      </c>
      <c r="AU335" s="573">
        <f t="shared" si="149"/>
        <v>36439310.840000004</v>
      </c>
      <c r="AV335" s="573">
        <f t="shared" si="149"/>
        <v>14771139.380000001</v>
      </c>
      <c r="AW335" s="573">
        <f t="shared" si="149"/>
        <v>963500549.91199994</v>
      </c>
      <c r="AX335" s="573">
        <f t="shared" si="149"/>
        <v>27186085.84</v>
      </c>
      <c r="AY335" s="573">
        <f t="shared" si="149"/>
        <v>141817960.85499999</v>
      </c>
      <c r="AZ335" s="573">
        <f t="shared" si="149"/>
        <v>181404344.35499999</v>
      </c>
      <c r="BA335" s="573">
        <f t="shared" si="149"/>
        <v>32654231.59</v>
      </c>
      <c r="BB335" s="573">
        <f t="shared" si="149"/>
        <v>10014852.75</v>
      </c>
      <c r="BC335" s="573">
        <f t="shared" si="149"/>
        <v>280876452.54999995</v>
      </c>
      <c r="BD335" s="573">
        <f t="shared" si="149"/>
        <v>2265083.79</v>
      </c>
      <c r="BE335" s="573">
        <f t="shared" si="149"/>
        <v>480053803.88999999</v>
      </c>
      <c r="BF335" s="573">
        <f t="shared" si="149"/>
        <v>112686836</v>
      </c>
      <c r="BG335" s="573">
        <f t="shared" si="149"/>
        <v>11096652.550000001</v>
      </c>
      <c r="BH335" s="573">
        <f t="shared" si="149"/>
        <v>8878528.3200000003</v>
      </c>
      <c r="BI335" s="573">
        <f t="shared" si="149"/>
        <v>107036701.72999999</v>
      </c>
      <c r="BJ335" s="573">
        <f t="shared" si="149"/>
        <v>27258238</v>
      </c>
      <c r="BK335" s="573">
        <f t="shared" si="149"/>
        <v>39248256.520000003</v>
      </c>
      <c r="BL335" s="573">
        <f t="shared" si="149"/>
        <v>103922355.93000001</v>
      </c>
      <c r="BM335" s="573">
        <f t="shared" si="149"/>
        <v>28802097.859999999</v>
      </c>
      <c r="BN335" s="573">
        <f t="shared" si="149"/>
        <v>246586568.19999999</v>
      </c>
      <c r="BO335" s="573">
        <f t="shared" si="149"/>
        <v>439031044.16000003</v>
      </c>
      <c r="BP335" s="573">
        <f t="shared" si="149"/>
        <v>14431849049.187698</v>
      </c>
      <c r="BQ335" s="573">
        <f t="shared" ref="BQ335:CZ335" si="150">BQ329+BQ331+BQ332+BQ333</f>
        <v>1562476.66</v>
      </c>
      <c r="BR335" s="573">
        <f t="shared" si="150"/>
        <v>0</v>
      </c>
      <c r="BS335" s="573">
        <f t="shared" si="150"/>
        <v>22943909.93</v>
      </c>
      <c r="BT335" s="573">
        <f t="shared" si="150"/>
        <v>0</v>
      </c>
      <c r="BU335" s="573">
        <f t="shared" si="150"/>
        <v>63759084.380000003</v>
      </c>
      <c r="BV335" s="573">
        <f t="shared" si="150"/>
        <v>74962100.510000005</v>
      </c>
      <c r="BW335" s="573">
        <f t="shared" si="150"/>
        <v>799786383.15999997</v>
      </c>
      <c r="BX335" s="573">
        <f t="shared" si="150"/>
        <v>297431205.68999994</v>
      </c>
      <c r="BY335" s="573">
        <f t="shared" si="150"/>
        <v>0</v>
      </c>
      <c r="BZ335" s="573">
        <f t="shared" si="150"/>
        <v>251917175.755</v>
      </c>
      <c r="CA335" s="573">
        <f t="shared" si="150"/>
        <v>26088748.920000002</v>
      </c>
      <c r="CB335" s="573">
        <f t="shared" si="150"/>
        <v>187745334.2755</v>
      </c>
      <c r="CC335" s="573">
        <f t="shared" si="150"/>
        <v>34500110.280000001</v>
      </c>
      <c r="CD335" s="573">
        <f t="shared" si="150"/>
        <v>49611762.210000001</v>
      </c>
      <c r="CE335" s="573">
        <f t="shared" si="150"/>
        <v>0</v>
      </c>
      <c r="CF335" s="573">
        <f t="shared" si="150"/>
        <v>274759341.44</v>
      </c>
      <c r="CG335" s="573">
        <f t="shared" si="150"/>
        <v>209402646.79499999</v>
      </c>
      <c r="CH335" s="573">
        <f t="shared" si="150"/>
        <v>166263118.02700001</v>
      </c>
      <c r="CI335" s="573">
        <f t="shared" si="150"/>
        <v>84541274.849999994</v>
      </c>
      <c r="CJ335" s="573">
        <f t="shared" si="150"/>
        <v>0</v>
      </c>
      <c r="CK335" s="573">
        <f t="shared" si="150"/>
        <v>9923370.0600000005</v>
      </c>
      <c r="CL335" s="573">
        <f t="shared" si="150"/>
        <v>0</v>
      </c>
      <c r="CM335" s="573">
        <f t="shared" si="150"/>
        <v>0</v>
      </c>
      <c r="CN335" s="573">
        <f t="shared" si="150"/>
        <v>0</v>
      </c>
      <c r="CO335" s="573">
        <f t="shared" si="150"/>
        <v>0</v>
      </c>
      <c r="CP335" s="573">
        <f t="shared" si="150"/>
        <v>0</v>
      </c>
      <c r="CQ335" s="573">
        <f t="shared" si="150"/>
        <v>0</v>
      </c>
      <c r="CR335" s="573">
        <f t="shared" si="150"/>
        <v>0</v>
      </c>
      <c r="CS335" s="573">
        <f t="shared" si="150"/>
        <v>0</v>
      </c>
      <c r="CT335" s="573">
        <f t="shared" si="150"/>
        <v>0</v>
      </c>
      <c r="CU335" s="573">
        <f t="shared" si="150"/>
        <v>0</v>
      </c>
      <c r="CV335" s="573">
        <f t="shared" si="150"/>
        <v>0</v>
      </c>
      <c r="CW335" s="573">
        <f t="shared" si="150"/>
        <v>0</v>
      </c>
      <c r="CX335" s="573">
        <f t="shared" si="150"/>
        <v>0</v>
      </c>
      <c r="CY335" s="573">
        <f t="shared" si="150"/>
        <v>0</v>
      </c>
      <c r="CZ335" s="573">
        <f t="shared" si="150"/>
        <v>0</v>
      </c>
    </row>
    <row r="336" spans="1:104" x14ac:dyDescent="0.3">
      <c r="B336" s="180"/>
      <c r="C336" s="180"/>
      <c r="D336" s="573"/>
      <c r="E336" s="573"/>
      <c r="F336" s="573"/>
      <c r="G336" s="573"/>
      <c r="H336" s="573"/>
      <c r="I336" s="573"/>
      <c r="J336" s="573"/>
      <c r="K336" s="573"/>
      <c r="L336" s="573"/>
      <c r="M336" s="573"/>
      <c r="N336" s="573"/>
      <c r="O336" s="573"/>
      <c r="P336" s="573"/>
      <c r="Q336" s="573"/>
      <c r="R336" s="573"/>
      <c r="S336" s="573"/>
      <c r="T336" s="573"/>
      <c r="U336" s="573"/>
      <c r="V336" s="573"/>
      <c r="W336" s="573"/>
      <c r="X336" s="573"/>
      <c r="Y336" s="573"/>
      <c r="Z336" s="573"/>
      <c r="AA336" s="573"/>
      <c r="AB336" s="573"/>
      <c r="AC336" s="573"/>
      <c r="AD336" s="573"/>
      <c r="AE336" s="573"/>
      <c r="AF336" s="573"/>
      <c r="AG336" s="573"/>
      <c r="AH336" s="573"/>
      <c r="AI336" s="573"/>
      <c r="AJ336" s="573"/>
      <c r="AK336" s="573"/>
      <c r="AL336" s="573"/>
      <c r="AM336" s="573"/>
      <c r="AN336" s="573"/>
      <c r="AO336" s="573"/>
      <c r="AP336" s="573"/>
      <c r="AQ336" s="573"/>
      <c r="AR336" s="573"/>
      <c r="AS336" s="573"/>
      <c r="AT336" s="573"/>
      <c r="AU336" s="573"/>
      <c r="AV336" s="573"/>
      <c r="AW336" s="573"/>
      <c r="AX336" s="573"/>
      <c r="AY336" s="573"/>
      <c r="AZ336" s="573"/>
      <c r="BA336" s="573"/>
      <c r="BB336" s="573"/>
      <c r="BC336" s="573"/>
      <c r="BD336" s="573"/>
      <c r="BE336" s="573"/>
      <c r="BF336" s="573"/>
      <c r="BG336" s="573"/>
      <c r="BH336" s="573"/>
      <c r="BI336" s="573"/>
      <c r="BJ336" s="573"/>
      <c r="BK336" s="573"/>
      <c r="BL336" s="573"/>
      <c r="BM336" s="573"/>
      <c r="BN336" s="573"/>
      <c r="BO336" s="573"/>
      <c r="BP336" s="573"/>
      <c r="BQ336" s="573"/>
      <c r="BR336" s="573"/>
      <c r="BS336" s="573"/>
      <c r="BT336" s="573"/>
      <c r="BU336" s="573"/>
      <c r="BV336" s="573"/>
      <c r="BW336" s="573"/>
      <c r="BX336" s="573"/>
      <c r="BY336" s="573"/>
      <c r="BZ336" s="573"/>
      <c r="CA336" s="573"/>
      <c r="CB336" s="573"/>
      <c r="CC336" s="573"/>
      <c r="CD336" s="573"/>
      <c r="CE336" s="573"/>
      <c r="CF336" s="573"/>
      <c r="CG336" s="573"/>
      <c r="CH336" s="573"/>
      <c r="CI336" s="573"/>
      <c r="CJ336" s="573"/>
      <c r="CK336" s="573"/>
      <c r="CL336" s="573"/>
      <c r="CM336" s="573"/>
      <c r="CN336" s="573"/>
      <c r="CO336" s="573"/>
      <c r="CP336" s="573"/>
      <c r="CQ336" s="573"/>
      <c r="CR336" s="573"/>
      <c r="CS336" s="573"/>
      <c r="CT336" s="573"/>
      <c r="CU336" s="573"/>
      <c r="CV336" s="573"/>
      <c r="CW336" s="573"/>
      <c r="CX336" s="573"/>
      <c r="CY336" s="573"/>
      <c r="CZ336" s="573"/>
    </row>
    <row r="337" spans="2:104" x14ac:dyDescent="0.3">
      <c r="B337" s="180"/>
      <c r="C337" s="180"/>
      <c r="D337" s="573" t="e">
        <f>'Unit Data from Audit Worksheet'!$E$299</f>
        <v>#N/A</v>
      </c>
      <c r="E337" s="573" t="e">
        <f>'Unit Data from Audit Worksheet'!$E$299</f>
        <v>#N/A</v>
      </c>
      <c r="F337" s="573" t="e">
        <f>'Unit Data from Audit Worksheet'!$E$299</f>
        <v>#N/A</v>
      </c>
      <c r="G337" s="573" t="e">
        <f>'Unit Data from Audit Worksheet'!$E$299</f>
        <v>#N/A</v>
      </c>
      <c r="H337" s="573" t="e">
        <f>'Unit Data from Audit Worksheet'!$E$299</f>
        <v>#N/A</v>
      </c>
      <c r="I337" s="573" t="e">
        <f>'Unit Data from Audit Worksheet'!$E$299</f>
        <v>#N/A</v>
      </c>
      <c r="J337" s="573" t="e">
        <f>'Unit Data from Audit Worksheet'!$E$299</f>
        <v>#N/A</v>
      </c>
      <c r="K337" s="573" t="e">
        <f>'Unit Data from Audit Worksheet'!$E$299</f>
        <v>#N/A</v>
      </c>
      <c r="L337" s="573" t="e">
        <f>'Unit Data from Audit Worksheet'!$E$299</f>
        <v>#N/A</v>
      </c>
      <c r="M337" s="573" t="e">
        <f>'Unit Data from Audit Worksheet'!$E$299</f>
        <v>#N/A</v>
      </c>
      <c r="N337" s="573" t="e">
        <f>'Unit Data from Audit Worksheet'!$E$299</f>
        <v>#N/A</v>
      </c>
      <c r="O337" s="573" t="e">
        <f>'Unit Data from Audit Worksheet'!$E$299</f>
        <v>#N/A</v>
      </c>
      <c r="P337" s="573" t="e">
        <f>'Unit Data from Audit Worksheet'!$E$299</f>
        <v>#N/A</v>
      </c>
      <c r="Q337" s="573" t="e">
        <f>'Unit Data from Audit Worksheet'!$E$299</f>
        <v>#N/A</v>
      </c>
      <c r="R337" s="573" t="e">
        <f>'Unit Data from Audit Worksheet'!$E$299</f>
        <v>#N/A</v>
      </c>
      <c r="S337" s="573" t="e">
        <f>'Unit Data from Audit Worksheet'!$E$299</f>
        <v>#N/A</v>
      </c>
      <c r="T337" s="573" t="e">
        <f>'Unit Data from Audit Worksheet'!$E$299</f>
        <v>#N/A</v>
      </c>
      <c r="U337" s="573" t="e">
        <f>'Unit Data from Audit Worksheet'!$E$299</f>
        <v>#N/A</v>
      </c>
      <c r="V337" s="573" t="e">
        <f>'Unit Data from Audit Worksheet'!$E$299</f>
        <v>#N/A</v>
      </c>
      <c r="W337" s="573" t="e">
        <f>'Unit Data from Audit Worksheet'!$E$299</f>
        <v>#N/A</v>
      </c>
      <c r="X337" s="573" t="e">
        <f>'Unit Data from Audit Worksheet'!$E$299</f>
        <v>#N/A</v>
      </c>
      <c r="Y337" s="573" t="e">
        <f>'Unit Data from Audit Worksheet'!$E$299</f>
        <v>#N/A</v>
      </c>
      <c r="Z337" s="573" t="e">
        <f>'Unit Data from Audit Worksheet'!$E$299</f>
        <v>#N/A</v>
      </c>
      <c r="AA337" s="573" t="e">
        <f>'Unit Data from Audit Worksheet'!$E$299</f>
        <v>#N/A</v>
      </c>
      <c r="AB337" s="573" t="e">
        <f>'Unit Data from Audit Worksheet'!$E$299</f>
        <v>#N/A</v>
      </c>
      <c r="AC337" s="573" t="e">
        <f>'Unit Data from Audit Worksheet'!$E$299</f>
        <v>#N/A</v>
      </c>
      <c r="AD337" s="573" t="e">
        <f>'Unit Data from Audit Worksheet'!$E$299</f>
        <v>#N/A</v>
      </c>
      <c r="AE337" s="573" t="e">
        <f>'Unit Data from Audit Worksheet'!$E$299</f>
        <v>#N/A</v>
      </c>
      <c r="AF337" s="573" t="e">
        <f>'Unit Data from Audit Worksheet'!$E$299</f>
        <v>#N/A</v>
      </c>
      <c r="AG337" s="573" t="e">
        <f>'Unit Data from Audit Worksheet'!$E$299</f>
        <v>#N/A</v>
      </c>
      <c r="AH337" s="573" t="e">
        <f>'Unit Data from Audit Worksheet'!$E$299</f>
        <v>#N/A</v>
      </c>
      <c r="AI337" s="573" t="e">
        <f>'Unit Data from Audit Worksheet'!$E$299</f>
        <v>#N/A</v>
      </c>
      <c r="AJ337" s="573" t="e">
        <f>'Unit Data from Audit Worksheet'!$E$299</f>
        <v>#N/A</v>
      </c>
      <c r="AK337" s="573" t="e">
        <f>'Unit Data from Audit Worksheet'!$E$299</f>
        <v>#N/A</v>
      </c>
      <c r="AL337" s="573" t="e">
        <f>'Unit Data from Audit Worksheet'!$E$299</f>
        <v>#N/A</v>
      </c>
      <c r="AM337" s="573" t="e">
        <f>'Unit Data from Audit Worksheet'!$E$299</f>
        <v>#N/A</v>
      </c>
      <c r="AN337" s="573" t="e">
        <f>'Unit Data from Audit Worksheet'!$E$299</f>
        <v>#N/A</v>
      </c>
      <c r="AO337" s="573" t="e">
        <f>'Unit Data from Audit Worksheet'!$E$299</f>
        <v>#N/A</v>
      </c>
      <c r="AP337" s="573" t="e">
        <f>'Unit Data from Audit Worksheet'!$E$299</f>
        <v>#N/A</v>
      </c>
      <c r="AQ337" s="573" t="e">
        <f>'Unit Data from Audit Worksheet'!$E$299</f>
        <v>#N/A</v>
      </c>
      <c r="AR337" s="573" t="e">
        <f>'Unit Data from Audit Worksheet'!$E$299</f>
        <v>#N/A</v>
      </c>
      <c r="AS337" s="573" t="e">
        <f>'Unit Data from Audit Worksheet'!$E$299</f>
        <v>#N/A</v>
      </c>
      <c r="AT337" s="573" t="e">
        <f>'Unit Data from Audit Worksheet'!$E$299</f>
        <v>#N/A</v>
      </c>
      <c r="AU337" s="573" t="e">
        <f>'Unit Data from Audit Worksheet'!$E$299</f>
        <v>#N/A</v>
      </c>
      <c r="AV337" s="573" t="e">
        <f>'Unit Data from Audit Worksheet'!$E$299</f>
        <v>#N/A</v>
      </c>
      <c r="AW337" s="573" t="e">
        <f>'Unit Data from Audit Worksheet'!$E$299</f>
        <v>#N/A</v>
      </c>
      <c r="AX337" s="573" t="e">
        <f>'Unit Data from Audit Worksheet'!$E$299</f>
        <v>#N/A</v>
      </c>
      <c r="AY337" s="573" t="e">
        <f>'Unit Data from Audit Worksheet'!$E$299</f>
        <v>#N/A</v>
      </c>
      <c r="AZ337" s="573" t="e">
        <f>'Unit Data from Audit Worksheet'!$E$299</f>
        <v>#N/A</v>
      </c>
      <c r="BA337" s="573" t="e">
        <f>'Unit Data from Audit Worksheet'!$E$299</f>
        <v>#N/A</v>
      </c>
      <c r="BB337" s="573" t="e">
        <f>'Unit Data from Audit Worksheet'!$E$299</f>
        <v>#N/A</v>
      </c>
      <c r="BC337" s="573" t="e">
        <f>'Unit Data from Audit Worksheet'!$E$299</f>
        <v>#N/A</v>
      </c>
      <c r="BD337" s="573" t="e">
        <f>'Unit Data from Audit Worksheet'!$E$299</f>
        <v>#N/A</v>
      </c>
      <c r="BE337" s="573" t="e">
        <f>'Unit Data from Audit Worksheet'!$E$299</f>
        <v>#N/A</v>
      </c>
      <c r="BF337" s="573" t="e">
        <f>'Unit Data from Audit Worksheet'!$E$299</f>
        <v>#N/A</v>
      </c>
      <c r="BG337" s="573" t="e">
        <f>'Unit Data from Audit Worksheet'!$E$299</f>
        <v>#N/A</v>
      </c>
      <c r="BH337" s="573" t="e">
        <f>'Unit Data from Audit Worksheet'!$E$299</f>
        <v>#N/A</v>
      </c>
      <c r="BI337" s="573" t="e">
        <f>'Unit Data from Audit Worksheet'!$E$299</f>
        <v>#N/A</v>
      </c>
      <c r="BJ337" s="573" t="e">
        <f>'Unit Data from Audit Worksheet'!$E$299</f>
        <v>#N/A</v>
      </c>
      <c r="BK337" s="573" t="e">
        <f>'Unit Data from Audit Worksheet'!$E$299</f>
        <v>#N/A</v>
      </c>
      <c r="BL337" s="573" t="e">
        <f>'Unit Data from Audit Worksheet'!$E$299</f>
        <v>#N/A</v>
      </c>
      <c r="BM337" s="573" t="e">
        <f>'Unit Data from Audit Worksheet'!$E$299</f>
        <v>#N/A</v>
      </c>
      <c r="BN337" s="573" t="e">
        <f>'Unit Data from Audit Worksheet'!$E$299</f>
        <v>#N/A</v>
      </c>
      <c r="BO337" s="573" t="e">
        <f>'Unit Data from Audit Worksheet'!$E$299</f>
        <v>#N/A</v>
      </c>
      <c r="BP337" s="573" t="e">
        <f>'Unit Data from Audit Worksheet'!$E$299</f>
        <v>#N/A</v>
      </c>
      <c r="BQ337" s="573" t="e">
        <f>'Unit Data from Audit Worksheet'!$E$299</f>
        <v>#N/A</v>
      </c>
      <c r="BR337" s="573" t="e">
        <f>'Unit Data from Audit Worksheet'!$E$299</f>
        <v>#N/A</v>
      </c>
      <c r="BS337" s="573" t="e">
        <f>'Unit Data from Audit Worksheet'!$E$299</f>
        <v>#N/A</v>
      </c>
      <c r="BT337" s="573" t="e">
        <f>'Unit Data from Audit Worksheet'!$E$299</f>
        <v>#N/A</v>
      </c>
      <c r="BU337" s="573" t="e">
        <f>'Unit Data from Audit Worksheet'!$E$299</f>
        <v>#N/A</v>
      </c>
      <c r="BV337" s="573" t="e">
        <f>'Unit Data from Audit Worksheet'!$E$299</f>
        <v>#N/A</v>
      </c>
      <c r="BW337" s="573" t="e">
        <f>'Unit Data from Audit Worksheet'!$E$299</f>
        <v>#N/A</v>
      </c>
      <c r="BX337" s="573" t="e">
        <f>'Unit Data from Audit Worksheet'!$E$299</f>
        <v>#N/A</v>
      </c>
      <c r="BY337" s="573" t="e">
        <f>'Unit Data from Audit Worksheet'!$E$299</f>
        <v>#N/A</v>
      </c>
      <c r="BZ337" s="573" t="e">
        <f>'Unit Data from Audit Worksheet'!$E$299</f>
        <v>#N/A</v>
      </c>
      <c r="CA337" s="573" t="e">
        <f>'Unit Data from Audit Worksheet'!$E$299</f>
        <v>#N/A</v>
      </c>
      <c r="CB337" s="573" t="e">
        <f>'Unit Data from Audit Worksheet'!$E$299</f>
        <v>#N/A</v>
      </c>
      <c r="CC337" s="573" t="e">
        <f>'Unit Data from Audit Worksheet'!$E$299</f>
        <v>#N/A</v>
      </c>
      <c r="CD337" s="573" t="e">
        <f>'Unit Data from Audit Worksheet'!$E$299</f>
        <v>#N/A</v>
      </c>
      <c r="CE337" s="573" t="e">
        <f>'Unit Data from Audit Worksheet'!$E$299</f>
        <v>#N/A</v>
      </c>
      <c r="CF337" s="573" t="e">
        <f>'Unit Data from Audit Worksheet'!$E$299</f>
        <v>#N/A</v>
      </c>
      <c r="CG337" s="573" t="e">
        <f>'Unit Data from Audit Worksheet'!$E$299</f>
        <v>#N/A</v>
      </c>
      <c r="CH337" s="573" t="e">
        <f>'Unit Data from Audit Worksheet'!$E$299</f>
        <v>#N/A</v>
      </c>
      <c r="CI337" s="573" t="e">
        <f>'Unit Data from Audit Worksheet'!$E$299</f>
        <v>#N/A</v>
      </c>
      <c r="CJ337" s="573" t="e">
        <f>'Unit Data from Audit Worksheet'!$E$299</f>
        <v>#N/A</v>
      </c>
      <c r="CK337" s="573" t="e">
        <f>'Unit Data from Audit Worksheet'!$E$299</f>
        <v>#N/A</v>
      </c>
      <c r="CL337" s="573" t="e">
        <f>'Unit Data from Audit Worksheet'!$E$299</f>
        <v>#N/A</v>
      </c>
      <c r="CM337" s="573" t="e">
        <f>'Unit Data from Audit Worksheet'!$E$299</f>
        <v>#N/A</v>
      </c>
      <c r="CN337" s="573" t="e">
        <f>'Unit Data from Audit Worksheet'!$E$299</f>
        <v>#N/A</v>
      </c>
      <c r="CO337" s="573" t="e">
        <f>'Unit Data from Audit Worksheet'!$E$299</f>
        <v>#N/A</v>
      </c>
      <c r="CP337" s="573" t="e">
        <f>'Unit Data from Audit Worksheet'!$E$299</f>
        <v>#N/A</v>
      </c>
      <c r="CQ337" s="573" t="e">
        <f>'Unit Data from Audit Worksheet'!$E$299</f>
        <v>#N/A</v>
      </c>
      <c r="CR337" s="573" t="e">
        <f>'Unit Data from Audit Worksheet'!$E$299</f>
        <v>#N/A</v>
      </c>
      <c r="CS337" s="573" t="e">
        <f>'Unit Data from Audit Worksheet'!$E$299</f>
        <v>#N/A</v>
      </c>
      <c r="CT337" s="573" t="e">
        <f>'Unit Data from Audit Worksheet'!$E$299</f>
        <v>#N/A</v>
      </c>
      <c r="CU337" s="573" t="e">
        <f>'Unit Data from Audit Worksheet'!$E$299</f>
        <v>#N/A</v>
      </c>
      <c r="CV337" s="573" t="e">
        <f>'Unit Data from Audit Worksheet'!$E$299</f>
        <v>#N/A</v>
      </c>
      <c r="CW337" s="573" t="e">
        <f>'Unit Data from Audit Worksheet'!$E$299</f>
        <v>#N/A</v>
      </c>
      <c r="CX337" s="573" t="e">
        <f>'Unit Data from Audit Worksheet'!$E$299</f>
        <v>#N/A</v>
      </c>
      <c r="CY337" s="573" t="e">
        <f>'Unit Data from Audit Worksheet'!$E$299</f>
        <v>#N/A</v>
      </c>
      <c r="CZ337" s="573" t="e">
        <f>'Unit Data from Audit Worksheet'!$E$299</f>
        <v>#N/A</v>
      </c>
    </row>
    <row r="338" spans="2:104" x14ac:dyDescent="0.3">
      <c r="B338" s="180"/>
      <c r="C338" s="180"/>
      <c r="D338" s="573"/>
      <c r="E338" s="573"/>
      <c r="F338" s="573"/>
      <c r="G338" s="573"/>
      <c r="H338" s="573"/>
      <c r="I338" s="573"/>
      <c r="J338" s="573"/>
      <c r="K338" s="573"/>
      <c r="L338" s="573"/>
      <c r="M338" s="573"/>
      <c r="N338" s="573"/>
      <c r="O338" s="573"/>
      <c r="P338" s="573"/>
      <c r="Q338" s="573"/>
      <c r="R338" s="573"/>
      <c r="S338" s="573"/>
      <c r="T338" s="573"/>
      <c r="U338" s="573"/>
      <c r="V338" s="573"/>
      <c r="W338" s="573"/>
      <c r="X338" s="573"/>
      <c r="Y338" s="573"/>
      <c r="Z338" s="573"/>
      <c r="AA338" s="573"/>
      <c r="AB338" s="573"/>
      <c r="AC338" s="573"/>
      <c r="AD338" s="573"/>
      <c r="AE338" s="573"/>
      <c r="AF338" s="573"/>
      <c r="AG338" s="573"/>
      <c r="AH338" s="573"/>
      <c r="AI338" s="573"/>
      <c r="AJ338" s="573"/>
      <c r="AK338" s="573"/>
      <c r="AL338" s="573"/>
      <c r="AM338" s="573"/>
      <c r="AN338" s="573"/>
      <c r="AO338" s="573"/>
      <c r="AP338" s="573"/>
      <c r="AQ338" s="573"/>
      <c r="AR338" s="573"/>
      <c r="AS338" s="573"/>
      <c r="AT338" s="573"/>
      <c r="AU338" s="573"/>
      <c r="AV338" s="573"/>
      <c r="AW338" s="573"/>
      <c r="AX338" s="573"/>
      <c r="AY338" s="573"/>
      <c r="AZ338" s="573"/>
      <c r="BA338" s="573"/>
      <c r="BB338" s="573"/>
      <c r="BC338" s="573"/>
      <c r="BD338" s="573"/>
      <c r="BE338" s="573"/>
      <c r="BF338" s="573"/>
      <c r="BG338" s="573"/>
      <c r="BH338" s="573"/>
      <c r="BI338" s="573"/>
      <c r="BJ338" s="573"/>
      <c r="BK338" s="573"/>
      <c r="BL338" s="573"/>
      <c r="BM338" s="573"/>
      <c r="BN338" s="573"/>
      <c r="BO338" s="573"/>
      <c r="BP338" s="573"/>
      <c r="BQ338" s="573"/>
      <c r="BR338" s="573"/>
      <c r="BS338" s="573"/>
      <c r="BT338" s="573"/>
      <c r="BU338" s="573"/>
      <c r="BV338" s="573"/>
      <c r="BW338" s="573"/>
      <c r="BX338" s="573"/>
      <c r="BY338" s="573"/>
      <c r="BZ338" s="573"/>
      <c r="CA338" s="573"/>
      <c r="CB338" s="573"/>
      <c r="CC338" s="573"/>
      <c r="CD338" s="573"/>
      <c r="CE338" s="573"/>
      <c r="CF338" s="573"/>
      <c r="CG338" s="573"/>
      <c r="CH338" s="573"/>
      <c r="CI338" s="573"/>
      <c r="CJ338" s="573"/>
      <c r="CK338" s="573"/>
      <c r="CL338" s="573"/>
      <c r="CM338" s="573"/>
      <c r="CN338" s="573"/>
      <c r="CO338" s="573"/>
      <c r="CP338" s="573"/>
      <c r="CQ338" s="573"/>
      <c r="CR338" s="573"/>
      <c r="CS338" s="573"/>
      <c r="CT338" s="573"/>
      <c r="CU338" s="573"/>
      <c r="CV338" s="573"/>
      <c r="CW338" s="573"/>
      <c r="CX338" s="573"/>
      <c r="CY338" s="573"/>
      <c r="CZ338" s="573"/>
    </row>
    <row r="339" spans="2:104" x14ac:dyDescent="0.3">
      <c r="B339" s="180"/>
      <c r="C339" s="180"/>
      <c r="D339" s="573" t="e">
        <f>D335-D337</f>
        <v>#N/A</v>
      </c>
      <c r="E339" s="573" t="e">
        <f t="shared" ref="E339:BP339" si="151">E335-E337</f>
        <v>#N/A</v>
      </c>
      <c r="F339" s="573" t="e">
        <f t="shared" si="151"/>
        <v>#N/A</v>
      </c>
      <c r="G339" s="573" t="e">
        <f t="shared" si="151"/>
        <v>#N/A</v>
      </c>
      <c r="H339" s="573" t="e">
        <f t="shared" si="151"/>
        <v>#N/A</v>
      </c>
      <c r="I339" s="573" t="e">
        <f t="shared" si="151"/>
        <v>#N/A</v>
      </c>
      <c r="J339" s="573" t="e">
        <f t="shared" si="151"/>
        <v>#N/A</v>
      </c>
      <c r="K339" s="573" t="e">
        <f t="shared" si="151"/>
        <v>#N/A</v>
      </c>
      <c r="L339" s="573" t="e">
        <f t="shared" si="151"/>
        <v>#N/A</v>
      </c>
      <c r="M339" s="573" t="e">
        <f t="shared" si="151"/>
        <v>#N/A</v>
      </c>
      <c r="N339" s="573" t="e">
        <f t="shared" si="151"/>
        <v>#N/A</v>
      </c>
      <c r="O339" s="573" t="e">
        <f t="shared" si="151"/>
        <v>#N/A</v>
      </c>
      <c r="P339" s="573" t="e">
        <f t="shared" si="151"/>
        <v>#N/A</v>
      </c>
      <c r="Q339" s="573" t="e">
        <f t="shared" si="151"/>
        <v>#N/A</v>
      </c>
      <c r="R339" s="573" t="e">
        <f t="shared" si="151"/>
        <v>#N/A</v>
      </c>
      <c r="S339" s="573" t="e">
        <f t="shared" si="151"/>
        <v>#N/A</v>
      </c>
      <c r="T339" s="573" t="e">
        <f t="shared" si="151"/>
        <v>#N/A</v>
      </c>
      <c r="U339" s="573" t="e">
        <f t="shared" si="151"/>
        <v>#N/A</v>
      </c>
      <c r="V339" s="573" t="e">
        <f t="shared" si="151"/>
        <v>#N/A</v>
      </c>
      <c r="W339" s="573" t="e">
        <f t="shared" si="151"/>
        <v>#N/A</v>
      </c>
      <c r="X339" s="573" t="e">
        <f t="shared" si="151"/>
        <v>#N/A</v>
      </c>
      <c r="Y339" s="573" t="e">
        <f t="shared" si="151"/>
        <v>#N/A</v>
      </c>
      <c r="Z339" s="573" t="e">
        <f t="shared" si="151"/>
        <v>#N/A</v>
      </c>
      <c r="AA339" s="573" t="e">
        <f t="shared" si="151"/>
        <v>#N/A</v>
      </c>
      <c r="AB339" s="573" t="e">
        <f t="shared" si="151"/>
        <v>#N/A</v>
      </c>
      <c r="AC339" s="573" t="e">
        <f t="shared" si="151"/>
        <v>#N/A</v>
      </c>
      <c r="AD339" s="573" t="e">
        <f t="shared" si="151"/>
        <v>#N/A</v>
      </c>
      <c r="AE339" s="573" t="e">
        <f t="shared" si="151"/>
        <v>#N/A</v>
      </c>
      <c r="AF339" s="573" t="e">
        <f t="shared" si="151"/>
        <v>#N/A</v>
      </c>
      <c r="AG339" s="573" t="e">
        <f t="shared" si="151"/>
        <v>#N/A</v>
      </c>
      <c r="AH339" s="573" t="e">
        <f t="shared" si="151"/>
        <v>#N/A</v>
      </c>
      <c r="AI339" s="573" t="e">
        <f t="shared" si="151"/>
        <v>#N/A</v>
      </c>
      <c r="AJ339" s="573" t="e">
        <f t="shared" si="151"/>
        <v>#N/A</v>
      </c>
      <c r="AK339" s="573" t="e">
        <f t="shared" si="151"/>
        <v>#N/A</v>
      </c>
      <c r="AL339" s="573" t="e">
        <f t="shared" si="151"/>
        <v>#N/A</v>
      </c>
      <c r="AM339" s="573" t="e">
        <f t="shared" si="151"/>
        <v>#N/A</v>
      </c>
      <c r="AN339" s="573" t="e">
        <f t="shared" si="151"/>
        <v>#N/A</v>
      </c>
      <c r="AO339" s="573" t="e">
        <f t="shared" si="151"/>
        <v>#N/A</v>
      </c>
      <c r="AP339" s="573" t="e">
        <f t="shared" si="151"/>
        <v>#N/A</v>
      </c>
      <c r="AQ339" s="573" t="e">
        <f t="shared" si="151"/>
        <v>#N/A</v>
      </c>
      <c r="AR339" s="573" t="e">
        <f t="shared" si="151"/>
        <v>#N/A</v>
      </c>
      <c r="AS339" s="573" t="e">
        <f t="shared" si="151"/>
        <v>#N/A</v>
      </c>
      <c r="AT339" s="573" t="e">
        <f t="shared" si="151"/>
        <v>#N/A</v>
      </c>
      <c r="AU339" s="573" t="e">
        <f t="shared" si="151"/>
        <v>#N/A</v>
      </c>
      <c r="AV339" s="573" t="e">
        <f t="shared" si="151"/>
        <v>#N/A</v>
      </c>
      <c r="AW339" s="573" t="e">
        <f t="shared" si="151"/>
        <v>#N/A</v>
      </c>
      <c r="AX339" s="573" t="e">
        <f t="shared" si="151"/>
        <v>#N/A</v>
      </c>
      <c r="AY339" s="573" t="e">
        <f t="shared" si="151"/>
        <v>#N/A</v>
      </c>
      <c r="AZ339" s="573" t="e">
        <f t="shared" si="151"/>
        <v>#N/A</v>
      </c>
      <c r="BA339" s="573" t="e">
        <f t="shared" si="151"/>
        <v>#N/A</v>
      </c>
      <c r="BB339" s="573" t="e">
        <f t="shared" si="151"/>
        <v>#N/A</v>
      </c>
      <c r="BC339" s="573" t="e">
        <f t="shared" si="151"/>
        <v>#N/A</v>
      </c>
      <c r="BD339" s="573" t="e">
        <f t="shared" si="151"/>
        <v>#N/A</v>
      </c>
      <c r="BE339" s="573" t="e">
        <f t="shared" si="151"/>
        <v>#N/A</v>
      </c>
      <c r="BF339" s="573" t="e">
        <f t="shared" si="151"/>
        <v>#N/A</v>
      </c>
      <c r="BG339" s="573" t="e">
        <f t="shared" si="151"/>
        <v>#N/A</v>
      </c>
      <c r="BH339" s="573" t="e">
        <f t="shared" si="151"/>
        <v>#N/A</v>
      </c>
      <c r="BI339" s="573" t="e">
        <f t="shared" si="151"/>
        <v>#N/A</v>
      </c>
      <c r="BJ339" s="573" t="e">
        <f t="shared" si="151"/>
        <v>#N/A</v>
      </c>
      <c r="BK339" s="573" t="e">
        <f t="shared" si="151"/>
        <v>#N/A</v>
      </c>
      <c r="BL339" s="573" t="e">
        <f t="shared" si="151"/>
        <v>#N/A</v>
      </c>
      <c r="BM339" s="573" t="e">
        <f t="shared" si="151"/>
        <v>#N/A</v>
      </c>
      <c r="BN339" s="573" t="e">
        <f t="shared" si="151"/>
        <v>#N/A</v>
      </c>
      <c r="BO339" s="573" t="e">
        <f t="shared" si="151"/>
        <v>#N/A</v>
      </c>
      <c r="BP339" s="573" t="e">
        <f t="shared" si="151"/>
        <v>#N/A</v>
      </c>
      <c r="BQ339" s="573" t="e">
        <f t="shared" ref="BQ339:CZ339" si="152">BQ335-BQ337</f>
        <v>#N/A</v>
      </c>
      <c r="BR339" s="573" t="e">
        <f t="shared" si="152"/>
        <v>#N/A</v>
      </c>
      <c r="BS339" s="573" t="e">
        <f t="shared" si="152"/>
        <v>#N/A</v>
      </c>
      <c r="BT339" s="573" t="e">
        <f t="shared" si="152"/>
        <v>#N/A</v>
      </c>
      <c r="BU339" s="573" t="e">
        <f t="shared" si="152"/>
        <v>#N/A</v>
      </c>
      <c r="BV339" s="573" t="e">
        <f t="shared" si="152"/>
        <v>#N/A</v>
      </c>
      <c r="BW339" s="573" t="e">
        <f t="shared" si="152"/>
        <v>#N/A</v>
      </c>
      <c r="BX339" s="573" t="e">
        <f t="shared" si="152"/>
        <v>#N/A</v>
      </c>
      <c r="BY339" s="573" t="e">
        <f t="shared" si="152"/>
        <v>#N/A</v>
      </c>
      <c r="BZ339" s="573" t="e">
        <f t="shared" si="152"/>
        <v>#N/A</v>
      </c>
      <c r="CA339" s="573" t="e">
        <f t="shared" si="152"/>
        <v>#N/A</v>
      </c>
      <c r="CB339" s="573" t="e">
        <f t="shared" si="152"/>
        <v>#N/A</v>
      </c>
      <c r="CC339" s="573" t="e">
        <f t="shared" si="152"/>
        <v>#N/A</v>
      </c>
      <c r="CD339" s="573" t="e">
        <f t="shared" si="152"/>
        <v>#N/A</v>
      </c>
      <c r="CE339" s="573" t="e">
        <f t="shared" si="152"/>
        <v>#N/A</v>
      </c>
      <c r="CF339" s="573" t="e">
        <f t="shared" si="152"/>
        <v>#N/A</v>
      </c>
      <c r="CG339" s="573" t="e">
        <f t="shared" si="152"/>
        <v>#N/A</v>
      </c>
      <c r="CH339" s="573" t="e">
        <f t="shared" si="152"/>
        <v>#N/A</v>
      </c>
      <c r="CI339" s="573" t="e">
        <f t="shared" si="152"/>
        <v>#N/A</v>
      </c>
      <c r="CJ339" s="573" t="e">
        <f t="shared" si="152"/>
        <v>#N/A</v>
      </c>
      <c r="CK339" s="573" t="e">
        <f t="shared" si="152"/>
        <v>#N/A</v>
      </c>
      <c r="CL339" s="573" t="e">
        <f t="shared" si="152"/>
        <v>#N/A</v>
      </c>
      <c r="CM339" s="573" t="e">
        <f t="shared" si="152"/>
        <v>#N/A</v>
      </c>
      <c r="CN339" s="573" t="e">
        <f t="shared" si="152"/>
        <v>#N/A</v>
      </c>
      <c r="CO339" s="573" t="e">
        <f t="shared" si="152"/>
        <v>#N/A</v>
      </c>
      <c r="CP339" s="573" t="e">
        <f t="shared" si="152"/>
        <v>#N/A</v>
      </c>
      <c r="CQ339" s="573" t="e">
        <f t="shared" si="152"/>
        <v>#N/A</v>
      </c>
      <c r="CR339" s="573" t="e">
        <f t="shared" si="152"/>
        <v>#N/A</v>
      </c>
      <c r="CS339" s="573" t="e">
        <f t="shared" si="152"/>
        <v>#N/A</v>
      </c>
      <c r="CT339" s="573" t="e">
        <f t="shared" si="152"/>
        <v>#N/A</v>
      </c>
      <c r="CU339" s="573" t="e">
        <f t="shared" si="152"/>
        <v>#N/A</v>
      </c>
      <c r="CV339" s="573" t="e">
        <f t="shared" si="152"/>
        <v>#N/A</v>
      </c>
      <c r="CW339" s="573" t="e">
        <f t="shared" si="152"/>
        <v>#N/A</v>
      </c>
      <c r="CX339" s="573" t="e">
        <f t="shared" si="152"/>
        <v>#N/A</v>
      </c>
      <c r="CY339" s="573" t="e">
        <f t="shared" si="152"/>
        <v>#N/A</v>
      </c>
      <c r="CZ339" s="573" t="e">
        <f t="shared" si="152"/>
        <v>#N/A</v>
      </c>
    </row>
    <row r="341" spans="2:104" x14ac:dyDescent="0.3">
      <c r="D341" t="str">
        <f>D1</f>
        <v>Cajah's Mountain</v>
      </c>
      <c r="E341" s="180" t="str">
        <f t="shared" ref="E341:BP341" si="153">E1</f>
        <v>Calabash</v>
      </c>
      <c r="F341" s="180" t="str">
        <f t="shared" si="153"/>
        <v>Calypso</v>
      </c>
      <c r="G341" s="180" t="str">
        <f t="shared" si="153"/>
        <v>Cameron</v>
      </c>
      <c r="H341" s="180" t="str">
        <f t="shared" si="153"/>
        <v>Candor</v>
      </c>
      <c r="I341" s="180" t="str">
        <f t="shared" si="153"/>
        <v>Canton</v>
      </c>
      <c r="J341" s="180" t="str">
        <f t="shared" si="153"/>
        <v>Cape Carteret</v>
      </c>
      <c r="K341" s="180" t="str">
        <f t="shared" si="153"/>
        <v>Carolina Beach</v>
      </c>
      <c r="L341" s="180" t="str">
        <f t="shared" si="153"/>
        <v>Carolina Shores</v>
      </c>
      <c r="M341" s="180" t="str">
        <f t="shared" si="153"/>
        <v>Carrboro</v>
      </c>
      <c r="N341" s="180" t="str">
        <f t="shared" si="153"/>
        <v>Carthage</v>
      </c>
      <c r="O341" s="180" t="str">
        <f t="shared" si="153"/>
        <v>Cary</v>
      </c>
      <c r="P341" s="180" t="str">
        <f t="shared" si="153"/>
        <v>Casar</v>
      </c>
      <c r="Q341" s="180" t="str">
        <f t="shared" si="153"/>
        <v>Castalia</v>
      </c>
      <c r="R341" s="180" t="str">
        <f t="shared" si="153"/>
        <v>Caswell Beach</v>
      </c>
      <c r="S341" s="180" t="str">
        <f t="shared" si="153"/>
        <v>Catawba</v>
      </c>
      <c r="T341" s="180" t="str">
        <f t="shared" si="153"/>
        <v>Cedar Point</v>
      </c>
      <c r="U341" s="180" t="str">
        <f t="shared" si="153"/>
        <v>Cedar Rock</v>
      </c>
      <c r="V341" s="180" t="str">
        <f t="shared" si="153"/>
        <v>Cerro Gordo</v>
      </c>
      <c r="W341" s="180" t="str">
        <f t="shared" si="153"/>
        <v>Chadbourn</v>
      </c>
      <c r="X341" s="180" t="str">
        <f t="shared" si="153"/>
        <v>Chapel Hill</v>
      </c>
      <c r="Y341" s="180" t="str">
        <f t="shared" si="153"/>
        <v>Charlotte</v>
      </c>
      <c r="Z341" s="180" t="str">
        <f t="shared" si="153"/>
        <v>Cherryville</v>
      </c>
      <c r="AA341" s="180" t="str">
        <f t="shared" si="153"/>
        <v>Chimney Rock</v>
      </c>
      <c r="AB341" s="180" t="str">
        <f t="shared" si="153"/>
        <v>China Grove</v>
      </c>
      <c r="AC341" s="180" t="str">
        <f t="shared" si="153"/>
        <v>Chocowinity</v>
      </c>
      <c r="AD341" s="180" t="str">
        <f t="shared" si="153"/>
        <v>Claremont</v>
      </c>
      <c r="AE341" s="180" t="str">
        <f t="shared" si="153"/>
        <v>Clarkton</v>
      </c>
      <c r="AF341" s="180" t="str">
        <f t="shared" si="153"/>
        <v>Clayton</v>
      </c>
      <c r="AG341" s="180" t="str">
        <f t="shared" si="153"/>
        <v>Clemmons</v>
      </c>
      <c r="AH341" s="180" t="str">
        <f t="shared" si="153"/>
        <v>Cleveland</v>
      </c>
      <c r="AI341" s="180" t="str">
        <f t="shared" si="153"/>
        <v>Clinton</v>
      </c>
      <c r="AJ341" s="180" t="str">
        <f t="shared" si="153"/>
        <v>Clyde</v>
      </c>
      <c r="AK341" s="180" t="str">
        <f t="shared" si="153"/>
        <v>Coats</v>
      </c>
      <c r="AL341" s="180" t="str">
        <f t="shared" si="153"/>
        <v>Cofield</v>
      </c>
      <c r="AM341" s="180" t="str">
        <f t="shared" si="153"/>
        <v>Colerain</v>
      </c>
      <c r="AN341" s="180" t="str">
        <f t="shared" si="153"/>
        <v>Columbia</v>
      </c>
      <c r="AO341" s="180" t="str">
        <f t="shared" si="153"/>
        <v>Columbus</v>
      </c>
      <c r="AP341" s="180" t="str">
        <f t="shared" si="153"/>
        <v>Como</v>
      </c>
      <c r="AQ341" s="180" t="str">
        <f t="shared" si="153"/>
        <v>Concord</v>
      </c>
      <c r="AR341" s="180" t="str">
        <f t="shared" si="153"/>
        <v>Conetoe</v>
      </c>
      <c r="AS341" s="180" t="str">
        <f t="shared" si="153"/>
        <v>Connelly Springs</v>
      </c>
      <c r="AT341" s="180" t="str">
        <f t="shared" si="153"/>
        <v>Conover</v>
      </c>
      <c r="AU341" s="180" t="str">
        <f t="shared" si="153"/>
        <v>Conway</v>
      </c>
      <c r="AV341" s="180" t="str">
        <f t="shared" si="153"/>
        <v>Cooleemee</v>
      </c>
      <c r="AW341" s="180" t="str">
        <f t="shared" si="153"/>
        <v>Cornelius</v>
      </c>
      <c r="AX341" s="180" t="str">
        <f t="shared" si="153"/>
        <v>Cove City</v>
      </c>
      <c r="AY341" s="180" t="str">
        <f t="shared" si="153"/>
        <v>Cramerton</v>
      </c>
      <c r="AZ341" s="180" t="str">
        <f t="shared" si="153"/>
        <v>Creedmoor</v>
      </c>
      <c r="BA341" s="180" t="str">
        <f t="shared" si="153"/>
        <v>Creswell</v>
      </c>
      <c r="BB341" s="180" t="str">
        <f t="shared" si="153"/>
        <v>Crossnore</v>
      </c>
      <c r="BC341" s="180" t="str">
        <f t="shared" si="153"/>
        <v>Dallas</v>
      </c>
      <c r="BD341" s="180" t="str">
        <f t="shared" si="153"/>
        <v>Danbury</v>
      </c>
      <c r="BE341" s="180" t="str">
        <f t="shared" si="153"/>
        <v>Davidson</v>
      </c>
      <c r="BF341" s="180" t="str">
        <f t="shared" si="153"/>
        <v>Denton</v>
      </c>
      <c r="BG341" s="180" t="str">
        <f t="shared" si="153"/>
        <v>Dillsboro</v>
      </c>
      <c r="BH341" s="180" t="str">
        <f t="shared" si="153"/>
        <v>Dobbins Heights</v>
      </c>
      <c r="BI341" s="180" t="str">
        <f t="shared" si="153"/>
        <v>Dobson</v>
      </c>
      <c r="BJ341" s="180" t="str">
        <f t="shared" si="153"/>
        <v>Dortches</v>
      </c>
      <c r="BK341" s="180" t="str">
        <f t="shared" si="153"/>
        <v>Dover</v>
      </c>
      <c r="BL341" s="180" t="str">
        <f t="shared" si="153"/>
        <v>Drexel</v>
      </c>
      <c r="BM341" s="180" t="str">
        <f t="shared" si="153"/>
        <v>Dublin</v>
      </c>
      <c r="BN341" s="180" t="str">
        <f t="shared" si="153"/>
        <v>Duck</v>
      </c>
      <c r="BO341" s="180" t="str">
        <f t="shared" si="153"/>
        <v>Dunn</v>
      </c>
      <c r="BP341" s="180" t="str">
        <f t="shared" si="153"/>
        <v>Durham</v>
      </c>
      <c r="BQ341" s="180" t="str">
        <f t="shared" ref="BQ341:CZ341" si="154">BQ1</f>
        <v>Earl</v>
      </c>
      <c r="BR341" s="180" t="str">
        <f t="shared" si="154"/>
        <v>East Arcadia</v>
      </c>
      <c r="BS341" s="180" t="str">
        <f t="shared" si="154"/>
        <v>East Bend</v>
      </c>
      <c r="BT341" s="180" t="str">
        <f t="shared" si="154"/>
        <v>East Laurinburg</v>
      </c>
      <c r="BU341" s="180" t="str">
        <f t="shared" si="154"/>
        <v>East Spencer</v>
      </c>
      <c r="BV341" s="180" t="str">
        <f t="shared" si="154"/>
        <v>Eastover</v>
      </c>
      <c r="BW341" s="180" t="str">
        <f t="shared" si="154"/>
        <v>Eden</v>
      </c>
      <c r="BX341" s="180" t="str">
        <f t="shared" si="154"/>
        <v>Edenton</v>
      </c>
      <c r="BY341" s="180" t="str">
        <f t="shared" si="154"/>
        <v>Elizabeth City</v>
      </c>
      <c r="BZ341" s="180" t="str">
        <f t="shared" si="154"/>
        <v>Elizabethtown</v>
      </c>
      <c r="CA341" s="180" t="str">
        <f t="shared" si="154"/>
        <v>Elk Park</v>
      </c>
      <c r="CB341" s="180" t="str">
        <f t="shared" si="154"/>
        <v>Elkin</v>
      </c>
      <c r="CC341" s="180" t="str">
        <f t="shared" si="154"/>
        <v>Ellenboro</v>
      </c>
      <c r="CD341" s="180" t="str">
        <f t="shared" si="154"/>
        <v>Ellerbe</v>
      </c>
      <c r="CE341" s="180" t="str">
        <f t="shared" si="154"/>
        <v>Elm City</v>
      </c>
      <c r="CF341" s="180" t="str">
        <f t="shared" si="154"/>
        <v>Elon</v>
      </c>
      <c r="CG341" s="180" t="str">
        <f t="shared" si="154"/>
        <v>Emerald Isle</v>
      </c>
      <c r="CH341" s="180" t="str">
        <f t="shared" si="154"/>
        <v>Enfield</v>
      </c>
      <c r="CI341" s="180" t="str">
        <f t="shared" si="154"/>
        <v>Erwin</v>
      </c>
      <c r="CJ341" s="180" t="str">
        <f t="shared" si="154"/>
        <v>Eureka</v>
      </c>
      <c r="CK341" s="180" t="str">
        <f t="shared" si="154"/>
        <v>Everetts</v>
      </c>
      <c r="CL341" s="180">
        <f t="shared" si="154"/>
        <v>0</v>
      </c>
      <c r="CM341" s="180">
        <f t="shared" si="154"/>
        <v>0</v>
      </c>
      <c r="CN341" s="180">
        <f t="shared" si="154"/>
        <v>0</v>
      </c>
      <c r="CO341" s="180">
        <f t="shared" si="154"/>
        <v>0</v>
      </c>
      <c r="CP341" s="180">
        <f t="shared" si="154"/>
        <v>0</v>
      </c>
      <c r="CQ341" s="180">
        <f t="shared" si="154"/>
        <v>0</v>
      </c>
      <c r="CR341" s="180">
        <f t="shared" si="154"/>
        <v>0</v>
      </c>
      <c r="CS341" s="180">
        <f t="shared" si="154"/>
        <v>0</v>
      </c>
      <c r="CT341" s="180">
        <f t="shared" si="154"/>
        <v>0</v>
      </c>
      <c r="CU341" s="180">
        <f t="shared" si="154"/>
        <v>0</v>
      </c>
      <c r="CV341" s="180">
        <f t="shared" si="154"/>
        <v>0</v>
      </c>
      <c r="CW341" s="180">
        <f t="shared" si="154"/>
        <v>0</v>
      </c>
      <c r="CX341" s="180">
        <f t="shared" si="154"/>
        <v>0</v>
      </c>
      <c r="CY341" s="180">
        <f t="shared" si="154"/>
        <v>0</v>
      </c>
      <c r="CZ341" s="180">
        <f t="shared" si="154"/>
        <v>0</v>
      </c>
    </row>
  </sheetData>
  <sheetProtection algorithmName="SHA-512" hashValue="U2ACDk47kVVwlWz+9NvBMtZI/JumeBARQIxurCm5st0GLfDRdl1c7ESPOwZXlFzn1ZuG0aL0lPvGGGz/gleoGw==" saltValue="ndpCY55Vn0DZDcOgpKzDV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314"/>
  <sheetViews>
    <sheetView workbookViewId="0">
      <pane xSplit="3" ySplit="2" topLeftCell="D3" activePane="bottomRight" state="frozen"/>
      <selection pane="topRight" activeCell="D1" sqref="D1"/>
      <selection pane="bottomLeft" activeCell="A3" sqref="A3"/>
      <selection pane="bottomRight" activeCell="C1" sqref="C1"/>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89" x14ac:dyDescent="0.3">
      <c r="A1" s="183" t="s">
        <v>1803</v>
      </c>
      <c r="B1" t="s">
        <v>1799</v>
      </c>
      <c r="C1" t="s">
        <v>351</v>
      </c>
      <c r="D1" t="s">
        <v>1228</v>
      </c>
      <c r="E1" t="s">
        <v>1229</v>
      </c>
      <c r="F1" t="s">
        <v>1230</v>
      </c>
      <c r="G1" t="s">
        <v>1231</v>
      </c>
      <c r="H1" t="s">
        <v>1232</v>
      </c>
      <c r="I1" t="s">
        <v>1233</v>
      </c>
      <c r="J1" t="s">
        <v>1234</v>
      </c>
      <c r="K1" t="s">
        <v>1235</v>
      </c>
      <c r="L1" t="s">
        <v>1236</v>
      </c>
      <c r="M1" t="s">
        <v>1237</v>
      </c>
      <c r="N1" t="s">
        <v>1238</v>
      </c>
      <c r="O1" t="s">
        <v>1239</v>
      </c>
      <c r="P1" t="s">
        <v>821</v>
      </c>
      <c r="Q1" t="s">
        <v>490</v>
      </c>
      <c r="R1" t="s">
        <v>1240</v>
      </c>
      <c r="S1" t="s">
        <v>1241</v>
      </c>
      <c r="T1" t="s">
        <v>1242</v>
      </c>
      <c r="U1" t="s">
        <v>1243</v>
      </c>
      <c r="V1" t="s">
        <v>491</v>
      </c>
      <c r="W1" t="s">
        <v>1244</v>
      </c>
      <c r="X1" t="s">
        <v>394</v>
      </c>
      <c r="Y1" t="s">
        <v>395</v>
      </c>
      <c r="Z1" t="s">
        <v>1245</v>
      </c>
      <c r="AA1" t="s">
        <v>492</v>
      </c>
      <c r="AB1" t="s">
        <v>1246</v>
      </c>
      <c r="AC1" t="s">
        <v>822</v>
      </c>
      <c r="AD1" t="s">
        <v>1247</v>
      </c>
      <c r="AE1" t="s">
        <v>823</v>
      </c>
      <c r="AF1" t="s">
        <v>1248</v>
      </c>
      <c r="AG1" t="s">
        <v>1249</v>
      </c>
      <c r="AH1" t="s">
        <v>1250</v>
      </c>
      <c r="AI1" t="s">
        <v>1251</v>
      </c>
      <c r="AJ1" t="s">
        <v>1252</v>
      </c>
      <c r="AK1" t="s">
        <v>1253</v>
      </c>
      <c r="AL1" t="s">
        <v>824</v>
      </c>
      <c r="AM1" t="s">
        <v>494</v>
      </c>
      <c r="AN1" t="s">
        <v>495</v>
      </c>
      <c r="AO1" t="s">
        <v>1254</v>
      </c>
      <c r="AP1" t="s">
        <v>1255</v>
      </c>
      <c r="AQ1" t="s">
        <v>1256</v>
      </c>
      <c r="AR1" t="s">
        <v>825</v>
      </c>
      <c r="AS1" t="s">
        <v>1257</v>
      </c>
      <c r="AT1" t="s">
        <v>1258</v>
      </c>
      <c r="AU1" t="s">
        <v>1259</v>
      </c>
      <c r="AV1" t="s">
        <v>1260</v>
      </c>
      <c r="AW1" t="s">
        <v>1261</v>
      </c>
      <c r="AX1" t="s">
        <v>1262</v>
      </c>
      <c r="AY1" t="s">
        <v>1263</v>
      </c>
      <c r="AZ1" t="s">
        <v>1264</v>
      </c>
      <c r="BA1" t="s">
        <v>826</v>
      </c>
      <c r="BB1" t="s">
        <v>1265</v>
      </c>
      <c r="BC1" t="s">
        <v>827</v>
      </c>
      <c r="BD1" t="s">
        <v>1266</v>
      </c>
      <c r="BE1" t="s">
        <v>1267</v>
      </c>
      <c r="BF1" t="s">
        <v>1268</v>
      </c>
      <c r="BG1" t="s">
        <v>1269</v>
      </c>
      <c r="BH1" t="s">
        <v>496</v>
      </c>
      <c r="BI1" t="s">
        <v>1270</v>
      </c>
      <c r="BJ1" t="s">
        <v>1271</v>
      </c>
      <c r="BK1" t="s">
        <v>497</v>
      </c>
      <c r="BL1" t="s">
        <v>1272</v>
      </c>
      <c r="BM1" t="s">
        <v>1273</v>
      </c>
      <c r="BN1" t="s">
        <v>1274</v>
      </c>
      <c r="BO1" t="s">
        <v>1275</v>
      </c>
      <c r="BP1" t="s">
        <v>389</v>
      </c>
      <c r="BQ1" t="s">
        <v>498</v>
      </c>
      <c r="BR1" t="s">
        <v>1276</v>
      </c>
      <c r="BS1" t="s">
        <v>1277</v>
      </c>
      <c r="BT1" t="s">
        <v>499</v>
      </c>
      <c r="BU1" t="s">
        <v>500</v>
      </c>
      <c r="BV1" t="s">
        <v>1278</v>
      </c>
      <c r="BW1" t="s">
        <v>1279</v>
      </c>
      <c r="BX1" t="s">
        <v>1280</v>
      </c>
      <c r="BY1" t="s">
        <v>828</v>
      </c>
      <c r="BZ1" t="s">
        <v>1281</v>
      </c>
      <c r="CA1" t="s">
        <v>1282</v>
      </c>
      <c r="CB1" t="s">
        <v>1283</v>
      </c>
      <c r="CC1" t="s">
        <v>1284</v>
      </c>
      <c r="CD1" t="s">
        <v>502</v>
      </c>
      <c r="CE1" t="s">
        <v>503</v>
      </c>
      <c r="CF1" t="s">
        <v>1285</v>
      </c>
      <c r="CG1" t="s">
        <v>1286</v>
      </c>
      <c r="CH1" t="s">
        <v>504</v>
      </c>
      <c r="CI1" t="s">
        <v>829</v>
      </c>
      <c r="CJ1" t="s">
        <v>830</v>
      </c>
      <c r="CK1" t="s">
        <v>506</v>
      </c>
    </row>
    <row r="2" spans="1:89" x14ac:dyDescent="0.3">
      <c r="A2" s="155" t="s">
        <v>895</v>
      </c>
      <c r="B2" t="s">
        <v>41</v>
      </c>
      <c r="C2" t="s">
        <v>13</v>
      </c>
      <c r="D2" s="800">
        <v>50508</v>
      </c>
      <c r="E2" s="800">
        <v>50465</v>
      </c>
      <c r="F2" s="800">
        <v>50060</v>
      </c>
      <c r="G2" s="800">
        <v>50061</v>
      </c>
      <c r="H2" s="800">
        <v>50062</v>
      </c>
      <c r="I2" s="800">
        <v>50063</v>
      </c>
      <c r="J2" s="800">
        <v>50064</v>
      </c>
      <c r="K2" s="800">
        <v>50065</v>
      </c>
      <c r="L2" s="800">
        <v>50551</v>
      </c>
      <c r="M2" s="800">
        <v>50066</v>
      </c>
      <c r="N2" s="800">
        <v>50067</v>
      </c>
      <c r="O2" s="800">
        <v>50068</v>
      </c>
      <c r="P2" s="800">
        <v>50466</v>
      </c>
      <c r="Q2" s="800">
        <v>50069</v>
      </c>
      <c r="R2" s="800">
        <v>50450</v>
      </c>
      <c r="S2" s="800">
        <v>50070</v>
      </c>
      <c r="T2" s="800">
        <v>50509</v>
      </c>
      <c r="U2" s="800">
        <v>50539</v>
      </c>
      <c r="V2" s="800">
        <v>50467</v>
      </c>
      <c r="W2" s="800">
        <v>50072</v>
      </c>
      <c r="X2" s="800">
        <v>50074</v>
      </c>
      <c r="Y2" s="800">
        <v>50075</v>
      </c>
      <c r="Z2" s="800">
        <v>50076</v>
      </c>
      <c r="AA2" s="800">
        <v>50510</v>
      </c>
      <c r="AB2" s="800">
        <v>50077</v>
      </c>
      <c r="AC2" s="800">
        <v>50078</v>
      </c>
      <c r="AD2" s="800">
        <v>50079</v>
      </c>
      <c r="AE2" s="800">
        <v>50080</v>
      </c>
      <c r="AF2" s="800">
        <v>50081</v>
      </c>
      <c r="AG2" s="800">
        <v>50502</v>
      </c>
      <c r="AH2" s="800">
        <v>50082</v>
      </c>
      <c r="AI2" s="800">
        <v>50083</v>
      </c>
      <c r="AJ2" s="800">
        <v>50084</v>
      </c>
      <c r="AK2" s="800">
        <v>50085</v>
      </c>
      <c r="AL2" s="800">
        <v>50468</v>
      </c>
      <c r="AM2" s="800">
        <v>50086</v>
      </c>
      <c r="AN2" s="800">
        <v>50087</v>
      </c>
      <c r="AO2" s="800">
        <v>50088</v>
      </c>
      <c r="AP2" s="800">
        <v>50089</v>
      </c>
      <c r="AQ2" s="800">
        <v>50090</v>
      </c>
      <c r="AR2" s="800">
        <v>50091</v>
      </c>
      <c r="AS2" s="800">
        <v>50511</v>
      </c>
      <c r="AT2" s="800">
        <v>50092</v>
      </c>
      <c r="AU2" s="800">
        <v>50093</v>
      </c>
      <c r="AV2" s="800">
        <v>50512</v>
      </c>
      <c r="AW2" s="800">
        <v>50094</v>
      </c>
      <c r="AX2" s="800">
        <v>50095</v>
      </c>
      <c r="AY2" s="800">
        <v>50096</v>
      </c>
      <c r="AZ2" s="800">
        <v>50097</v>
      </c>
      <c r="BA2" s="800">
        <v>50098</v>
      </c>
      <c r="BB2" s="800">
        <v>50099</v>
      </c>
      <c r="BC2" s="800">
        <v>50100</v>
      </c>
      <c r="BD2" s="800">
        <v>50101</v>
      </c>
      <c r="BE2" s="800">
        <v>50102</v>
      </c>
      <c r="BF2" s="800">
        <v>50103</v>
      </c>
      <c r="BG2" s="800">
        <v>50104</v>
      </c>
      <c r="BH2" s="800">
        <v>50513</v>
      </c>
      <c r="BI2" s="800">
        <v>50105</v>
      </c>
      <c r="BJ2" s="800">
        <v>50460</v>
      </c>
      <c r="BK2" s="800">
        <v>50106</v>
      </c>
      <c r="BL2" s="800">
        <v>50107</v>
      </c>
      <c r="BM2" s="800">
        <v>50108</v>
      </c>
      <c r="BN2" s="800">
        <v>50559</v>
      </c>
      <c r="BO2" s="800">
        <v>50109</v>
      </c>
      <c r="BP2" s="800">
        <v>50110</v>
      </c>
      <c r="BQ2" s="800">
        <v>50472</v>
      </c>
      <c r="BR2" s="800">
        <v>50461</v>
      </c>
      <c r="BS2">
        <v>50111</v>
      </c>
      <c r="BT2">
        <v>50112</v>
      </c>
      <c r="BU2">
        <v>50113</v>
      </c>
      <c r="BV2">
        <v>50568</v>
      </c>
      <c r="BW2">
        <v>50114</v>
      </c>
      <c r="BX2">
        <v>50115</v>
      </c>
      <c r="BY2">
        <v>50116</v>
      </c>
      <c r="BZ2">
        <v>50117</v>
      </c>
      <c r="CA2">
        <v>50119</v>
      </c>
      <c r="CB2">
        <v>50118</v>
      </c>
      <c r="CC2">
        <v>50120</v>
      </c>
      <c r="CD2">
        <v>50121</v>
      </c>
      <c r="CE2">
        <v>50122</v>
      </c>
      <c r="CF2">
        <v>50123</v>
      </c>
      <c r="CG2">
        <v>50124</v>
      </c>
      <c r="CH2">
        <v>50125</v>
      </c>
      <c r="CI2">
        <v>50126</v>
      </c>
      <c r="CJ2">
        <v>50127</v>
      </c>
      <c r="CK2">
        <v>50128</v>
      </c>
    </row>
    <row r="3" spans="1:89" x14ac:dyDescent="0.3">
      <c r="A3" s="155">
        <v>4</v>
      </c>
      <c r="B3" t="s">
        <v>111</v>
      </c>
      <c r="D3">
        <v>25523</v>
      </c>
      <c r="E3">
        <v>272246</v>
      </c>
      <c r="F3">
        <v>13588</v>
      </c>
      <c r="G3">
        <v>14774</v>
      </c>
      <c r="H3">
        <v>38766</v>
      </c>
      <c r="I3">
        <v>184855</v>
      </c>
      <c r="J3">
        <v>44378</v>
      </c>
      <c r="K3">
        <v>1024443</v>
      </c>
      <c r="L3">
        <v>0</v>
      </c>
      <c r="M3">
        <v>1209593</v>
      </c>
      <c r="N3">
        <v>169964</v>
      </c>
      <c r="O3">
        <v>15072524</v>
      </c>
      <c r="P3">
        <v>8143</v>
      </c>
      <c r="Q3">
        <v>10817</v>
      </c>
      <c r="R3">
        <v>554874</v>
      </c>
      <c r="S3">
        <v>21792</v>
      </c>
      <c r="T3">
        <v>3948</v>
      </c>
      <c r="U3">
        <v>5545</v>
      </c>
      <c r="V3">
        <v>219446</v>
      </c>
      <c r="W3">
        <v>28635</v>
      </c>
      <c r="X3">
        <v>3815320</v>
      </c>
      <c r="Y3">
        <v>42240000</v>
      </c>
      <c r="Z3">
        <v>277811</v>
      </c>
      <c r="AA3">
        <v>57430</v>
      </c>
      <c r="AB3">
        <v>423967</v>
      </c>
      <c r="AC3">
        <v>449200</v>
      </c>
      <c r="AD3">
        <v>170441</v>
      </c>
      <c r="AE3">
        <v>84327</v>
      </c>
      <c r="AF3">
        <v>2328736</v>
      </c>
      <c r="AG3">
        <v>516529</v>
      </c>
      <c r="AH3">
        <v>36904</v>
      </c>
      <c r="AI3">
        <v>325188</v>
      </c>
      <c r="AJ3">
        <v>30038</v>
      </c>
      <c r="AK3">
        <v>19330</v>
      </c>
      <c r="AL3">
        <v>19153</v>
      </c>
      <c r="AM3">
        <v>7</v>
      </c>
      <c r="AN3">
        <v>47687</v>
      </c>
      <c r="AO3">
        <v>0</v>
      </c>
      <c r="AP3">
        <v>591</v>
      </c>
      <c r="AQ3">
        <v>14852249</v>
      </c>
      <c r="AR3">
        <v>26288</v>
      </c>
      <c r="AS3">
        <v>34825</v>
      </c>
      <c r="AT3">
        <v>577895</v>
      </c>
      <c r="AU3">
        <v>27336</v>
      </c>
      <c r="AV3">
        <v>449</v>
      </c>
      <c r="AW3">
        <v>3000426</v>
      </c>
      <c r="AX3">
        <v>1914</v>
      </c>
      <c r="AY3">
        <v>123684</v>
      </c>
      <c r="AZ3">
        <v>125356</v>
      </c>
      <c r="BA3">
        <v>1731</v>
      </c>
      <c r="BB3">
        <v>51</v>
      </c>
      <c r="BC3">
        <v>62452</v>
      </c>
      <c r="BD3">
        <v>560</v>
      </c>
      <c r="BE3">
        <v>1008071</v>
      </c>
      <c r="BF3">
        <v>22417</v>
      </c>
      <c r="BG3">
        <v>11695</v>
      </c>
      <c r="BH3">
        <v>15552</v>
      </c>
      <c r="BI3">
        <v>32566</v>
      </c>
      <c r="BJ3">
        <v>2087</v>
      </c>
      <c r="BK3">
        <v>50361</v>
      </c>
      <c r="BL3">
        <v>15922</v>
      </c>
      <c r="BM3">
        <v>6405</v>
      </c>
      <c r="BN3">
        <v>262791</v>
      </c>
      <c r="BO3">
        <v>1870782</v>
      </c>
      <c r="BP3">
        <v>23377900</v>
      </c>
      <c r="BQ3">
        <v>5207</v>
      </c>
      <c r="BR3">
        <v>1382</v>
      </c>
      <c r="BS3">
        <v>14141</v>
      </c>
      <c r="BU3">
        <v>42626</v>
      </c>
      <c r="BV3">
        <v>36699</v>
      </c>
      <c r="BW3">
        <v>568001</v>
      </c>
      <c r="BX3">
        <v>16562</v>
      </c>
      <c r="BY3">
        <v>2144019</v>
      </c>
      <c r="BZ3">
        <v>192453</v>
      </c>
      <c r="CA3">
        <v>3991</v>
      </c>
      <c r="CB3">
        <v>207620</v>
      </c>
      <c r="CC3">
        <v>6860</v>
      </c>
      <c r="CD3">
        <v>21364</v>
      </c>
      <c r="CE3">
        <v>13483</v>
      </c>
      <c r="CF3">
        <v>191257</v>
      </c>
      <c r="CG3">
        <v>417121</v>
      </c>
      <c r="CH3">
        <v>19551</v>
      </c>
      <c r="CI3">
        <v>189522</v>
      </c>
      <c r="CK3">
        <v>1774</v>
      </c>
    </row>
    <row r="4" spans="1:89" x14ac:dyDescent="0.3">
      <c r="A4" s="155">
        <v>5</v>
      </c>
      <c r="B4" t="s">
        <v>112</v>
      </c>
      <c r="D4">
        <v>0</v>
      </c>
      <c r="E4">
        <v>0</v>
      </c>
      <c r="F4">
        <v>0</v>
      </c>
      <c r="G4">
        <v>0</v>
      </c>
      <c r="H4">
        <v>0</v>
      </c>
      <c r="I4">
        <v>4278</v>
      </c>
      <c r="J4">
        <v>37020</v>
      </c>
      <c r="K4">
        <v>0</v>
      </c>
      <c r="L4">
        <v>0</v>
      </c>
      <c r="M4">
        <v>0</v>
      </c>
      <c r="N4">
        <v>0</v>
      </c>
      <c r="O4">
        <v>0</v>
      </c>
      <c r="P4">
        <v>0</v>
      </c>
      <c r="Q4">
        <v>5782</v>
      </c>
      <c r="R4">
        <v>0</v>
      </c>
      <c r="S4">
        <v>0</v>
      </c>
      <c r="T4">
        <v>0</v>
      </c>
      <c r="U4">
        <v>0</v>
      </c>
      <c r="V4">
        <v>0</v>
      </c>
      <c r="W4">
        <v>9058</v>
      </c>
      <c r="X4">
        <v>16812</v>
      </c>
      <c r="Y4">
        <v>91000</v>
      </c>
      <c r="Z4">
        <v>0</v>
      </c>
      <c r="AA4">
        <v>6538</v>
      </c>
      <c r="AB4">
        <v>0</v>
      </c>
      <c r="AC4">
        <v>0</v>
      </c>
      <c r="AD4">
        <v>0</v>
      </c>
      <c r="AE4">
        <v>2090</v>
      </c>
      <c r="AF4">
        <v>7075</v>
      </c>
      <c r="AG4">
        <v>962</v>
      </c>
      <c r="AH4">
        <v>2449</v>
      </c>
      <c r="AI4">
        <v>0</v>
      </c>
      <c r="AJ4">
        <v>2439</v>
      </c>
      <c r="AK4">
        <v>0</v>
      </c>
      <c r="AL4">
        <v>0</v>
      </c>
      <c r="AM4">
        <v>0</v>
      </c>
      <c r="AN4">
        <v>2058</v>
      </c>
      <c r="AO4">
        <v>0</v>
      </c>
      <c r="AP4">
        <v>0</v>
      </c>
      <c r="AQ4">
        <v>145113</v>
      </c>
      <c r="AR4">
        <v>0</v>
      </c>
      <c r="AS4">
        <v>0</v>
      </c>
      <c r="AT4">
        <v>5194</v>
      </c>
      <c r="AU4">
        <v>298</v>
      </c>
      <c r="AV4">
        <v>0</v>
      </c>
      <c r="AW4">
        <v>0</v>
      </c>
      <c r="AX4">
        <v>344</v>
      </c>
      <c r="AY4">
        <v>60000</v>
      </c>
      <c r="AZ4">
        <v>18557</v>
      </c>
      <c r="BA4">
        <v>0</v>
      </c>
      <c r="BB4">
        <v>0</v>
      </c>
      <c r="BC4">
        <v>0</v>
      </c>
      <c r="BD4">
        <v>0</v>
      </c>
      <c r="BE4">
        <v>0</v>
      </c>
      <c r="BF4">
        <v>0</v>
      </c>
      <c r="BG4">
        <v>0</v>
      </c>
      <c r="BH4">
        <v>195</v>
      </c>
      <c r="BI4">
        <v>0</v>
      </c>
      <c r="BJ4">
        <v>0</v>
      </c>
      <c r="BK4">
        <v>0</v>
      </c>
      <c r="BL4">
        <v>0</v>
      </c>
      <c r="BM4">
        <v>0</v>
      </c>
      <c r="BN4">
        <v>362731</v>
      </c>
      <c r="BO4">
        <v>1625</v>
      </c>
      <c r="BP4">
        <v>1374588</v>
      </c>
      <c r="BQ4">
        <v>0</v>
      </c>
      <c r="BR4">
        <v>0</v>
      </c>
      <c r="BS4">
        <v>0</v>
      </c>
      <c r="BU4">
        <v>0</v>
      </c>
      <c r="BV4">
        <v>0</v>
      </c>
      <c r="BW4">
        <v>0</v>
      </c>
      <c r="BX4">
        <v>0</v>
      </c>
      <c r="BY4">
        <v>91584</v>
      </c>
      <c r="BZ4">
        <v>10343</v>
      </c>
      <c r="CA4">
        <v>0</v>
      </c>
      <c r="CB4">
        <v>3025</v>
      </c>
      <c r="CC4">
        <v>18</v>
      </c>
      <c r="CD4">
        <v>2124</v>
      </c>
      <c r="CE4">
        <v>676</v>
      </c>
      <c r="CF4">
        <v>2837</v>
      </c>
      <c r="CG4">
        <v>0</v>
      </c>
      <c r="CH4">
        <v>0</v>
      </c>
      <c r="CI4">
        <v>1788</v>
      </c>
      <c r="CK4">
        <v>0</v>
      </c>
    </row>
    <row r="5" spans="1:89" x14ac:dyDescent="0.3">
      <c r="A5" s="155">
        <v>6</v>
      </c>
      <c r="B5" t="s">
        <v>251</v>
      </c>
      <c r="D5">
        <v>0</v>
      </c>
      <c r="E5">
        <v>0</v>
      </c>
      <c r="F5">
        <v>0</v>
      </c>
      <c r="G5">
        <v>0</v>
      </c>
      <c r="H5">
        <v>0</v>
      </c>
      <c r="I5">
        <v>0</v>
      </c>
      <c r="J5">
        <v>0</v>
      </c>
      <c r="K5">
        <v>0</v>
      </c>
      <c r="L5">
        <v>0</v>
      </c>
      <c r="M5">
        <v>129028</v>
      </c>
      <c r="N5">
        <v>0</v>
      </c>
      <c r="O5">
        <v>3927627</v>
      </c>
      <c r="P5">
        <v>0</v>
      </c>
      <c r="Q5">
        <v>0</v>
      </c>
      <c r="R5">
        <v>0</v>
      </c>
      <c r="S5">
        <v>0</v>
      </c>
      <c r="T5">
        <v>0</v>
      </c>
      <c r="U5">
        <v>0</v>
      </c>
      <c r="V5">
        <v>0</v>
      </c>
      <c r="W5">
        <v>0</v>
      </c>
      <c r="X5">
        <v>858565</v>
      </c>
      <c r="Y5">
        <v>15533000</v>
      </c>
      <c r="Z5">
        <v>0</v>
      </c>
      <c r="AA5">
        <v>0</v>
      </c>
      <c r="AB5">
        <v>63202</v>
      </c>
      <c r="AC5">
        <v>0</v>
      </c>
      <c r="AD5">
        <v>0</v>
      </c>
      <c r="AE5">
        <v>0</v>
      </c>
      <c r="AF5">
        <v>0</v>
      </c>
      <c r="AG5">
        <v>0</v>
      </c>
      <c r="AH5">
        <v>0</v>
      </c>
      <c r="AI5">
        <v>0</v>
      </c>
      <c r="AJ5">
        <v>0</v>
      </c>
      <c r="AK5">
        <v>0</v>
      </c>
      <c r="AL5">
        <v>0</v>
      </c>
      <c r="AM5">
        <v>0</v>
      </c>
      <c r="AN5">
        <v>0</v>
      </c>
      <c r="AO5">
        <v>0</v>
      </c>
      <c r="AP5">
        <v>0</v>
      </c>
      <c r="AQ5">
        <v>9149109</v>
      </c>
      <c r="AR5">
        <v>0</v>
      </c>
      <c r="AS5">
        <v>0</v>
      </c>
      <c r="AT5">
        <v>277078</v>
      </c>
      <c r="AU5">
        <v>0</v>
      </c>
      <c r="AV5">
        <v>0</v>
      </c>
      <c r="AW5">
        <v>0</v>
      </c>
      <c r="AX5">
        <v>0</v>
      </c>
      <c r="AY5">
        <v>0</v>
      </c>
      <c r="AZ5">
        <v>66012</v>
      </c>
      <c r="BA5">
        <v>0</v>
      </c>
      <c r="BB5">
        <v>0</v>
      </c>
      <c r="BC5">
        <v>0</v>
      </c>
      <c r="BD5">
        <v>0</v>
      </c>
      <c r="BE5">
        <v>1117410</v>
      </c>
      <c r="BF5">
        <v>0</v>
      </c>
      <c r="BG5">
        <v>0</v>
      </c>
      <c r="BH5">
        <v>0</v>
      </c>
      <c r="BI5">
        <v>0</v>
      </c>
      <c r="BJ5">
        <v>0</v>
      </c>
      <c r="BK5">
        <v>0</v>
      </c>
      <c r="BL5">
        <v>0</v>
      </c>
      <c r="BM5">
        <v>0</v>
      </c>
      <c r="BN5">
        <v>335752</v>
      </c>
      <c r="BO5">
        <v>0</v>
      </c>
      <c r="BP5">
        <v>8750141</v>
      </c>
      <c r="BQ5">
        <v>0</v>
      </c>
      <c r="BR5">
        <v>0</v>
      </c>
      <c r="BS5">
        <v>0</v>
      </c>
      <c r="BU5">
        <v>0</v>
      </c>
      <c r="BV5">
        <v>0</v>
      </c>
      <c r="BW5">
        <v>0</v>
      </c>
      <c r="BX5">
        <v>0</v>
      </c>
      <c r="BY5">
        <v>333</v>
      </c>
      <c r="BZ5">
        <v>0</v>
      </c>
      <c r="CA5">
        <v>0</v>
      </c>
      <c r="CB5">
        <v>208799</v>
      </c>
      <c r="CC5">
        <v>0</v>
      </c>
      <c r="CD5">
        <v>0</v>
      </c>
      <c r="CE5">
        <v>0</v>
      </c>
      <c r="CF5">
        <v>0</v>
      </c>
      <c r="CG5">
        <v>9775</v>
      </c>
      <c r="CH5">
        <v>0</v>
      </c>
      <c r="CI5">
        <v>0</v>
      </c>
      <c r="CK5">
        <v>0</v>
      </c>
    </row>
    <row r="6" spans="1:89" x14ac:dyDescent="0.3">
      <c r="A6" s="155">
        <v>7</v>
      </c>
      <c r="B6" t="s">
        <v>193</v>
      </c>
      <c r="D6">
        <v>0</v>
      </c>
      <c r="E6">
        <v>0</v>
      </c>
      <c r="F6">
        <v>0</v>
      </c>
      <c r="G6">
        <v>0</v>
      </c>
      <c r="H6">
        <v>0</v>
      </c>
      <c r="I6">
        <v>7689</v>
      </c>
      <c r="J6">
        <v>15954</v>
      </c>
      <c r="K6">
        <v>0</v>
      </c>
      <c r="L6">
        <v>0</v>
      </c>
      <c r="M6">
        <v>275060</v>
      </c>
      <c r="N6">
        <v>0</v>
      </c>
      <c r="O6">
        <v>2877494</v>
      </c>
      <c r="P6">
        <v>0</v>
      </c>
      <c r="Q6">
        <v>0</v>
      </c>
      <c r="R6">
        <v>0</v>
      </c>
      <c r="S6">
        <v>8614</v>
      </c>
      <c r="T6">
        <v>0</v>
      </c>
      <c r="U6">
        <v>0</v>
      </c>
      <c r="V6">
        <v>0</v>
      </c>
      <c r="W6">
        <v>0</v>
      </c>
      <c r="X6">
        <v>7962</v>
      </c>
      <c r="Y6">
        <v>13000</v>
      </c>
      <c r="Z6">
        <v>0</v>
      </c>
      <c r="AA6">
        <v>0</v>
      </c>
      <c r="AB6">
        <v>15500</v>
      </c>
      <c r="AC6">
        <v>8954</v>
      </c>
      <c r="AD6">
        <v>32429</v>
      </c>
      <c r="AE6">
        <v>0</v>
      </c>
      <c r="AF6">
        <v>20051</v>
      </c>
      <c r="AG6">
        <v>93082</v>
      </c>
      <c r="AH6">
        <v>0</v>
      </c>
      <c r="AI6">
        <v>26260</v>
      </c>
      <c r="AJ6">
        <v>0</v>
      </c>
      <c r="AK6">
        <v>0</v>
      </c>
      <c r="AL6">
        <v>0</v>
      </c>
      <c r="AM6">
        <v>0</v>
      </c>
      <c r="AN6">
        <v>0</v>
      </c>
      <c r="AO6">
        <v>0</v>
      </c>
      <c r="AP6">
        <v>0</v>
      </c>
      <c r="AQ6">
        <v>221584</v>
      </c>
      <c r="AR6">
        <v>0</v>
      </c>
      <c r="AS6">
        <v>0</v>
      </c>
      <c r="AT6">
        <v>89445</v>
      </c>
      <c r="AU6">
        <v>0</v>
      </c>
      <c r="AV6">
        <v>0</v>
      </c>
      <c r="AW6">
        <v>145978</v>
      </c>
      <c r="AX6">
        <v>0</v>
      </c>
      <c r="AY6">
        <v>480155</v>
      </c>
      <c r="AZ6">
        <v>14620</v>
      </c>
      <c r="BA6">
        <v>0</v>
      </c>
      <c r="BB6">
        <v>2269</v>
      </c>
      <c r="BC6">
        <v>312</v>
      </c>
      <c r="BD6">
        <v>0</v>
      </c>
      <c r="BE6">
        <v>6414</v>
      </c>
      <c r="BF6">
        <v>0</v>
      </c>
      <c r="BG6">
        <v>0</v>
      </c>
      <c r="BH6">
        <v>0</v>
      </c>
      <c r="BI6">
        <v>4491</v>
      </c>
      <c r="BJ6">
        <v>0</v>
      </c>
      <c r="BK6">
        <v>0</v>
      </c>
      <c r="BL6">
        <v>0</v>
      </c>
      <c r="BM6">
        <v>0</v>
      </c>
      <c r="BN6">
        <v>28144</v>
      </c>
      <c r="BO6">
        <v>41107</v>
      </c>
      <c r="BP6">
        <v>572239</v>
      </c>
      <c r="BQ6">
        <v>0</v>
      </c>
      <c r="BR6">
        <v>0</v>
      </c>
      <c r="BS6">
        <v>0</v>
      </c>
      <c r="BU6">
        <v>0</v>
      </c>
      <c r="BV6">
        <v>0</v>
      </c>
      <c r="BW6">
        <v>293175</v>
      </c>
      <c r="BX6">
        <v>21464</v>
      </c>
      <c r="BY6">
        <v>130871</v>
      </c>
      <c r="BZ6">
        <v>0</v>
      </c>
      <c r="CA6">
        <v>0</v>
      </c>
      <c r="CB6">
        <v>241631</v>
      </c>
      <c r="CC6">
        <v>0</v>
      </c>
      <c r="CD6">
        <v>0</v>
      </c>
      <c r="CE6">
        <v>0</v>
      </c>
      <c r="CF6">
        <v>0</v>
      </c>
      <c r="CG6">
        <v>48209</v>
      </c>
      <c r="CH6">
        <v>0</v>
      </c>
      <c r="CI6">
        <v>0</v>
      </c>
      <c r="CK6">
        <v>2940</v>
      </c>
    </row>
    <row r="7" spans="1:89" x14ac:dyDescent="0.3">
      <c r="A7" s="155">
        <v>9</v>
      </c>
      <c r="B7" t="s">
        <v>195</v>
      </c>
      <c r="D7">
        <v>3155537</v>
      </c>
      <c r="E7">
        <v>2118983</v>
      </c>
      <c r="F7">
        <v>785203</v>
      </c>
      <c r="G7">
        <v>610787</v>
      </c>
      <c r="H7">
        <v>861839</v>
      </c>
      <c r="I7">
        <v>4050804</v>
      </c>
      <c r="J7">
        <v>2143306</v>
      </c>
      <c r="K7">
        <v>9625762</v>
      </c>
      <c r="L7">
        <v>3526029</v>
      </c>
      <c r="M7">
        <v>17818427</v>
      </c>
      <c r="N7">
        <v>1895509</v>
      </c>
      <c r="O7">
        <v>152249510</v>
      </c>
      <c r="P7">
        <v>84612</v>
      </c>
      <c r="Q7">
        <v>233970</v>
      </c>
      <c r="R7">
        <v>858436</v>
      </c>
      <c r="S7">
        <v>1073354</v>
      </c>
      <c r="T7">
        <v>1242555</v>
      </c>
      <c r="U7">
        <v>324397</v>
      </c>
      <c r="V7">
        <v>266828</v>
      </c>
      <c r="W7">
        <v>2439716</v>
      </c>
      <c r="X7">
        <v>34362326</v>
      </c>
      <c r="Y7">
        <v>197014000</v>
      </c>
      <c r="Z7">
        <v>5826565</v>
      </c>
      <c r="AA7">
        <v>416632</v>
      </c>
      <c r="AB7">
        <v>3070958</v>
      </c>
      <c r="AC7">
        <v>-258039</v>
      </c>
      <c r="AD7">
        <v>4967319</v>
      </c>
      <c r="AE7">
        <v>2436987</v>
      </c>
      <c r="AF7">
        <v>23477041</v>
      </c>
      <c r="AG7">
        <v>9237587</v>
      </c>
      <c r="AH7">
        <v>3833467</v>
      </c>
      <c r="AI7">
        <v>7681970</v>
      </c>
      <c r="AJ7">
        <v>1402643</v>
      </c>
      <c r="AK7">
        <v>1749130</v>
      </c>
      <c r="AL7">
        <v>1084552</v>
      </c>
      <c r="AM7">
        <v>362248</v>
      </c>
      <c r="AN7">
        <v>1031126</v>
      </c>
      <c r="AO7">
        <v>1060773</v>
      </c>
      <c r="AP7">
        <v>75078</v>
      </c>
      <c r="AQ7">
        <v>84325815</v>
      </c>
      <c r="AR7">
        <v>416837</v>
      </c>
      <c r="AS7">
        <v>1924738</v>
      </c>
      <c r="AT7">
        <v>9887654</v>
      </c>
      <c r="AU7">
        <v>583874</v>
      </c>
      <c r="AV7">
        <v>1027214</v>
      </c>
      <c r="AW7">
        <v>25928859</v>
      </c>
      <c r="AX7">
        <v>289631</v>
      </c>
      <c r="AY7">
        <v>4237503</v>
      </c>
      <c r="AZ7">
        <v>9242233</v>
      </c>
      <c r="BA7">
        <v>571097</v>
      </c>
      <c r="BB7">
        <v>242552</v>
      </c>
      <c r="BC7">
        <v>3677298</v>
      </c>
      <c r="BD7">
        <v>179000</v>
      </c>
      <c r="BE7">
        <v>13266797</v>
      </c>
      <c r="BF7">
        <v>1660372</v>
      </c>
      <c r="BG7">
        <v>1230605</v>
      </c>
      <c r="BH7">
        <v>444419</v>
      </c>
      <c r="BI7">
        <v>1706278</v>
      </c>
      <c r="BJ7">
        <v>3365024</v>
      </c>
      <c r="BK7">
        <v>362652</v>
      </c>
      <c r="BL7">
        <v>2000980</v>
      </c>
      <c r="BM7">
        <v>890997</v>
      </c>
      <c r="BN7">
        <v>9944027</v>
      </c>
      <c r="BO7">
        <v>7118290</v>
      </c>
      <c r="BP7">
        <v>104606721</v>
      </c>
      <c r="BQ7">
        <v>114789</v>
      </c>
      <c r="BR7">
        <v>275254</v>
      </c>
      <c r="BS7">
        <v>849530</v>
      </c>
      <c r="BU7">
        <v>1724209</v>
      </c>
      <c r="BV7">
        <v>6623113</v>
      </c>
      <c r="BW7">
        <v>12402153</v>
      </c>
      <c r="BX7">
        <v>3840767</v>
      </c>
      <c r="BY7">
        <v>6686238</v>
      </c>
      <c r="BZ7">
        <v>2252748</v>
      </c>
      <c r="CA7">
        <v>570974</v>
      </c>
      <c r="CB7">
        <v>4759181</v>
      </c>
      <c r="CC7">
        <v>1022244</v>
      </c>
      <c r="CD7">
        <v>495113</v>
      </c>
      <c r="CE7">
        <v>730593</v>
      </c>
      <c r="CF7">
        <v>8964805</v>
      </c>
      <c r="CG7">
        <v>3569739</v>
      </c>
      <c r="CH7">
        <v>698519</v>
      </c>
      <c r="CI7">
        <v>3485759</v>
      </c>
      <c r="CK7">
        <v>41043</v>
      </c>
    </row>
    <row r="8" spans="1:89" x14ac:dyDescent="0.3">
      <c r="A8" s="155">
        <v>11</v>
      </c>
      <c r="B8" t="s">
        <v>194</v>
      </c>
      <c r="D8">
        <v>0</v>
      </c>
      <c r="E8">
        <v>46728</v>
      </c>
      <c r="F8">
        <v>22192</v>
      </c>
      <c r="G8">
        <v>50851</v>
      </c>
      <c r="H8">
        <v>118700</v>
      </c>
      <c r="I8">
        <v>317854</v>
      </c>
      <c r="J8">
        <v>11315</v>
      </c>
      <c r="K8">
        <v>546651</v>
      </c>
      <c r="L8">
        <v>0</v>
      </c>
      <c r="M8">
        <v>326810</v>
      </c>
      <c r="N8">
        <v>161346</v>
      </c>
      <c r="O8">
        <v>8465850</v>
      </c>
      <c r="P8">
        <v>0</v>
      </c>
      <c r="Q8">
        <v>14748</v>
      </c>
      <c r="R8">
        <v>0</v>
      </c>
      <c r="S8">
        <v>66679</v>
      </c>
      <c r="T8">
        <v>151318</v>
      </c>
      <c r="U8">
        <v>0</v>
      </c>
      <c r="V8">
        <v>22376</v>
      </c>
      <c r="W8">
        <v>22396</v>
      </c>
      <c r="X8">
        <v>0</v>
      </c>
      <c r="Y8">
        <v>0</v>
      </c>
      <c r="Z8">
        <v>199885</v>
      </c>
      <c r="AA8">
        <v>0</v>
      </c>
      <c r="AB8">
        <v>138496</v>
      </c>
      <c r="AC8">
        <v>44430</v>
      </c>
      <c r="AD8">
        <v>39936</v>
      </c>
      <c r="AE8">
        <v>92044</v>
      </c>
      <c r="AF8">
        <v>0</v>
      </c>
      <c r="AG8">
        <v>896967</v>
      </c>
      <c r="AH8">
        <v>146515</v>
      </c>
      <c r="AI8">
        <v>0</v>
      </c>
      <c r="AJ8">
        <v>6417</v>
      </c>
      <c r="AK8">
        <v>189308</v>
      </c>
      <c r="AL8">
        <v>36487</v>
      </c>
      <c r="AM8">
        <v>4765</v>
      </c>
      <c r="AN8">
        <v>0</v>
      </c>
      <c r="AO8">
        <v>142254</v>
      </c>
      <c r="AP8">
        <v>0</v>
      </c>
      <c r="AQ8">
        <v>2666251</v>
      </c>
      <c r="AR8">
        <v>73611</v>
      </c>
      <c r="AS8">
        <v>124262</v>
      </c>
      <c r="AT8">
        <v>213764</v>
      </c>
      <c r="AU8">
        <v>29517</v>
      </c>
      <c r="AV8">
        <v>37602</v>
      </c>
      <c r="AW8">
        <v>1444296</v>
      </c>
      <c r="AX8">
        <v>54222</v>
      </c>
      <c r="AY8">
        <v>64350</v>
      </c>
      <c r="AZ8">
        <v>369318</v>
      </c>
      <c r="BA8">
        <v>75818</v>
      </c>
      <c r="BB8">
        <v>17357</v>
      </c>
      <c r="BC8">
        <v>70804</v>
      </c>
      <c r="BD8">
        <v>10343</v>
      </c>
      <c r="BE8">
        <v>141585</v>
      </c>
      <c r="BF8">
        <v>51081</v>
      </c>
      <c r="BG8">
        <v>9585</v>
      </c>
      <c r="BH8">
        <v>0</v>
      </c>
      <c r="BI8">
        <v>161304</v>
      </c>
      <c r="BJ8">
        <v>0</v>
      </c>
      <c r="BK8">
        <v>32093</v>
      </c>
      <c r="BL8">
        <v>42652</v>
      </c>
      <c r="BM8">
        <v>72712</v>
      </c>
      <c r="BN8">
        <v>0</v>
      </c>
      <c r="BO8">
        <v>458509</v>
      </c>
      <c r="BP8">
        <v>0</v>
      </c>
      <c r="BQ8">
        <v>47952</v>
      </c>
      <c r="BR8">
        <v>35539</v>
      </c>
      <c r="BS8">
        <v>1811</v>
      </c>
      <c r="BU8">
        <v>209740</v>
      </c>
      <c r="BV8">
        <v>650127</v>
      </c>
      <c r="BW8">
        <v>29647</v>
      </c>
      <c r="BX8">
        <v>15542</v>
      </c>
      <c r="BY8">
        <v>369325</v>
      </c>
      <c r="BZ8">
        <v>663116</v>
      </c>
      <c r="CA8">
        <v>5905</v>
      </c>
      <c r="CB8">
        <v>90998</v>
      </c>
      <c r="CC8">
        <v>73867</v>
      </c>
      <c r="CD8">
        <v>185932</v>
      </c>
      <c r="CE8">
        <v>77998</v>
      </c>
      <c r="CF8">
        <v>512860</v>
      </c>
      <c r="CG8">
        <v>136307</v>
      </c>
      <c r="CH8">
        <v>199570</v>
      </c>
      <c r="CI8">
        <v>280639</v>
      </c>
      <c r="CK8">
        <v>3251</v>
      </c>
    </row>
    <row r="9" spans="1:89" x14ac:dyDescent="0.3">
      <c r="A9" s="155">
        <v>13</v>
      </c>
      <c r="B9" t="s">
        <v>896</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U9">
        <v>0</v>
      </c>
      <c r="BV9">
        <v>0</v>
      </c>
      <c r="BW9">
        <v>0</v>
      </c>
      <c r="BX9">
        <v>0</v>
      </c>
      <c r="BY9">
        <v>0</v>
      </c>
      <c r="BZ9">
        <v>0</v>
      </c>
      <c r="CA9">
        <v>0</v>
      </c>
      <c r="CB9">
        <v>0</v>
      </c>
      <c r="CC9">
        <v>0</v>
      </c>
      <c r="CD9">
        <v>0</v>
      </c>
      <c r="CE9">
        <v>0</v>
      </c>
      <c r="CF9">
        <v>0</v>
      </c>
      <c r="CG9">
        <v>0</v>
      </c>
      <c r="CH9">
        <v>0</v>
      </c>
      <c r="CI9">
        <v>0</v>
      </c>
      <c r="CK9">
        <v>0</v>
      </c>
    </row>
    <row r="10" spans="1:89" x14ac:dyDescent="0.3">
      <c r="A10" s="155">
        <v>14</v>
      </c>
      <c r="B10" t="s">
        <v>897</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U10">
        <v>0</v>
      </c>
      <c r="BV10">
        <v>0</v>
      </c>
      <c r="BW10">
        <v>0</v>
      </c>
      <c r="BX10">
        <v>0</v>
      </c>
      <c r="BY10">
        <v>0</v>
      </c>
      <c r="BZ10">
        <v>0</v>
      </c>
      <c r="CA10">
        <v>0</v>
      </c>
      <c r="CB10">
        <v>0</v>
      </c>
      <c r="CC10">
        <v>0</v>
      </c>
      <c r="CD10">
        <v>0</v>
      </c>
      <c r="CE10">
        <v>0</v>
      </c>
      <c r="CF10">
        <v>0</v>
      </c>
      <c r="CG10">
        <v>0</v>
      </c>
      <c r="CH10">
        <v>0</v>
      </c>
      <c r="CI10">
        <v>0</v>
      </c>
      <c r="CK10">
        <v>0</v>
      </c>
    </row>
    <row r="11" spans="1:89" x14ac:dyDescent="0.3">
      <c r="A11" s="155">
        <v>16</v>
      </c>
      <c r="B11" t="s">
        <v>197</v>
      </c>
      <c r="D11">
        <v>879413</v>
      </c>
      <c r="E11">
        <v>1687855</v>
      </c>
      <c r="F11">
        <v>422101</v>
      </c>
      <c r="G11">
        <v>303729</v>
      </c>
      <c r="H11">
        <v>1077682</v>
      </c>
      <c r="I11">
        <v>6895576</v>
      </c>
      <c r="J11">
        <v>2269498</v>
      </c>
      <c r="K11">
        <v>16460515</v>
      </c>
      <c r="L11">
        <v>3284870</v>
      </c>
      <c r="M11">
        <v>23950581</v>
      </c>
      <c r="N11">
        <v>3171543</v>
      </c>
      <c r="O11">
        <v>208355393</v>
      </c>
      <c r="P11">
        <v>39652</v>
      </c>
      <c r="Q11">
        <v>197857</v>
      </c>
      <c r="R11">
        <v>1737295</v>
      </c>
      <c r="S11">
        <v>841746</v>
      </c>
      <c r="T11">
        <v>1732081</v>
      </c>
      <c r="U11">
        <v>199993</v>
      </c>
      <c r="V11">
        <v>319514</v>
      </c>
      <c r="W11">
        <v>1708846</v>
      </c>
      <c r="X11">
        <v>66331882</v>
      </c>
      <c r="Y11">
        <v>725676000</v>
      </c>
      <c r="Z11">
        <v>4918212</v>
      </c>
      <c r="AA11">
        <v>574385</v>
      </c>
      <c r="AB11">
        <v>4166785</v>
      </c>
      <c r="AC11">
        <v>878642</v>
      </c>
      <c r="AD11">
        <v>4402207</v>
      </c>
      <c r="AE11">
        <v>915372</v>
      </c>
      <c r="AF11">
        <v>35514013</v>
      </c>
      <c r="AG11">
        <v>5934666</v>
      </c>
      <c r="AH11">
        <v>1314597</v>
      </c>
      <c r="AI11">
        <v>10720665</v>
      </c>
      <c r="AJ11">
        <v>1128456</v>
      </c>
      <c r="AK11">
        <v>1711011</v>
      </c>
      <c r="AL11">
        <v>288418</v>
      </c>
      <c r="AM11">
        <v>217546</v>
      </c>
      <c r="AN11">
        <v>784419</v>
      </c>
      <c r="AO11">
        <v>1388252</v>
      </c>
      <c r="AP11">
        <v>32322</v>
      </c>
      <c r="AQ11">
        <v>109667504</v>
      </c>
      <c r="AR11">
        <v>137427</v>
      </c>
      <c r="AS11">
        <v>682995</v>
      </c>
      <c r="AT11">
        <v>11597508</v>
      </c>
      <c r="AU11">
        <v>661454</v>
      </c>
      <c r="AV11">
        <v>552397</v>
      </c>
      <c r="AW11">
        <v>28218554</v>
      </c>
      <c r="AX11">
        <v>123708</v>
      </c>
      <c r="AY11">
        <v>5905039</v>
      </c>
      <c r="AZ11">
        <v>4391072</v>
      </c>
      <c r="BA11">
        <v>258181</v>
      </c>
      <c r="BB11">
        <v>153406</v>
      </c>
      <c r="BC11">
        <v>2974848</v>
      </c>
      <c r="BD11">
        <v>77353</v>
      </c>
      <c r="BE11">
        <v>14596652</v>
      </c>
      <c r="BF11">
        <v>1846038</v>
      </c>
      <c r="BG11">
        <v>309730</v>
      </c>
      <c r="BH11">
        <v>368936</v>
      </c>
      <c r="BI11">
        <v>1898619</v>
      </c>
      <c r="BJ11">
        <v>392855</v>
      </c>
      <c r="BK11">
        <v>173633</v>
      </c>
      <c r="BL11">
        <v>1356466</v>
      </c>
      <c r="BM11">
        <v>331261</v>
      </c>
      <c r="BN11">
        <v>10572530</v>
      </c>
      <c r="BO11">
        <v>11915650</v>
      </c>
      <c r="BP11">
        <v>224963607</v>
      </c>
      <c r="BQ11">
        <v>51151</v>
      </c>
      <c r="BR11">
        <v>129253</v>
      </c>
      <c r="BS11">
        <v>454785</v>
      </c>
      <c r="BU11">
        <v>1697192</v>
      </c>
      <c r="BV11">
        <v>1887417</v>
      </c>
      <c r="BW11">
        <v>16741499</v>
      </c>
      <c r="BX11">
        <v>5754310</v>
      </c>
      <c r="BY11">
        <v>20927418</v>
      </c>
      <c r="BZ11">
        <v>4738732</v>
      </c>
      <c r="CA11">
        <v>348992</v>
      </c>
      <c r="CB11">
        <v>6584225</v>
      </c>
      <c r="CC11">
        <v>193440</v>
      </c>
      <c r="CD11">
        <v>939274</v>
      </c>
      <c r="CE11">
        <v>985455</v>
      </c>
      <c r="CF11">
        <v>8629179</v>
      </c>
      <c r="CG11">
        <v>11706142</v>
      </c>
      <c r="CH11">
        <v>1709604</v>
      </c>
      <c r="CI11">
        <v>3748461</v>
      </c>
      <c r="CK11">
        <v>58924</v>
      </c>
    </row>
    <row r="12" spans="1:89" x14ac:dyDescent="0.3">
      <c r="A12" s="155">
        <v>17</v>
      </c>
      <c r="B12" t="s">
        <v>200</v>
      </c>
      <c r="D12">
        <v>0</v>
      </c>
      <c r="E12">
        <v>0</v>
      </c>
      <c r="F12">
        <v>0</v>
      </c>
      <c r="G12">
        <v>0</v>
      </c>
      <c r="H12">
        <v>0</v>
      </c>
      <c r="I12">
        <v>0</v>
      </c>
      <c r="J12">
        <v>0</v>
      </c>
      <c r="K12">
        <v>725000</v>
      </c>
      <c r="L12">
        <v>0</v>
      </c>
      <c r="M12">
        <v>183668</v>
      </c>
      <c r="N12">
        <v>0</v>
      </c>
      <c r="O12">
        <v>14278178</v>
      </c>
      <c r="P12">
        <v>0</v>
      </c>
      <c r="Q12">
        <v>0</v>
      </c>
      <c r="R12">
        <v>149000</v>
      </c>
      <c r="S12">
        <v>0</v>
      </c>
      <c r="T12">
        <v>0</v>
      </c>
      <c r="U12">
        <v>0</v>
      </c>
      <c r="V12">
        <v>0</v>
      </c>
      <c r="W12">
        <v>0</v>
      </c>
      <c r="X12">
        <v>45000</v>
      </c>
      <c r="Y12">
        <v>4550000</v>
      </c>
      <c r="Z12">
        <v>0</v>
      </c>
      <c r="AA12">
        <v>0</v>
      </c>
      <c r="AB12">
        <v>9508</v>
      </c>
      <c r="AC12">
        <v>0</v>
      </c>
      <c r="AD12">
        <v>10931</v>
      </c>
      <c r="AE12">
        <v>0</v>
      </c>
      <c r="AF12">
        <v>0</v>
      </c>
      <c r="AG12">
        <v>169611</v>
      </c>
      <c r="AH12">
        <v>0</v>
      </c>
      <c r="AI12">
        <v>0</v>
      </c>
      <c r="AJ12">
        <v>0</v>
      </c>
      <c r="AK12">
        <v>7729</v>
      </c>
      <c r="AL12">
        <v>0</v>
      </c>
      <c r="AM12">
        <v>0</v>
      </c>
      <c r="AN12">
        <v>0</v>
      </c>
      <c r="AO12">
        <v>0</v>
      </c>
      <c r="AP12">
        <v>0</v>
      </c>
      <c r="AQ12">
        <v>5244928</v>
      </c>
      <c r="AR12">
        <v>0</v>
      </c>
      <c r="AS12">
        <v>0</v>
      </c>
      <c r="AT12">
        <v>500074</v>
      </c>
      <c r="AU12">
        <v>0</v>
      </c>
      <c r="AV12">
        <v>0</v>
      </c>
      <c r="AW12">
        <v>0</v>
      </c>
      <c r="AX12">
        <v>0</v>
      </c>
      <c r="AY12">
        <v>235386</v>
      </c>
      <c r="AZ12">
        <v>0</v>
      </c>
      <c r="BA12">
        <v>0</v>
      </c>
      <c r="BB12">
        <v>0</v>
      </c>
      <c r="BC12">
        <v>895733</v>
      </c>
      <c r="BD12">
        <v>0</v>
      </c>
      <c r="BE12">
        <v>0</v>
      </c>
      <c r="BF12">
        <v>0</v>
      </c>
      <c r="BG12">
        <v>0</v>
      </c>
      <c r="BH12">
        <v>0</v>
      </c>
      <c r="BI12">
        <v>0</v>
      </c>
      <c r="BJ12">
        <v>0</v>
      </c>
      <c r="BK12">
        <v>0</v>
      </c>
      <c r="BL12">
        <v>0</v>
      </c>
      <c r="BM12">
        <v>0</v>
      </c>
      <c r="BN12">
        <v>0</v>
      </c>
      <c r="BO12">
        <v>0</v>
      </c>
      <c r="BP12">
        <v>0</v>
      </c>
      <c r="BQ12">
        <v>0</v>
      </c>
      <c r="BR12">
        <v>0</v>
      </c>
      <c r="BS12">
        <v>0</v>
      </c>
      <c r="BU12">
        <v>0</v>
      </c>
      <c r="BV12">
        <v>0</v>
      </c>
      <c r="BW12">
        <v>40702</v>
      </c>
      <c r="BX12">
        <v>333560</v>
      </c>
      <c r="BY12">
        <v>1005000</v>
      </c>
      <c r="BZ12">
        <v>0</v>
      </c>
      <c r="CA12">
        <v>0</v>
      </c>
      <c r="CB12">
        <v>0</v>
      </c>
      <c r="CC12">
        <v>0</v>
      </c>
      <c r="CD12">
        <v>0</v>
      </c>
      <c r="CE12">
        <v>0</v>
      </c>
      <c r="CF12">
        <v>0</v>
      </c>
      <c r="CG12">
        <v>0</v>
      </c>
      <c r="CH12">
        <v>0</v>
      </c>
      <c r="CI12">
        <v>0</v>
      </c>
      <c r="CK12">
        <v>0</v>
      </c>
    </row>
    <row r="13" spans="1:89" x14ac:dyDescent="0.3">
      <c r="A13" s="155">
        <v>20</v>
      </c>
      <c r="B13" t="s">
        <v>201</v>
      </c>
      <c r="D13">
        <v>0</v>
      </c>
      <c r="E13">
        <v>406226</v>
      </c>
      <c r="F13">
        <v>0</v>
      </c>
      <c r="G13">
        <v>0</v>
      </c>
      <c r="H13">
        <v>0</v>
      </c>
      <c r="I13">
        <v>0</v>
      </c>
      <c r="J13">
        <v>0</v>
      </c>
      <c r="K13">
        <v>550000</v>
      </c>
      <c r="L13">
        <v>0</v>
      </c>
      <c r="M13">
        <v>636150</v>
      </c>
      <c r="N13">
        <v>0</v>
      </c>
      <c r="O13">
        <v>31605514</v>
      </c>
      <c r="P13">
        <v>0</v>
      </c>
      <c r="Q13">
        <v>0</v>
      </c>
      <c r="R13">
        <v>24750</v>
      </c>
      <c r="S13">
        <v>0</v>
      </c>
      <c r="T13">
        <v>0</v>
      </c>
      <c r="U13">
        <v>0</v>
      </c>
      <c r="V13">
        <v>37557</v>
      </c>
      <c r="W13">
        <v>0</v>
      </c>
      <c r="X13">
        <v>843487</v>
      </c>
      <c r="Y13">
        <v>36197000</v>
      </c>
      <c r="Z13">
        <v>0</v>
      </c>
      <c r="AA13">
        <v>3892</v>
      </c>
      <c r="AB13">
        <v>0</v>
      </c>
      <c r="AC13">
        <v>0</v>
      </c>
      <c r="AD13">
        <v>4191</v>
      </c>
      <c r="AE13">
        <v>0</v>
      </c>
      <c r="AF13">
        <v>253000</v>
      </c>
      <c r="AG13">
        <v>64005</v>
      </c>
      <c r="AH13">
        <v>0</v>
      </c>
      <c r="AI13">
        <v>22100</v>
      </c>
      <c r="AJ13">
        <v>0</v>
      </c>
      <c r="AK13">
        <v>0</v>
      </c>
      <c r="AL13">
        <v>0</v>
      </c>
      <c r="AM13">
        <v>0</v>
      </c>
      <c r="AN13">
        <v>0</v>
      </c>
      <c r="AO13">
        <v>0</v>
      </c>
      <c r="AP13">
        <v>0</v>
      </c>
      <c r="AQ13">
        <v>17998906</v>
      </c>
      <c r="AR13">
        <v>0</v>
      </c>
      <c r="AS13">
        <v>0</v>
      </c>
      <c r="AT13">
        <v>673456</v>
      </c>
      <c r="AU13">
        <v>0</v>
      </c>
      <c r="AV13">
        <v>0</v>
      </c>
      <c r="AW13">
        <v>1402526</v>
      </c>
      <c r="AX13">
        <v>0</v>
      </c>
      <c r="AY13">
        <v>0</v>
      </c>
      <c r="AZ13">
        <v>379463</v>
      </c>
      <c r="BA13">
        <v>0</v>
      </c>
      <c r="BB13">
        <v>0</v>
      </c>
      <c r="BC13">
        <v>0</v>
      </c>
      <c r="BD13">
        <v>0</v>
      </c>
      <c r="BE13">
        <v>1037308</v>
      </c>
      <c r="BF13">
        <v>0</v>
      </c>
      <c r="BG13">
        <v>0</v>
      </c>
      <c r="BH13">
        <v>0</v>
      </c>
      <c r="BI13">
        <v>0</v>
      </c>
      <c r="BJ13">
        <v>0</v>
      </c>
      <c r="BK13">
        <v>0</v>
      </c>
      <c r="BL13">
        <v>0</v>
      </c>
      <c r="BM13">
        <v>0</v>
      </c>
      <c r="BN13">
        <v>0</v>
      </c>
      <c r="BO13">
        <v>2000</v>
      </c>
      <c r="BP13">
        <v>6747963</v>
      </c>
      <c r="BQ13">
        <v>0</v>
      </c>
      <c r="BR13">
        <v>0</v>
      </c>
      <c r="BS13">
        <v>0</v>
      </c>
      <c r="BU13">
        <v>49997</v>
      </c>
      <c r="BV13">
        <v>0</v>
      </c>
      <c r="BW13">
        <v>0</v>
      </c>
      <c r="BX13">
        <v>517113</v>
      </c>
      <c r="BY13">
        <v>0</v>
      </c>
      <c r="BZ13">
        <v>223393</v>
      </c>
      <c r="CA13">
        <v>0</v>
      </c>
      <c r="CB13">
        <v>83049</v>
      </c>
      <c r="CC13">
        <v>0</v>
      </c>
      <c r="CD13">
        <v>0</v>
      </c>
      <c r="CE13">
        <v>0</v>
      </c>
      <c r="CF13">
        <v>0</v>
      </c>
      <c r="CG13">
        <v>369952</v>
      </c>
      <c r="CH13">
        <v>0</v>
      </c>
      <c r="CI13">
        <v>0</v>
      </c>
      <c r="CK13">
        <v>11250</v>
      </c>
    </row>
    <row r="14" spans="1:89" x14ac:dyDescent="0.3">
      <c r="A14" s="155">
        <v>22</v>
      </c>
      <c r="B14" t="s">
        <v>203</v>
      </c>
      <c r="D14">
        <v>0</v>
      </c>
      <c r="E14">
        <v>0</v>
      </c>
      <c r="F14">
        <v>0</v>
      </c>
      <c r="G14">
        <v>0</v>
      </c>
      <c r="H14">
        <v>0</v>
      </c>
      <c r="I14">
        <v>43008</v>
      </c>
      <c r="J14">
        <v>0</v>
      </c>
      <c r="K14">
        <v>0</v>
      </c>
      <c r="L14">
        <v>0</v>
      </c>
      <c r="M14">
        <v>82606</v>
      </c>
      <c r="N14">
        <v>0</v>
      </c>
      <c r="O14">
        <v>4258004</v>
      </c>
      <c r="P14">
        <v>0</v>
      </c>
      <c r="Q14">
        <v>0</v>
      </c>
      <c r="R14">
        <v>0</v>
      </c>
      <c r="S14">
        <v>13250</v>
      </c>
      <c r="T14">
        <v>0</v>
      </c>
      <c r="U14">
        <v>0</v>
      </c>
      <c r="V14">
        <v>0</v>
      </c>
      <c r="W14">
        <v>7163</v>
      </c>
      <c r="X14">
        <v>28019</v>
      </c>
      <c r="Y14">
        <v>1345000</v>
      </c>
      <c r="Z14">
        <v>353138</v>
      </c>
      <c r="AA14">
        <v>0</v>
      </c>
      <c r="AB14">
        <v>338183</v>
      </c>
      <c r="AC14">
        <v>0</v>
      </c>
      <c r="AD14">
        <v>0</v>
      </c>
      <c r="AE14">
        <v>0</v>
      </c>
      <c r="AF14">
        <v>0</v>
      </c>
      <c r="AG14">
        <v>0</v>
      </c>
      <c r="AH14">
        <v>0</v>
      </c>
      <c r="AI14">
        <v>5053</v>
      </c>
      <c r="AJ14">
        <v>5000</v>
      </c>
      <c r="AK14">
        <v>0</v>
      </c>
      <c r="AL14">
        <v>14700</v>
      </c>
      <c r="AM14">
        <v>0</v>
      </c>
      <c r="AN14">
        <v>0</v>
      </c>
      <c r="AO14">
        <v>13500</v>
      </c>
      <c r="AP14">
        <v>0</v>
      </c>
      <c r="AQ14">
        <v>474086</v>
      </c>
      <c r="AR14">
        <v>0</v>
      </c>
      <c r="AS14">
        <v>0</v>
      </c>
      <c r="AT14">
        <v>0</v>
      </c>
      <c r="AU14">
        <v>0</v>
      </c>
      <c r="AV14">
        <v>0</v>
      </c>
      <c r="AW14">
        <v>0</v>
      </c>
      <c r="AX14">
        <v>0</v>
      </c>
      <c r="AY14">
        <v>17649</v>
      </c>
      <c r="AZ14">
        <v>308700</v>
      </c>
      <c r="BA14">
        <v>0</v>
      </c>
      <c r="BB14">
        <v>0</v>
      </c>
      <c r="BC14">
        <v>0</v>
      </c>
      <c r="BD14">
        <v>0</v>
      </c>
      <c r="BE14">
        <v>23093</v>
      </c>
      <c r="BF14">
        <v>0</v>
      </c>
      <c r="BG14">
        <v>451988</v>
      </c>
      <c r="BH14">
        <v>71966</v>
      </c>
      <c r="BI14">
        <v>0</v>
      </c>
      <c r="BJ14">
        <v>0</v>
      </c>
      <c r="BK14">
        <v>0</v>
      </c>
      <c r="BL14">
        <v>0</v>
      </c>
      <c r="BM14">
        <v>0</v>
      </c>
      <c r="BN14">
        <v>0</v>
      </c>
      <c r="BO14">
        <v>0</v>
      </c>
      <c r="BP14">
        <v>423456</v>
      </c>
      <c r="BQ14">
        <v>0</v>
      </c>
      <c r="BR14">
        <v>0</v>
      </c>
      <c r="BS14">
        <v>0</v>
      </c>
      <c r="BU14">
        <v>0</v>
      </c>
      <c r="BV14">
        <v>20694</v>
      </c>
      <c r="BW14">
        <v>0</v>
      </c>
      <c r="BX14">
        <v>42591</v>
      </c>
      <c r="BY14">
        <v>13605</v>
      </c>
      <c r="BZ14">
        <v>0</v>
      </c>
      <c r="CA14">
        <v>0</v>
      </c>
      <c r="CB14">
        <v>0</v>
      </c>
      <c r="CC14">
        <v>0</v>
      </c>
      <c r="CD14">
        <v>0</v>
      </c>
      <c r="CE14">
        <v>0</v>
      </c>
      <c r="CF14">
        <v>22296</v>
      </c>
      <c r="CG14">
        <v>0</v>
      </c>
      <c r="CH14">
        <v>0</v>
      </c>
      <c r="CI14">
        <v>0</v>
      </c>
      <c r="CK14">
        <v>0</v>
      </c>
    </row>
    <row r="15" spans="1:89" x14ac:dyDescent="0.3">
      <c r="A15" s="155">
        <v>23</v>
      </c>
      <c r="B15" t="s">
        <v>206</v>
      </c>
      <c r="D15">
        <v>288187</v>
      </c>
      <c r="E15">
        <v>185765</v>
      </c>
      <c r="F15">
        <v>-137196</v>
      </c>
      <c r="G15">
        <v>112987</v>
      </c>
      <c r="H15">
        <v>170030</v>
      </c>
      <c r="I15">
        <v>481997</v>
      </c>
      <c r="J15">
        <v>39582</v>
      </c>
      <c r="K15">
        <v>2324003</v>
      </c>
      <c r="L15">
        <v>1271601</v>
      </c>
      <c r="M15">
        <v>1906818</v>
      </c>
      <c r="N15">
        <v>241033</v>
      </c>
      <c r="O15">
        <v>7350002</v>
      </c>
      <c r="P15">
        <v>4764</v>
      </c>
      <c r="Q15">
        <v>-6432</v>
      </c>
      <c r="R15">
        <v>163655</v>
      </c>
      <c r="S15">
        <v>160806</v>
      </c>
      <c r="T15">
        <v>379763</v>
      </c>
      <c r="U15">
        <v>17255</v>
      </c>
      <c r="V15">
        <v>107554</v>
      </c>
      <c r="W15">
        <v>210210</v>
      </c>
      <c r="X15">
        <v>7028454</v>
      </c>
      <c r="Y15">
        <v>3047000</v>
      </c>
      <c r="Z15">
        <v>3625808</v>
      </c>
      <c r="AA15">
        <v>-9015</v>
      </c>
      <c r="AB15">
        <v>200943</v>
      </c>
      <c r="AC15">
        <v>-363969</v>
      </c>
      <c r="AD15">
        <v>259708</v>
      </c>
      <c r="AE15">
        <v>338484</v>
      </c>
      <c r="AF15">
        <v>6486889</v>
      </c>
      <c r="AG15">
        <v>-620731</v>
      </c>
      <c r="AH15">
        <v>166886</v>
      </c>
      <c r="AI15">
        <v>827351</v>
      </c>
      <c r="AJ15">
        <v>101686</v>
      </c>
      <c r="AK15">
        <v>187543</v>
      </c>
      <c r="AL15">
        <v>-174105</v>
      </c>
      <c r="AM15">
        <v>20893</v>
      </c>
      <c r="AN15">
        <v>172591</v>
      </c>
      <c r="AO15">
        <v>185298</v>
      </c>
      <c r="AP15">
        <v>5921</v>
      </c>
      <c r="AQ15">
        <v>6747726</v>
      </c>
      <c r="AR15">
        <v>32801</v>
      </c>
      <c r="AS15">
        <v>277218</v>
      </c>
      <c r="AT15">
        <v>2041997</v>
      </c>
      <c r="AU15">
        <v>-52176</v>
      </c>
      <c r="AV15">
        <v>69534</v>
      </c>
      <c r="AW15">
        <v>5127125</v>
      </c>
      <c r="AX15">
        <v>1884</v>
      </c>
      <c r="AY15">
        <v>733338</v>
      </c>
      <c r="AZ15">
        <v>269369</v>
      </c>
      <c r="BA15">
        <v>107883</v>
      </c>
      <c r="BB15">
        <v>36428</v>
      </c>
      <c r="BC15">
        <v>506238</v>
      </c>
      <c r="BD15">
        <v>3266</v>
      </c>
      <c r="BE15">
        <v>2743751</v>
      </c>
      <c r="BF15">
        <v>357409</v>
      </c>
      <c r="BG15">
        <v>327294</v>
      </c>
      <c r="BH15">
        <v>85519</v>
      </c>
      <c r="BI15">
        <v>128120</v>
      </c>
      <c r="BJ15">
        <v>148741</v>
      </c>
      <c r="BK15">
        <v>12103</v>
      </c>
      <c r="BL15">
        <v>223068</v>
      </c>
      <c r="BM15">
        <v>-72019</v>
      </c>
      <c r="BN15">
        <v>1251016</v>
      </c>
      <c r="BO15">
        <v>1396297</v>
      </c>
      <c r="BP15">
        <v>19618356</v>
      </c>
      <c r="BQ15">
        <v>-20</v>
      </c>
      <c r="BR15">
        <v>8862</v>
      </c>
      <c r="BS15">
        <v>83582</v>
      </c>
      <c r="BU15">
        <v>113430</v>
      </c>
      <c r="BV15">
        <v>559849</v>
      </c>
      <c r="BW15">
        <v>1750198</v>
      </c>
      <c r="BX15">
        <v>307514</v>
      </c>
      <c r="BY15">
        <v>508870</v>
      </c>
      <c r="BZ15">
        <v>-374993</v>
      </c>
      <c r="CA15">
        <v>101699</v>
      </c>
      <c r="CB15">
        <v>1137300</v>
      </c>
      <c r="CC15">
        <v>6051</v>
      </c>
      <c r="CD15">
        <v>-37791</v>
      </c>
      <c r="CE15">
        <v>205514</v>
      </c>
      <c r="CF15">
        <v>1558650</v>
      </c>
      <c r="CG15">
        <v>663376</v>
      </c>
      <c r="CH15">
        <v>183506</v>
      </c>
      <c r="CI15">
        <v>796997</v>
      </c>
      <c r="CK15">
        <v>-10253</v>
      </c>
    </row>
    <row r="16" spans="1:89" x14ac:dyDescent="0.3">
      <c r="A16" s="155">
        <v>31</v>
      </c>
      <c r="B16" t="s">
        <v>898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U16">
        <v>0</v>
      </c>
      <c r="BV16">
        <v>0</v>
      </c>
      <c r="BW16">
        <v>0</v>
      </c>
      <c r="BX16">
        <v>0</v>
      </c>
      <c r="BY16">
        <v>0</v>
      </c>
      <c r="BZ16">
        <v>0</v>
      </c>
      <c r="CA16">
        <v>0</v>
      </c>
      <c r="CB16">
        <v>0</v>
      </c>
      <c r="CC16">
        <v>0</v>
      </c>
      <c r="CD16">
        <v>0</v>
      </c>
      <c r="CE16">
        <v>0</v>
      </c>
      <c r="CF16">
        <v>0</v>
      </c>
      <c r="CG16">
        <v>0</v>
      </c>
      <c r="CH16">
        <v>0</v>
      </c>
      <c r="CI16">
        <v>0</v>
      </c>
      <c r="CK16">
        <v>0</v>
      </c>
    </row>
    <row r="17" spans="1:89" x14ac:dyDescent="0.3">
      <c r="A17" s="155">
        <v>32</v>
      </c>
      <c r="B17" t="s">
        <v>899</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U17">
        <v>0</v>
      </c>
      <c r="BV17">
        <v>0</v>
      </c>
      <c r="BW17">
        <v>0</v>
      </c>
      <c r="BX17">
        <v>0</v>
      </c>
      <c r="BY17">
        <v>0</v>
      </c>
      <c r="BZ17">
        <v>0</v>
      </c>
      <c r="CA17">
        <v>0</v>
      </c>
      <c r="CB17">
        <v>0</v>
      </c>
      <c r="CC17">
        <v>0</v>
      </c>
      <c r="CD17">
        <v>0</v>
      </c>
      <c r="CE17">
        <v>0</v>
      </c>
      <c r="CF17">
        <v>0</v>
      </c>
      <c r="CG17">
        <v>0</v>
      </c>
      <c r="CH17">
        <v>0</v>
      </c>
      <c r="CI17">
        <v>0</v>
      </c>
      <c r="CK17">
        <v>0</v>
      </c>
    </row>
    <row r="18" spans="1:89" x14ac:dyDescent="0.3">
      <c r="A18" s="155">
        <v>33</v>
      </c>
      <c r="B18" t="s">
        <v>282</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U18">
        <v>0</v>
      </c>
      <c r="BV18">
        <v>0</v>
      </c>
      <c r="BW18">
        <v>0</v>
      </c>
      <c r="BX18">
        <v>0</v>
      </c>
      <c r="BY18">
        <v>0</v>
      </c>
      <c r="BZ18">
        <v>0</v>
      </c>
      <c r="CA18">
        <v>0</v>
      </c>
      <c r="CB18">
        <v>0</v>
      </c>
      <c r="CC18">
        <v>0</v>
      </c>
      <c r="CD18">
        <v>0</v>
      </c>
      <c r="CE18">
        <v>0</v>
      </c>
      <c r="CF18">
        <v>0</v>
      </c>
      <c r="CG18">
        <v>0</v>
      </c>
      <c r="CH18">
        <v>0</v>
      </c>
      <c r="CI18">
        <v>0</v>
      </c>
      <c r="CK18">
        <v>0</v>
      </c>
    </row>
    <row r="19" spans="1:89" x14ac:dyDescent="0.3">
      <c r="A19" s="155">
        <v>34</v>
      </c>
      <c r="B19" t="s">
        <v>900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U19">
        <v>0</v>
      </c>
      <c r="BV19">
        <v>0</v>
      </c>
      <c r="BW19">
        <v>0</v>
      </c>
      <c r="BX19">
        <v>0</v>
      </c>
      <c r="BY19">
        <v>0</v>
      </c>
      <c r="BZ19">
        <v>0</v>
      </c>
      <c r="CA19">
        <v>0</v>
      </c>
      <c r="CB19">
        <v>0</v>
      </c>
      <c r="CC19">
        <v>0</v>
      </c>
      <c r="CD19">
        <v>0</v>
      </c>
      <c r="CE19">
        <v>0</v>
      </c>
      <c r="CF19">
        <v>0</v>
      </c>
      <c r="CG19">
        <v>0</v>
      </c>
      <c r="CH19">
        <v>0</v>
      </c>
      <c r="CI19">
        <v>0</v>
      </c>
      <c r="CK19">
        <v>0</v>
      </c>
    </row>
    <row r="20" spans="1:89" x14ac:dyDescent="0.3">
      <c r="A20" s="155">
        <v>35</v>
      </c>
      <c r="B20" t="s">
        <v>901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U20">
        <v>0</v>
      </c>
      <c r="BV20">
        <v>0</v>
      </c>
      <c r="BW20">
        <v>0</v>
      </c>
      <c r="BX20">
        <v>0</v>
      </c>
      <c r="BY20">
        <v>0</v>
      </c>
      <c r="BZ20">
        <v>0</v>
      </c>
      <c r="CA20">
        <v>0</v>
      </c>
      <c r="CB20">
        <v>0</v>
      </c>
      <c r="CC20">
        <v>0</v>
      </c>
      <c r="CD20">
        <v>0</v>
      </c>
      <c r="CE20">
        <v>0</v>
      </c>
      <c r="CF20">
        <v>0</v>
      </c>
      <c r="CG20">
        <v>0</v>
      </c>
      <c r="CH20">
        <v>0</v>
      </c>
      <c r="CI20">
        <v>0</v>
      </c>
      <c r="CK20">
        <v>0</v>
      </c>
    </row>
    <row r="21" spans="1:89" x14ac:dyDescent="0.3">
      <c r="A21" s="155">
        <v>36</v>
      </c>
      <c r="B21" t="s">
        <v>902</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U21">
        <v>0</v>
      </c>
      <c r="BV21">
        <v>0</v>
      </c>
      <c r="BW21">
        <v>0</v>
      </c>
      <c r="BX21">
        <v>0</v>
      </c>
      <c r="BY21">
        <v>0</v>
      </c>
      <c r="BZ21">
        <v>0</v>
      </c>
      <c r="CA21">
        <v>0</v>
      </c>
      <c r="CB21">
        <v>0</v>
      </c>
      <c r="CC21">
        <v>0</v>
      </c>
      <c r="CD21">
        <v>0</v>
      </c>
      <c r="CE21">
        <v>0</v>
      </c>
      <c r="CF21">
        <v>0</v>
      </c>
      <c r="CG21">
        <v>0</v>
      </c>
      <c r="CH21">
        <v>0</v>
      </c>
      <c r="CI21">
        <v>0</v>
      </c>
      <c r="CK21">
        <v>0</v>
      </c>
    </row>
    <row r="22" spans="1:89" x14ac:dyDescent="0.3">
      <c r="A22" s="155">
        <v>37</v>
      </c>
      <c r="B22" t="s">
        <v>903</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U22">
        <v>0</v>
      </c>
      <c r="BV22">
        <v>0</v>
      </c>
      <c r="BW22">
        <v>0</v>
      </c>
      <c r="BX22">
        <v>0</v>
      </c>
      <c r="BY22">
        <v>0</v>
      </c>
      <c r="BZ22">
        <v>0</v>
      </c>
      <c r="CA22">
        <v>0</v>
      </c>
      <c r="CB22">
        <v>0</v>
      </c>
      <c r="CC22">
        <v>0</v>
      </c>
      <c r="CD22">
        <v>0</v>
      </c>
      <c r="CE22">
        <v>0</v>
      </c>
      <c r="CF22">
        <v>0</v>
      </c>
      <c r="CG22">
        <v>0</v>
      </c>
      <c r="CH22">
        <v>0</v>
      </c>
      <c r="CI22">
        <v>0</v>
      </c>
      <c r="CK22">
        <v>0</v>
      </c>
    </row>
    <row r="23" spans="1:89" x14ac:dyDescent="0.3">
      <c r="A23" s="155">
        <v>38</v>
      </c>
      <c r="B23" t="s">
        <v>904</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U23">
        <v>0</v>
      </c>
      <c r="BV23">
        <v>0</v>
      </c>
      <c r="BW23">
        <v>0</v>
      </c>
      <c r="BX23">
        <v>0</v>
      </c>
      <c r="BY23">
        <v>0</v>
      </c>
      <c r="BZ23">
        <v>0</v>
      </c>
      <c r="CA23">
        <v>0</v>
      </c>
      <c r="CB23">
        <v>0</v>
      </c>
      <c r="CC23">
        <v>0</v>
      </c>
      <c r="CD23">
        <v>0</v>
      </c>
      <c r="CE23">
        <v>0</v>
      </c>
      <c r="CF23">
        <v>0</v>
      </c>
      <c r="CG23">
        <v>0</v>
      </c>
      <c r="CH23">
        <v>0</v>
      </c>
      <c r="CI23">
        <v>0</v>
      </c>
      <c r="CK23">
        <v>0</v>
      </c>
    </row>
    <row r="24" spans="1:89" x14ac:dyDescent="0.3">
      <c r="A24" s="155">
        <v>39</v>
      </c>
      <c r="B24" t="s">
        <v>905</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U24">
        <v>0</v>
      </c>
      <c r="BV24">
        <v>0</v>
      </c>
      <c r="BW24">
        <v>0</v>
      </c>
      <c r="BX24">
        <v>0</v>
      </c>
      <c r="BY24">
        <v>0</v>
      </c>
      <c r="BZ24">
        <v>0</v>
      </c>
      <c r="CA24">
        <v>0</v>
      </c>
      <c r="CB24">
        <v>0</v>
      </c>
      <c r="CC24">
        <v>0</v>
      </c>
      <c r="CD24">
        <v>0</v>
      </c>
      <c r="CE24">
        <v>0</v>
      </c>
      <c r="CF24">
        <v>0</v>
      </c>
      <c r="CG24">
        <v>0</v>
      </c>
      <c r="CH24">
        <v>0</v>
      </c>
      <c r="CI24">
        <v>0</v>
      </c>
      <c r="CK24">
        <v>0</v>
      </c>
    </row>
    <row r="25" spans="1:89" x14ac:dyDescent="0.3">
      <c r="A25" s="155">
        <v>40</v>
      </c>
      <c r="B25" t="s">
        <v>906</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U25">
        <v>0</v>
      </c>
      <c r="BV25">
        <v>0</v>
      </c>
      <c r="BW25">
        <v>0</v>
      </c>
      <c r="BX25">
        <v>0</v>
      </c>
      <c r="BY25">
        <v>0</v>
      </c>
      <c r="BZ25">
        <v>0</v>
      </c>
      <c r="CA25">
        <v>0</v>
      </c>
      <c r="CB25">
        <v>0</v>
      </c>
      <c r="CC25">
        <v>0</v>
      </c>
      <c r="CD25">
        <v>0</v>
      </c>
      <c r="CE25">
        <v>0</v>
      </c>
      <c r="CF25">
        <v>0</v>
      </c>
      <c r="CG25">
        <v>0</v>
      </c>
      <c r="CH25">
        <v>0</v>
      </c>
      <c r="CI25">
        <v>0</v>
      </c>
      <c r="CK25">
        <v>0</v>
      </c>
    </row>
    <row r="26" spans="1:89" x14ac:dyDescent="0.3">
      <c r="A26" s="155">
        <v>41</v>
      </c>
      <c r="B26" t="s">
        <v>907</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U26">
        <v>0</v>
      </c>
      <c r="BV26">
        <v>0</v>
      </c>
      <c r="BW26">
        <v>0</v>
      </c>
      <c r="BX26">
        <v>0</v>
      </c>
      <c r="BY26">
        <v>0</v>
      </c>
      <c r="BZ26">
        <v>0</v>
      </c>
      <c r="CA26">
        <v>0</v>
      </c>
      <c r="CB26">
        <v>0</v>
      </c>
      <c r="CC26">
        <v>0</v>
      </c>
      <c r="CD26">
        <v>0</v>
      </c>
      <c r="CE26">
        <v>0</v>
      </c>
      <c r="CF26">
        <v>0</v>
      </c>
      <c r="CG26">
        <v>0</v>
      </c>
      <c r="CH26">
        <v>0</v>
      </c>
      <c r="CI26">
        <v>0</v>
      </c>
      <c r="CK26">
        <v>0</v>
      </c>
    </row>
    <row r="27" spans="1:89" x14ac:dyDescent="0.3">
      <c r="A27" s="155">
        <v>44</v>
      </c>
      <c r="B27" t="s">
        <v>908</v>
      </c>
      <c r="D27">
        <v>162659</v>
      </c>
      <c r="E27">
        <v>0</v>
      </c>
      <c r="F27">
        <v>1071444</v>
      </c>
      <c r="G27">
        <v>249236</v>
      </c>
      <c r="H27">
        <v>489501</v>
      </c>
      <c r="I27">
        <v>4839664</v>
      </c>
      <c r="J27">
        <v>0</v>
      </c>
      <c r="K27">
        <v>4316692</v>
      </c>
      <c r="L27">
        <v>0</v>
      </c>
      <c r="M27">
        <v>0</v>
      </c>
      <c r="N27">
        <v>1011836</v>
      </c>
      <c r="O27">
        <v>285546305</v>
      </c>
      <c r="P27">
        <v>0</v>
      </c>
      <c r="Q27">
        <v>0</v>
      </c>
      <c r="R27">
        <v>0</v>
      </c>
      <c r="S27">
        <v>0</v>
      </c>
      <c r="T27">
        <v>0</v>
      </c>
      <c r="U27">
        <v>0</v>
      </c>
      <c r="V27">
        <v>133802</v>
      </c>
      <c r="W27">
        <v>2071947</v>
      </c>
      <c r="X27">
        <v>0</v>
      </c>
      <c r="Y27">
        <v>316368000</v>
      </c>
      <c r="Z27">
        <v>1322442</v>
      </c>
      <c r="AA27">
        <v>226573</v>
      </c>
      <c r="AB27">
        <v>0</v>
      </c>
      <c r="AC27">
        <v>547016</v>
      </c>
      <c r="AD27">
        <v>3767373</v>
      </c>
      <c r="AE27">
        <v>438531</v>
      </c>
      <c r="AF27">
        <v>14285732</v>
      </c>
      <c r="AG27">
        <v>0</v>
      </c>
      <c r="AH27">
        <v>2837003</v>
      </c>
      <c r="AI27">
        <v>6174426</v>
      </c>
      <c r="AJ27">
        <v>1159831</v>
      </c>
      <c r="AK27">
        <v>872766</v>
      </c>
      <c r="AL27">
        <v>522691</v>
      </c>
      <c r="AM27">
        <v>128174</v>
      </c>
      <c r="AN27">
        <v>2663836</v>
      </c>
      <c r="AO27">
        <v>1371807</v>
      </c>
      <c r="AP27">
        <v>0</v>
      </c>
      <c r="AQ27">
        <v>100064296</v>
      </c>
      <c r="AR27">
        <v>0</v>
      </c>
      <c r="AS27">
        <v>47917</v>
      </c>
      <c r="AT27">
        <v>8527628</v>
      </c>
      <c r="AU27">
        <v>1198112</v>
      </c>
      <c r="AV27">
        <v>0</v>
      </c>
      <c r="AW27">
        <v>0</v>
      </c>
      <c r="AX27">
        <v>137027</v>
      </c>
      <c r="AY27">
        <v>0</v>
      </c>
      <c r="AZ27">
        <v>0</v>
      </c>
      <c r="BA27">
        <v>347000</v>
      </c>
      <c r="BB27">
        <v>74629</v>
      </c>
      <c r="BC27">
        <v>2595088</v>
      </c>
      <c r="BD27">
        <v>0</v>
      </c>
      <c r="BE27">
        <v>0</v>
      </c>
      <c r="BF27">
        <v>881326</v>
      </c>
      <c r="BG27">
        <v>0</v>
      </c>
      <c r="BH27">
        <v>0</v>
      </c>
      <c r="BI27">
        <v>1369825</v>
      </c>
      <c r="BJ27">
        <v>0</v>
      </c>
      <c r="BK27">
        <v>47976</v>
      </c>
      <c r="BL27">
        <v>644794</v>
      </c>
      <c r="BM27">
        <v>380637</v>
      </c>
      <c r="BN27">
        <v>0</v>
      </c>
      <c r="BO27">
        <v>3922559</v>
      </c>
      <c r="BP27">
        <v>159323103</v>
      </c>
      <c r="BQ27">
        <v>0</v>
      </c>
      <c r="BR27">
        <v>117399</v>
      </c>
      <c r="BS27">
        <v>448532</v>
      </c>
      <c r="BU27">
        <v>324703</v>
      </c>
      <c r="BV27">
        <v>0</v>
      </c>
      <c r="BW27">
        <v>9328898</v>
      </c>
      <c r="BX27">
        <v>1135643</v>
      </c>
      <c r="BY27">
        <v>8510197</v>
      </c>
      <c r="BZ27">
        <v>2748760</v>
      </c>
      <c r="CA27">
        <v>194335</v>
      </c>
      <c r="CB27">
        <v>2370107</v>
      </c>
      <c r="CC27">
        <v>895125</v>
      </c>
      <c r="CD27">
        <v>106649</v>
      </c>
      <c r="CE27">
        <v>412212</v>
      </c>
      <c r="CF27">
        <v>4311790</v>
      </c>
      <c r="CG27">
        <v>0</v>
      </c>
      <c r="CH27">
        <v>985650</v>
      </c>
      <c r="CI27">
        <v>0</v>
      </c>
      <c r="CK27">
        <v>19139</v>
      </c>
    </row>
    <row r="28" spans="1:89" x14ac:dyDescent="0.3">
      <c r="A28" s="155">
        <v>45</v>
      </c>
      <c r="B28" t="s">
        <v>909</v>
      </c>
      <c r="D28">
        <v>11630</v>
      </c>
      <c r="E28">
        <v>0</v>
      </c>
      <c r="F28">
        <v>11534</v>
      </c>
      <c r="G28">
        <v>62761</v>
      </c>
      <c r="H28">
        <v>80517</v>
      </c>
      <c r="I28">
        <v>361687</v>
      </c>
      <c r="J28">
        <v>0</v>
      </c>
      <c r="K28">
        <v>2370331</v>
      </c>
      <c r="L28">
        <v>0</v>
      </c>
      <c r="M28">
        <v>0</v>
      </c>
      <c r="N28">
        <v>479653</v>
      </c>
      <c r="O28">
        <v>19655809</v>
      </c>
      <c r="P28">
        <v>0</v>
      </c>
      <c r="Q28">
        <v>0</v>
      </c>
      <c r="R28">
        <v>0</v>
      </c>
      <c r="S28">
        <v>0</v>
      </c>
      <c r="T28">
        <v>0</v>
      </c>
      <c r="U28">
        <v>0</v>
      </c>
      <c r="V28">
        <v>8135</v>
      </c>
      <c r="W28">
        <v>225242</v>
      </c>
      <c r="X28">
        <v>0</v>
      </c>
      <c r="Y28">
        <v>188593000</v>
      </c>
      <c r="Z28">
        <v>189858</v>
      </c>
      <c r="AA28">
        <v>0</v>
      </c>
      <c r="AB28">
        <v>0</v>
      </c>
      <c r="AC28">
        <v>267851</v>
      </c>
      <c r="AD28">
        <v>111995</v>
      </c>
      <c r="AE28">
        <v>45920</v>
      </c>
      <c r="AF28">
        <v>3463853</v>
      </c>
      <c r="AG28">
        <v>0</v>
      </c>
      <c r="AH28">
        <v>43612</v>
      </c>
      <c r="AI28">
        <v>640235</v>
      </c>
      <c r="AJ28">
        <v>96609</v>
      </c>
      <c r="AK28">
        <v>48786</v>
      </c>
      <c r="AL28">
        <v>87603</v>
      </c>
      <c r="AM28">
        <v>7</v>
      </c>
      <c r="AN28">
        <v>90235</v>
      </c>
      <c r="AO28">
        <v>728859</v>
      </c>
      <c r="AP28">
        <v>0</v>
      </c>
      <c r="AQ28">
        <v>5053484</v>
      </c>
      <c r="AR28">
        <v>0</v>
      </c>
      <c r="AS28">
        <v>0</v>
      </c>
      <c r="AT28">
        <v>773119</v>
      </c>
      <c r="AU28">
        <v>67912</v>
      </c>
      <c r="AV28">
        <v>0</v>
      </c>
      <c r="AW28">
        <v>0</v>
      </c>
      <c r="AX28">
        <v>47897</v>
      </c>
      <c r="AY28">
        <v>0</v>
      </c>
      <c r="AZ28">
        <v>0</v>
      </c>
      <c r="BA28">
        <v>41109</v>
      </c>
      <c r="BB28">
        <v>4250</v>
      </c>
      <c r="BC28">
        <v>235840</v>
      </c>
      <c r="BD28">
        <v>0</v>
      </c>
      <c r="BE28">
        <v>0</v>
      </c>
      <c r="BF28">
        <v>251549</v>
      </c>
      <c r="BG28">
        <v>0</v>
      </c>
      <c r="BH28">
        <v>0</v>
      </c>
      <c r="BI28">
        <v>127610</v>
      </c>
      <c r="BJ28">
        <v>0</v>
      </c>
      <c r="BK28">
        <v>154724</v>
      </c>
      <c r="BL28">
        <v>54520</v>
      </c>
      <c r="BM28">
        <v>72355</v>
      </c>
      <c r="BN28">
        <v>0</v>
      </c>
      <c r="BO28">
        <v>1155336</v>
      </c>
      <c r="BP28">
        <v>29750274</v>
      </c>
      <c r="BQ28">
        <v>0</v>
      </c>
      <c r="BR28">
        <v>66715</v>
      </c>
      <c r="BS28">
        <v>23094</v>
      </c>
      <c r="BU28">
        <v>47095</v>
      </c>
      <c r="BV28">
        <v>0</v>
      </c>
      <c r="BW28">
        <v>3942046</v>
      </c>
      <c r="BX28">
        <v>120200</v>
      </c>
      <c r="BY28">
        <v>1841256</v>
      </c>
      <c r="BZ28">
        <v>314303</v>
      </c>
      <c r="CA28">
        <v>9944</v>
      </c>
      <c r="CB28">
        <v>269508</v>
      </c>
      <c r="CC28">
        <v>10124</v>
      </c>
      <c r="CD28">
        <v>62358</v>
      </c>
      <c r="CE28">
        <v>129578</v>
      </c>
      <c r="CF28">
        <v>278975</v>
      </c>
      <c r="CG28">
        <v>0</v>
      </c>
      <c r="CH28">
        <v>117362</v>
      </c>
      <c r="CI28">
        <v>0</v>
      </c>
      <c r="CK28">
        <v>9881</v>
      </c>
    </row>
    <row r="29" spans="1:89" x14ac:dyDescent="0.3">
      <c r="A29" s="155">
        <v>47</v>
      </c>
      <c r="B29" t="s">
        <v>910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4624234</v>
      </c>
      <c r="AA29">
        <v>0</v>
      </c>
      <c r="AB29">
        <v>0</v>
      </c>
      <c r="AC29">
        <v>0</v>
      </c>
      <c r="AD29">
        <v>0</v>
      </c>
      <c r="AE29">
        <v>0</v>
      </c>
      <c r="AF29">
        <v>8101933</v>
      </c>
      <c r="AG29">
        <v>0</v>
      </c>
      <c r="AH29">
        <v>0</v>
      </c>
      <c r="AI29">
        <v>0</v>
      </c>
      <c r="AJ29">
        <v>0</v>
      </c>
      <c r="AK29">
        <v>0</v>
      </c>
      <c r="AL29">
        <v>0</v>
      </c>
      <c r="AM29">
        <v>0</v>
      </c>
      <c r="AN29">
        <v>0</v>
      </c>
      <c r="AO29">
        <v>0</v>
      </c>
      <c r="AP29">
        <v>0</v>
      </c>
      <c r="AQ29">
        <v>139864990</v>
      </c>
      <c r="AR29">
        <v>0</v>
      </c>
      <c r="AS29">
        <v>0</v>
      </c>
      <c r="AT29">
        <v>0</v>
      </c>
      <c r="AU29">
        <v>0</v>
      </c>
      <c r="AV29">
        <v>0</v>
      </c>
      <c r="AW29">
        <v>6388836</v>
      </c>
      <c r="AX29">
        <v>0</v>
      </c>
      <c r="AY29">
        <v>0</v>
      </c>
      <c r="AZ29">
        <v>0</v>
      </c>
      <c r="BA29">
        <v>0</v>
      </c>
      <c r="BB29">
        <v>0</v>
      </c>
      <c r="BC29">
        <v>5120240</v>
      </c>
      <c r="BD29">
        <v>0</v>
      </c>
      <c r="BE29">
        <v>0</v>
      </c>
      <c r="BF29">
        <v>0</v>
      </c>
      <c r="BG29">
        <v>0</v>
      </c>
      <c r="BH29">
        <v>0</v>
      </c>
      <c r="BI29">
        <v>0</v>
      </c>
      <c r="BJ29">
        <v>0</v>
      </c>
      <c r="BK29">
        <v>0</v>
      </c>
      <c r="BL29">
        <v>4115364</v>
      </c>
      <c r="BM29">
        <v>0</v>
      </c>
      <c r="BN29">
        <v>0</v>
      </c>
      <c r="BO29">
        <v>0</v>
      </c>
      <c r="BP29">
        <v>0</v>
      </c>
      <c r="BQ29">
        <v>0</v>
      </c>
      <c r="BR29">
        <v>0</v>
      </c>
      <c r="BS29">
        <v>0</v>
      </c>
      <c r="BU29">
        <v>0</v>
      </c>
      <c r="BV29">
        <v>0</v>
      </c>
      <c r="BW29">
        <v>0</v>
      </c>
      <c r="BX29">
        <v>2744671</v>
      </c>
      <c r="BY29">
        <v>13389474</v>
      </c>
      <c r="BZ29">
        <v>0</v>
      </c>
      <c r="CA29">
        <v>0</v>
      </c>
      <c r="CB29">
        <v>0</v>
      </c>
      <c r="CC29">
        <v>0</v>
      </c>
      <c r="CD29">
        <v>0</v>
      </c>
      <c r="CE29">
        <v>0</v>
      </c>
      <c r="CF29">
        <v>0</v>
      </c>
      <c r="CG29">
        <v>0</v>
      </c>
      <c r="CH29">
        <v>7989101</v>
      </c>
      <c r="CI29">
        <v>0</v>
      </c>
      <c r="CK29">
        <v>0</v>
      </c>
    </row>
    <row r="30" spans="1:89" x14ac:dyDescent="0.3">
      <c r="A30" s="155">
        <v>48</v>
      </c>
      <c r="B30" t="s">
        <v>115</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447972</v>
      </c>
      <c r="AA30">
        <v>0</v>
      </c>
      <c r="AB30">
        <v>0</v>
      </c>
      <c r="AC30">
        <v>0</v>
      </c>
      <c r="AD30">
        <v>0</v>
      </c>
      <c r="AE30">
        <v>0</v>
      </c>
      <c r="AF30">
        <v>2244583</v>
      </c>
      <c r="AG30">
        <v>0</v>
      </c>
      <c r="AH30">
        <v>0</v>
      </c>
      <c r="AI30">
        <v>0</v>
      </c>
      <c r="AJ30">
        <v>0</v>
      </c>
      <c r="AK30">
        <v>0</v>
      </c>
      <c r="AL30">
        <v>0</v>
      </c>
      <c r="AM30">
        <v>0</v>
      </c>
      <c r="AN30">
        <v>0</v>
      </c>
      <c r="AO30">
        <v>0</v>
      </c>
      <c r="AP30">
        <v>0</v>
      </c>
      <c r="AQ30">
        <v>6883923</v>
      </c>
      <c r="AR30">
        <v>0</v>
      </c>
      <c r="AS30">
        <v>0</v>
      </c>
      <c r="AT30">
        <v>0</v>
      </c>
      <c r="AU30">
        <v>0</v>
      </c>
      <c r="AV30">
        <v>0</v>
      </c>
      <c r="AW30">
        <v>1068717</v>
      </c>
      <c r="AX30">
        <v>0</v>
      </c>
      <c r="AY30">
        <v>0</v>
      </c>
      <c r="AZ30">
        <v>0</v>
      </c>
      <c r="BA30">
        <v>0</v>
      </c>
      <c r="BB30">
        <v>0</v>
      </c>
      <c r="BC30">
        <v>75990</v>
      </c>
      <c r="BD30">
        <v>0</v>
      </c>
      <c r="BE30">
        <v>0</v>
      </c>
      <c r="BF30">
        <v>0</v>
      </c>
      <c r="BG30">
        <v>0</v>
      </c>
      <c r="BH30">
        <v>0</v>
      </c>
      <c r="BI30">
        <v>0</v>
      </c>
      <c r="BJ30">
        <v>0</v>
      </c>
      <c r="BK30">
        <v>0</v>
      </c>
      <c r="BL30">
        <v>225041</v>
      </c>
      <c r="BM30">
        <v>0</v>
      </c>
      <c r="BN30">
        <v>0</v>
      </c>
      <c r="BO30">
        <v>0</v>
      </c>
      <c r="BP30">
        <v>0</v>
      </c>
      <c r="BQ30">
        <v>0</v>
      </c>
      <c r="BR30">
        <v>0</v>
      </c>
      <c r="BS30">
        <v>0</v>
      </c>
      <c r="BU30">
        <v>0</v>
      </c>
      <c r="BV30">
        <v>0</v>
      </c>
      <c r="BW30">
        <v>0</v>
      </c>
      <c r="BX30">
        <v>1062016</v>
      </c>
      <c r="BY30">
        <v>5341527</v>
      </c>
      <c r="BZ30">
        <v>0</v>
      </c>
      <c r="CA30">
        <v>0</v>
      </c>
      <c r="CB30">
        <v>0</v>
      </c>
      <c r="CC30">
        <v>0</v>
      </c>
      <c r="CD30">
        <v>0</v>
      </c>
      <c r="CE30">
        <v>0</v>
      </c>
      <c r="CF30">
        <v>0</v>
      </c>
      <c r="CG30">
        <v>0</v>
      </c>
      <c r="CH30">
        <v>493022</v>
      </c>
      <c r="CI30">
        <v>0</v>
      </c>
      <c r="CK30">
        <v>0</v>
      </c>
    </row>
    <row r="31" spans="1:89" x14ac:dyDescent="0.3">
      <c r="A31" s="155">
        <v>49</v>
      </c>
      <c r="B31" t="s">
        <v>219</v>
      </c>
      <c r="D31">
        <v>130198</v>
      </c>
      <c r="E31">
        <v>0</v>
      </c>
      <c r="F31">
        <v>102829</v>
      </c>
      <c r="G31">
        <v>30863</v>
      </c>
      <c r="H31">
        <v>103855</v>
      </c>
      <c r="I31">
        <v>394592</v>
      </c>
      <c r="J31">
        <v>0</v>
      </c>
      <c r="K31">
        <v>2138098</v>
      </c>
      <c r="L31">
        <v>0</v>
      </c>
      <c r="M31">
        <v>0</v>
      </c>
      <c r="N31">
        <v>410574</v>
      </c>
      <c r="O31">
        <v>19744047</v>
      </c>
      <c r="P31">
        <v>0</v>
      </c>
      <c r="Q31">
        <v>0</v>
      </c>
      <c r="R31">
        <v>0</v>
      </c>
      <c r="S31">
        <v>0</v>
      </c>
      <c r="T31">
        <v>0</v>
      </c>
      <c r="U31">
        <v>0</v>
      </c>
      <c r="V31">
        <v>79527</v>
      </c>
      <c r="W31">
        <v>373586</v>
      </c>
      <c r="X31">
        <v>0</v>
      </c>
      <c r="Y31">
        <v>144204000</v>
      </c>
      <c r="Z31">
        <v>582798</v>
      </c>
      <c r="AA31">
        <v>74339</v>
      </c>
      <c r="AB31">
        <v>0</v>
      </c>
      <c r="AC31">
        <v>500472</v>
      </c>
      <c r="AD31">
        <v>244193</v>
      </c>
      <c r="AE31">
        <v>168042</v>
      </c>
      <c r="AF31">
        <v>3310364</v>
      </c>
      <c r="AG31">
        <v>0</v>
      </c>
      <c r="AH31">
        <v>177293</v>
      </c>
      <c r="AI31">
        <v>1107922</v>
      </c>
      <c r="AJ31">
        <v>110166</v>
      </c>
      <c r="AK31">
        <v>25805</v>
      </c>
      <c r="AL31">
        <v>99951</v>
      </c>
      <c r="AM31">
        <v>60395</v>
      </c>
      <c r="AN31">
        <v>383245</v>
      </c>
      <c r="AO31">
        <v>245030</v>
      </c>
      <c r="AP31">
        <v>0</v>
      </c>
      <c r="AQ31">
        <v>8214610</v>
      </c>
      <c r="AR31">
        <v>0</v>
      </c>
      <c r="AS31">
        <v>101538</v>
      </c>
      <c r="AT31">
        <v>1167252</v>
      </c>
      <c r="AU31">
        <v>135679</v>
      </c>
      <c r="AV31">
        <v>0</v>
      </c>
      <c r="AW31">
        <v>0</v>
      </c>
      <c r="AX31">
        <v>178751</v>
      </c>
      <c r="AY31">
        <v>0</v>
      </c>
      <c r="AZ31">
        <v>0</v>
      </c>
      <c r="BA31">
        <v>178249</v>
      </c>
      <c r="BB31">
        <v>40839</v>
      </c>
      <c r="BC31">
        <v>402748</v>
      </c>
      <c r="BD31">
        <v>0</v>
      </c>
      <c r="BE31">
        <v>0</v>
      </c>
      <c r="BF31">
        <v>316399</v>
      </c>
      <c r="BG31">
        <v>0</v>
      </c>
      <c r="BH31">
        <v>0</v>
      </c>
      <c r="BI31">
        <v>402518</v>
      </c>
      <c r="BJ31">
        <v>0</v>
      </c>
      <c r="BK31">
        <v>252997</v>
      </c>
      <c r="BL31">
        <v>43908</v>
      </c>
      <c r="BM31">
        <v>54799</v>
      </c>
      <c r="BN31">
        <v>0</v>
      </c>
      <c r="BO31">
        <v>888723</v>
      </c>
      <c r="BP31">
        <v>25036803</v>
      </c>
      <c r="BQ31">
        <v>0</v>
      </c>
      <c r="BR31">
        <v>13613</v>
      </c>
      <c r="BS31">
        <v>46962</v>
      </c>
      <c r="BU31">
        <v>130287</v>
      </c>
      <c r="BV31">
        <v>0</v>
      </c>
      <c r="BW31">
        <v>2484248</v>
      </c>
      <c r="BX31">
        <v>324986</v>
      </c>
      <c r="BY31">
        <v>2174061</v>
      </c>
      <c r="BZ31">
        <v>624220</v>
      </c>
      <c r="CA31">
        <v>116744</v>
      </c>
      <c r="CB31">
        <v>255033</v>
      </c>
      <c r="CC31">
        <v>105198</v>
      </c>
      <c r="CD31">
        <v>146710</v>
      </c>
      <c r="CE31">
        <v>277552</v>
      </c>
      <c r="CF31">
        <v>240332</v>
      </c>
      <c r="CG31">
        <v>0</v>
      </c>
      <c r="CH31">
        <v>279004</v>
      </c>
      <c r="CI31">
        <v>0</v>
      </c>
      <c r="CK31">
        <v>55289</v>
      </c>
    </row>
    <row r="32" spans="1:89" x14ac:dyDescent="0.3">
      <c r="A32" s="155">
        <v>50</v>
      </c>
      <c r="B32" t="s">
        <v>92</v>
      </c>
      <c r="D32">
        <v>-139871</v>
      </c>
      <c r="E32">
        <v>0</v>
      </c>
      <c r="F32">
        <v>-23079</v>
      </c>
      <c r="G32">
        <v>-32595</v>
      </c>
      <c r="H32">
        <v>8319</v>
      </c>
      <c r="I32">
        <v>561416</v>
      </c>
      <c r="J32">
        <v>0</v>
      </c>
      <c r="K32">
        <v>1400203</v>
      </c>
      <c r="L32">
        <v>0</v>
      </c>
      <c r="M32">
        <v>0</v>
      </c>
      <c r="N32">
        <v>-254641</v>
      </c>
      <c r="O32">
        <v>20280840</v>
      </c>
      <c r="P32">
        <v>0</v>
      </c>
      <c r="Q32">
        <v>0</v>
      </c>
      <c r="R32">
        <v>0</v>
      </c>
      <c r="S32">
        <v>0</v>
      </c>
      <c r="T32">
        <v>0</v>
      </c>
      <c r="U32">
        <v>0</v>
      </c>
      <c r="V32">
        <v>-17942</v>
      </c>
      <c r="W32">
        <v>-188657</v>
      </c>
      <c r="X32">
        <v>0</v>
      </c>
      <c r="Y32">
        <v>274561000</v>
      </c>
      <c r="Z32">
        <v>-611946</v>
      </c>
      <c r="AA32">
        <v>-31593</v>
      </c>
      <c r="AB32">
        <v>0</v>
      </c>
      <c r="AC32">
        <v>-393727</v>
      </c>
      <c r="AD32">
        <v>466495</v>
      </c>
      <c r="AE32">
        <v>197166</v>
      </c>
      <c r="AF32">
        <v>3955858</v>
      </c>
      <c r="AG32">
        <v>0</v>
      </c>
      <c r="AH32">
        <v>159675</v>
      </c>
      <c r="AI32">
        <v>-65098</v>
      </c>
      <c r="AJ32">
        <v>92379</v>
      </c>
      <c r="AK32">
        <v>53213</v>
      </c>
      <c r="AL32">
        <v>9775</v>
      </c>
      <c r="AM32">
        <v>-49137</v>
      </c>
      <c r="AN32">
        <v>804117</v>
      </c>
      <c r="AO32">
        <v>1044738</v>
      </c>
      <c r="AP32">
        <v>0</v>
      </c>
      <c r="AQ32">
        <v>18192978</v>
      </c>
      <c r="AR32">
        <v>0</v>
      </c>
      <c r="AS32">
        <v>-157499</v>
      </c>
      <c r="AT32">
        <v>732780</v>
      </c>
      <c r="AU32">
        <v>-130750</v>
      </c>
      <c r="AV32">
        <v>0</v>
      </c>
      <c r="AW32">
        <v>0</v>
      </c>
      <c r="AX32">
        <v>-194332</v>
      </c>
      <c r="AY32">
        <v>0</v>
      </c>
      <c r="AZ32">
        <v>0</v>
      </c>
      <c r="BA32">
        <v>393324</v>
      </c>
      <c r="BB32">
        <v>7224</v>
      </c>
      <c r="BC32">
        <v>278532</v>
      </c>
      <c r="BD32">
        <v>0</v>
      </c>
      <c r="BE32">
        <v>0</v>
      </c>
      <c r="BF32">
        <v>213907</v>
      </c>
      <c r="BG32">
        <v>0</v>
      </c>
      <c r="BH32">
        <v>0</v>
      </c>
      <c r="BI32">
        <v>1158965</v>
      </c>
      <c r="BJ32">
        <v>0</v>
      </c>
      <c r="BK32">
        <v>-248322</v>
      </c>
      <c r="BL32">
        <v>-39447</v>
      </c>
      <c r="BM32">
        <v>412468</v>
      </c>
      <c r="BN32">
        <v>0</v>
      </c>
      <c r="BO32">
        <v>615517</v>
      </c>
      <c r="BP32">
        <v>37149490</v>
      </c>
      <c r="BQ32">
        <v>0</v>
      </c>
      <c r="BR32">
        <v>-4855</v>
      </c>
      <c r="BS32">
        <v>19467</v>
      </c>
      <c r="BU32">
        <v>217154</v>
      </c>
      <c r="BV32">
        <v>0</v>
      </c>
      <c r="BW32">
        <v>4615635</v>
      </c>
      <c r="BX32">
        <v>581881</v>
      </c>
      <c r="BY32">
        <v>1212299</v>
      </c>
      <c r="BZ32">
        <v>-112674</v>
      </c>
      <c r="CA32">
        <v>-128031</v>
      </c>
      <c r="CB32">
        <v>253887</v>
      </c>
      <c r="CC32">
        <v>-34927</v>
      </c>
      <c r="CD32">
        <v>-104297</v>
      </c>
      <c r="CE32">
        <v>252430</v>
      </c>
      <c r="CF32">
        <v>400982</v>
      </c>
      <c r="CG32">
        <v>0</v>
      </c>
      <c r="CH32">
        <v>-67736</v>
      </c>
      <c r="CI32">
        <v>0</v>
      </c>
      <c r="CK32">
        <v>-62194</v>
      </c>
    </row>
    <row r="33" spans="1:89" x14ac:dyDescent="0.3">
      <c r="A33" s="155">
        <v>51</v>
      </c>
      <c r="B33" t="s">
        <v>237</v>
      </c>
      <c r="D33">
        <v>-9790</v>
      </c>
      <c r="E33">
        <v>0</v>
      </c>
      <c r="F33">
        <v>98864</v>
      </c>
      <c r="G33">
        <v>7603</v>
      </c>
      <c r="H33">
        <v>160112</v>
      </c>
      <c r="I33">
        <v>1155737</v>
      </c>
      <c r="J33">
        <v>0</v>
      </c>
      <c r="K33">
        <v>4469586</v>
      </c>
      <c r="L33">
        <v>0</v>
      </c>
      <c r="M33">
        <v>0</v>
      </c>
      <c r="N33">
        <v>360548</v>
      </c>
      <c r="O33">
        <v>30280472</v>
      </c>
      <c r="P33">
        <v>0</v>
      </c>
      <c r="Q33">
        <v>0</v>
      </c>
      <c r="R33">
        <v>0</v>
      </c>
      <c r="S33">
        <v>0</v>
      </c>
      <c r="T33">
        <v>0</v>
      </c>
      <c r="U33">
        <v>0</v>
      </c>
      <c r="V33">
        <v>20214</v>
      </c>
      <c r="W33">
        <v>256714</v>
      </c>
      <c r="X33">
        <v>0</v>
      </c>
      <c r="Y33">
        <v>272637000</v>
      </c>
      <c r="Z33">
        <v>351935</v>
      </c>
      <c r="AA33">
        <v>39386</v>
      </c>
      <c r="AB33">
        <v>0</v>
      </c>
      <c r="AC33">
        <v>304367</v>
      </c>
      <c r="AD33">
        <v>583443</v>
      </c>
      <c r="AE33">
        <v>108796</v>
      </c>
      <c r="AF33">
        <v>8675012</v>
      </c>
      <c r="AG33">
        <v>0</v>
      </c>
      <c r="AH33">
        <v>311297</v>
      </c>
      <c r="AI33">
        <v>1650300</v>
      </c>
      <c r="AJ33">
        <v>94983</v>
      </c>
      <c r="AK33">
        <v>79729</v>
      </c>
      <c r="AL33">
        <v>132107</v>
      </c>
      <c r="AM33">
        <v>17500</v>
      </c>
      <c r="AN33">
        <v>17571</v>
      </c>
      <c r="AO33">
        <v>185787</v>
      </c>
      <c r="AP33">
        <v>0</v>
      </c>
      <c r="AQ33">
        <v>12962574</v>
      </c>
      <c r="AR33">
        <v>0</v>
      </c>
      <c r="AS33">
        <v>-58253</v>
      </c>
      <c r="AT33">
        <v>2059806</v>
      </c>
      <c r="AU33">
        <v>8778</v>
      </c>
      <c r="AV33">
        <v>0</v>
      </c>
      <c r="AW33">
        <v>0</v>
      </c>
      <c r="AX33">
        <v>97749</v>
      </c>
      <c r="AY33">
        <v>0</v>
      </c>
      <c r="AZ33">
        <v>0</v>
      </c>
      <c r="BA33">
        <v>85466</v>
      </c>
      <c r="BB33">
        <v>19643</v>
      </c>
      <c r="BC33">
        <v>849712</v>
      </c>
      <c r="BD33">
        <v>0</v>
      </c>
      <c r="BE33">
        <v>0</v>
      </c>
      <c r="BF33">
        <v>467136</v>
      </c>
      <c r="BG33">
        <v>0</v>
      </c>
      <c r="BH33">
        <v>0</v>
      </c>
      <c r="BI33">
        <v>159714</v>
      </c>
      <c r="BJ33">
        <v>0</v>
      </c>
      <c r="BK33">
        <v>-77962</v>
      </c>
      <c r="BL33">
        <v>23224</v>
      </c>
      <c r="BM33">
        <v>-955</v>
      </c>
      <c r="BN33">
        <v>0</v>
      </c>
      <c r="BO33">
        <v>1048001</v>
      </c>
      <c r="BP33">
        <v>54667631</v>
      </c>
      <c r="BQ33">
        <v>0</v>
      </c>
      <c r="BR33">
        <v>12025</v>
      </c>
      <c r="BS33">
        <v>57045</v>
      </c>
      <c r="BU33">
        <v>44868</v>
      </c>
      <c r="BV33">
        <v>0</v>
      </c>
      <c r="BW33">
        <v>873726</v>
      </c>
      <c r="BX33">
        <v>-96127</v>
      </c>
      <c r="BY33">
        <v>3799353</v>
      </c>
      <c r="BZ33">
        <v>392956</v>
      </c>
      <c r="CA33">
        <v>42461</v>
      </c>
      <c r="CB33">
        <v>504301</v>
      </c>
      <c r="CC33">
        <v>81849</v>
      </c>
      <c r="CD33">
        <v>73417</v>
      </c>
      <c r="CE33">
        <v>71171</v>
      </c>
      <c r="CF33">
        <v>434361</v>
      </c>
      <c r="CG33">
        <v>0</v>
      </c>
      <c r="CH33">
        <v>249886</v>
      </c>
      <c r="CI33">
        <v>0</v>
      </c>
      <c r="CK33">
        <v>-10315</v>
      </c>
    </row>
    <row r="34" spans="1:89" x14ac:dyDescent="0.3">
      <c r="A34" s="155">
        <v>52</v>
      </c>
      <c r="B34" t="s">
        <v>230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244281</v>
      </c>
      <c r="AA34">
        <v>0</v>
      </c>
      <c r="AB34">
        <v>0</v>
      </c>
      <c r="AC34">
        <v>0</v>
      </c>
      <c r="AD34">
        <v>0</v>
      </c>
      <c r="AE34">
        <v>0</v>
      </c>
      <c r="AF34">
        <v>540769</v>
      </c>
      <c r="AG34">
        <v>0</v>
      </c>
      <c r="AH34">
        <v>0</v>
      </c>
      <c r="AI34">
        <v>0</v>
      </c>
      <c r="AJ34">
        <v>0</v>
      </c>
      <c r="AK34">
        <v>0</v>
      </c>
      <c r="AL34">
        <v>0</v>
      </c>
      <c r="AM34">
        <v>0</v>
      </c>
      <c r="AN34">
        <v>0</v>
      </c>
      <c r="AO34">
        <v>0</v>
      </c>
      <c r="AP34">
        <v>0</v>
      </c>
      <c r="AQ34">
        <v>4145629</v>
      </c>
      <c r="AR34">
        <v>0</v>
      </c>
      <c r="AS34">
        <v>0</v>
      </c>
      <c r="AT34">
        <v>0</v>
      </c>
      <c r="AU34">
        <v>0</v>
      </c>
      <c r="AV34">
        <v>0</v>
      </c>
      <c r="AW34">
        <v>495036</v>
      </c>
      <c r="AX34">
        <v>0</v>
      </c>
      <c r="AY34">
        <v>0</v>
      </c>
      <c r="AZ34">
        <v>0</v>
      </c>
      <c r="BA34">
        <v>0</v>
      </c>
      <c r="BB34">
        <v>0</v>
      </c>
      <c r="BC34">
        <v>401062</v>
      </c>
      <c r="BD34">
        <v>0</v>
      </c>
      <c r="BE34">
        <v>0</v>
      </c>
      <c r="BF34">
        <v>0</v>
      </c>
      <c r="BG34">
        <v>0</v>
      </c>
      <c r="BH34">
        <v>0</v>
      </c>
      <c r="BI34">
        <v>0</v>
      </c>
      <c r="BJ34">
        <v>0</v>
      </c>
      <c r="BK34">
        <v>0</v>
      </c>
      <c r="BL34">
        <v>32249</v>
      </c>
      <c r="BM34">
        <v>0</v>
      </c>
      <c r="BN34">
        <v>0</v>
      </c>
      <c r="BO34">
        <v>0</v>
      </c>
      <c r="BP34">
        <v>0</v>
      </c>
      <c r="BQ34">
        <v>0</v>
      </c>
      <c r="BR34">
        <v>0</v>
      </c>
      <c r="BS34">
        <v>0</v>
      </c>
      <c r="BU34">
        <v>0</v>
      </c>
      <c r="BV34">
        <v>0</v>
      </c>
      <c r="BW34">
        <v>0</v>
      </c>
      <c r="BX34">
        <v>218694</v>
      </c>
      <c r="BY34">
        <v>1382056</v>
      </c>
      <c r="BZ34">
        <v>0</v>
      </c>
      <c r="CA34">
        <v>0</v>
      </c>
      <c r="CB34">
        <v>0</v>
      </c>
      <c r="CC34">
        <v>0</v>
      </c>
      <c r="CD34">
        <v>0</v>
      </c>
      <c r="CE34">
        <v>0</v>
      </c>
      <c r="CF34">
        <v>0</v>
      </c>
      <c r="CG34">
        <v>0</v>
      </c>
      <c r="CH34">
        <v>30860</v>
      </c>
      <c r="CI34">
        <v>0</v>
      </c>
      <c r="CK34">
        <v>0</v>
      </c>
    </row>
    <row r="35" spans="1:89" x14ac:dyDescent="0.3">
      <c r="A35" s="155">
        <v>53</v>
      </c>
      <c r="B35" t="s">
        <v>93</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1135973</v>
      </c>
      <c r="AA35">
        <v>0</v>
      </c>
      <c r="AB35">
        <v>0</v>
      </c>
      <c r="AC35">
        <v>0</v>
      </c>
      <c r="AD35">
        <v>0</v>
      </c>
      <c r="AE35">
        <v>0</v>
      </c>
      <c r="AF35">
        <v>1635912</v>
      </c>
      <c r="AG35">
        <v>0</v>
      </c>
      <c r="AH35">
        <v>0</v>
      </c>
      <c r="AI35">
        <v>0</v>
      </c>
      <c r="AJ35">
        <v>0</v>
      </c>
      <c r="AK35">
        <v>0</v>
      </c>
      <c r="AL35">
        <v>0</v>
      </c>
      <c r="AM35">
        <v>0</v>
      </c>
      <c r="AN35">
        <v>0</v>
      </c>
      <c r="AO35">
        <v>0</v>
      </c>
      <c r="AP35">
        <v>0</v>
      </c>
      <c r="AQ35">
        <v>20539823</v>
      </c>
      <c r="AR35">
        <v>0</v>
      </c>
      <c r="AS35">
        <v>0</v>
      </c>
      <c r="AT35">
        <v>0</v>
      </c>
      <c r="AU35">
        <v>0</v>
      </c>
      <c r="AV35">
        <v>0</v>
      </c>
      <c r="AW35">
        <v>972901</v>
      </c>
      <c r="AX35">
        <v>0</v>
      </c>
      <c r="AY35">
        <v>0</v>
      </c>
      <c r="AZ35">
        <v>0</v>
      </c>
      <c r="BA35">
        <v>0</v>
      </c>
      <c r="BB35">
        <v>0</v>
      </c>
      <c r="BC35">
        <v>-268040</v>
      </c>
      <c r="BD35">
        <v>0</v>
      </c>
      <c r="BE35">
        <v>0</v>
      </c>
      <c r="BF35">
        <v>0</v>
      </c>
      <c r="BG35">
        <v>0</v>
      </c>
      <c r="BH35">
        <v>0</v>
      </c>
      <c r="BI35">
        <v>0</v>
      </c>
      <c r="BJ35">
        <v>0</v>
      </c>
      <c r="BK35">
        <v>0</v>
      </c>
      <c r="BL35">
        <v>500666</v>
      </c>
      <c r="BM35">
        <v>0</v>
      </c>
      <c r="BN35">
        <v>0</v>
      </c>
      <c r="BO35">
        <v>0</v>
      </c>
      <c r="BP35">
        <v>0</v>
      </c>
      <c r="BQ35">
        <v>0</v>
      </c>
      <c r="BR35">
        <v>0</v>
      </c>
      <c r="BS35">
        <v>0</v>
      </c>
      <c r="BU35">
        <v>0</v>
      </c>
      <c r="BV35">
        <v>0</v>
      </c>
      <c r="BW35">
        <v>0</v>
      </c>
      <c r="BX35">
        <v>371013</v>
      </c>
      <c r="BY35">
        <v>437394</v>
      </c>
      <c r="BZ35">
        <v>0</v>
      </c>
      <c r="CA35">
        <v>0</v>
      </c>
      <c r="CB35">
        <v>0</v>
      </c>
      <c r="CC35">
        <v>0</v>
      </c>
      <c r="CD35">
        <v>0</v>
      </c>
      <c r="CE35">
        <v>0</v>
      </c>
      <c r="CF35">
        <v>0</v>
      </c>
      <c r="CG35">
        <v>0</v>
      </c>
      <c r="CH35">
        <v>301951</v>
      </c>
      <c r="CI35">
        <v>0</v>
      </c>
      <c r="CK35">
        <v>0</v>
      </c>
    </row>
    <row r="36" spans="1:89" x14ac:dyDescent="0.3">
      <c r="A36" s="155">
        <v>55</v>
      </c>
      <c r="B36" t="s">
        <v>240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1264217</v>
      </c>
      <c r="AA36">
        <v>0</v>
      </c>
      <c r="AB36">
        <v>0</v>
      </c>
      <c r="AC36">
        <v>0</v>
      </c>
      <c r="AD36">
        <v>0</v>
      </c>
      <c r="AE36">
        <v>0</v>
      </c>
      <c r="AF36">
        <v>1914272</v>
      </c>
      <c r="AG36">
        <v>0</v>
      </c>
      <c r="AH36">
        <v>0</v>
      </c>
      <c r="AI36">
        <v>0</v>
      </c>
      <c r="AJ36">
        <v>0</v>
      </c>
      <c r="AK36">
        <v>0</v>
      </c>
      <c r="AL36">
        <v>0</v>
      </c>
      <c r="AM36">
        <v>0</v>
      </c>
      <c r="AN36">
        <v>0</v>
      </c>
      <c r="AO36">
        <v>0</v>
      </c>
      <c r="AP36">
        <v>0</v>
      </c>
      <c r="AQ36">
        <v>25758254</v>
      </c>
      <c r="AR36">
        <v>0</v>
      </c>
      <c r="AS36">
        <v>0</v>
      </c>
      <c r="AT36">
        <v>0</v>
      </c>
      <c r="AU36">
        <v>0</v>
      </c>
      <c r="AV36">
        <v>0</v>
      </c>
      <c r="AW36">
        <v>616416</v>
      </c>
      <c r="AX36">
        <v>0</v>
      </c>
      <c r="AY36">
        <v>0</v>
      </c>
      <c r="AZ36">
        <v>0</v>
      </c>
      <c r="BA36">
        <v>0</v>
      </c>
      <c r="BB36">
        <v>0</v>
      </c>
      <c r="BC36">
        <v>1828279</v>
      </c>
      <c r="BD36">
        <v>0</v>
      </c>
      <c r="BE36">
        <v>0</v>
      </c>
      <c r="BF36">
        <v>0</v>
      </c>
      <c r="BG36">
        <v>0</v>
      </c>
      <c r="BH36">
        <v>0</v>
      </c>
      <c r="BI36">
        <v>0</v>
      </c>
      <c r="BJ36">
        <v>0</v>
      </c>
      <c r="BK36">
        <v>0</v>
      </c>
      <c r="BL36">
        <v>535384</v>
      </c>
      <c r="BM36">
        <v>0</v>
      </c>
      <c r="BN36">
        <v>0</v>
      </c>
      <c r="BO36">
        <v>0</v>
      </c>
      <c r="BP36">
        <v>0</v>
      </c>
      <c r="BQ36">
        <v>0</v>
      </c>
      <c r="BR36">
        <v>0</v>
      </c>
      <c r="BS36">
        <v>0</v>
      </c>
      <c r="BU36">
        <v>0</v>
      </c>
      <c r="BV36">
        <v>0</v>
      </c>
      <c r="BW36">
        <v>0</v>
      </c>
      <c r="BX36">
        <v>980581</v>
      </c>
      <c r="BY36">
        <v>2895643</v>
      </c>
      <c r="BZ36">
        <v>0</v>
      </c>
      <c r="CA36">
        <v>0</v>
      </c>
      <c r="CB36">
        <v>0</v>
      </c>
      <c r="CC36">
        <v>0</v>
      </c>
      <c r="CD36">
        <v>0</v>
      </c>
      <c r="CE36">
        <v>0</v>
      </c>
      <c r="CF36">
        <v>0</v>
      </c>
      <c r="CG36">
        <v>0</v>
      </c>
      <c r="CH36">
        <v>441934</v>
      </c>
      <c r="CI36">
        <v>0</v>
      </c>
      <c r="CK36">
        <v>0</v>
      </c>
    </row>
    <row r="37" spans="1:89" x14ac:dyDescent="0.3">
      <c r="A37" s="155">
        <v>61</v>
      </c>
      <c r="B37" t="s">
        <v>254</v>
      </c>
      <c r="D37">
        <v>0</v>
      </c>
      <c r="E37">
        <v>98.58</v>
      </c>
      <c r="F37">
        <v>96</v>
      </c>
      <c r="G37">
        <v>98.48</v>
      </c>
      <c r="H37">
        <v>98.46</v>
      </c>
      <c r="I37">
        <v>98.25</v>
      </c>
      <c r="J37">
        <v>99.22</v>
      </c>
      <c r="K37">
        <v>99.49</v>
      </c>
      <c r="L37">
        <v>99.21</v>
      </c>
      <c r="M37">
        <v>99.57</v>
      </c>
      <c r="N37">
        <v>99.52</v>
      </c>
      <c r="O37">
        <v>99.85</v>
      </c>
      <c r="P37">
        <v>96.86</v>
      </c>
      <c r="Q37">
        <v>96.26</v>
      </c>
      <c r="R37">
        <v>99.74</v>
      </c>
      <c r="S37">
        <v>98.24</v>
      </c>
      <c r="T37">
        <v>97.66</v>
      </c>
      <c r="U37">
        <v>99.93</v>
      </c>
      <c r="V37">
        <v>95.97</v>
      </c>
      <c r="W37">
        <v>95.01</v>
      </c>
      <c r="X37">
        <v>99.63</v>
      </c>
      <c r="Y37">
        <v>99.18</v>
      </c>
      <c r="Z37">
        <v>98.74</v>
      </c>
      <c r="AA37">
        <v>98.43</v>
      </c>
      <c r="AB37">
        <v>98.15</v>
      </c>
      <c r="AC37">
        <v>98.59</v>
      </c>
      <c r="AD37">
        <v>99.84</v>
      </c>
      <c r="AE37">
        <v>93.67</v>
      </c>
      <c r="AF37">
        <v>99.94</v>
      </c>
      <c r="AG37">
        <v>99.66</v>
      </c>
      <c r="AH37">
        <v>98.56</v>
      </c>
      <c r="AI37">
        <v>98.61</v>
      </c>
      <c r="AJ37">
        <v>97.99</v>
      </c>
      <c r="AK37">
        <v>99.33</v>
      </c>
      <c r="AL37">
        <v>95.37</v>
      </c>
      <c r="AM37">
        <v>99.22</v>
      </c>
      <c r="AN37">
        <v>97.16</v>
      </c>
      <c r="AO37">
        <v>99.14</v>
      </c>
      <c r="AP37">
        <v>98</v>
      </c>
      <c r="AQ37">
        <v>99.24</v>
      </c>
      <c r="AR37">
        <v>95.68</v>
      </c>
      <c r="AS37">
        <v>93.95</v>
      </c>
      <c r="AT37">
        <v>99.2</v>
      </c>
      <c r="AU37">
        <v>97.3</v>
      </c>
      <c r="AV37">
        <v>94.63</v>
      </c>
      <c r="AW37">
        <v>99.37</v>
      </c>
      <c r="AX37">
        <v>95.03</v>
      </c>
      <c r="AY37">
        <v>99.57</v>
      </c>
      <c r="AZ37">
        <v>99.44</v>
      </c>
      <c r="BA37">
        <v>96.18</v>
      </c>
      <c r="BB37">
        <v>90.53</v>
      </c>
      <c r="BC37">
        <v>99.25</v>
      </c>
      <c r="BD37">
        <v>98.44</v>
      </c>
      <c r="BE37">
        <v>99.62</v>
      </c>
      <c r="BF37">
        <v>97.44</v>
      </c>
      <c r="BG37">
        <v>98.82</v>
      </c>
      <c r="BH37">
        <v>81.3</v>
      </c>
      <c r="BI37">
        <v>99.08</v>
      </c>
      <c r="BJ37">
        <v>0</v>
      </c>
      <c r="BK37">
        <v>93.79</v>
      </c>
      <c r="BL37">
        <v>98.48</v>
      </c>
      <c r="BM37">
        <v>95.68</v>
      </c>
      <c r="BN37">
        <v>99.99</v>
      </c>
      <c r="BO37">
        <v>99.17</v>
      </c>
      <c r="BP37">
        <v>98.72</v>
      </c>
      <c r="BQ37">
        <v>98.43</v>
      </c>
      <c r="BR37">
        <v>90.42</v>
      </c>
      <c r="BS37">
        <v>96.3</v>
      </c>
      <c r="BU37">
        <v>94.95</v>
      </c>
      <c r="BV37">
        <v>98.6</v>
      </c>
      <c r="BW37">
        <v>98.76</v>
      </c>
      <c r="BX37">
        <v>99.03</v>
      </c>
      <c r="BY37">
        <v>95.97</v>
      </c>
      <c r="BZ37">
        <v>97.07</v>
      </c>
      <c r="CA37">
        <v>99.34</v>
      </c>
      <c r="CB37">
        <v>98.41</v>
      </c>
      <c r="CC37">
        <v>95.91</v>
      </c>
      <c r="CD37">
        <v>94.97</v>
      </c>
      <c r="CE37">
        <v>96.81</v>
      </c>
      <c r="CF37">
        <v>99.94</v>
      </c>
      <c r="CG37">
        <v>99.41</v>
      </c>
      <c r="CH37">
        <v>95.8</v>
      </c>
      <c r="CI37">
        <v>99.04</v>
      </c>
      <c r="CK37">
        <v>92.45</v>
      </c>
    </row>
    <row r="38" spans="1:89" x14ac:dyDescent="0.3">
      <c r="A38" s="155">
        <v>80</v>
      </c>
      <c r="B38" t="s">
        <v>209</v>
      </c>
      <c r="D38">
        <v>148852</v>
      </c>
      <c r="E38">
        <v>0</v>
      </c>
      <c r="F38">
        <v>1063446</v>
      </c>
      <c r="G38">
        <v>185404</v>
      </c>
      <c r="H38">
        <v>435524</v>
      </c>
      <c r="I38">
        <v>4573766</v>
      </c>
      <c r="J38">
        <v>0</v>
      </c>
      <c r="K38">
        <v>3244745</v>
      </c>
      <c r="L38">
        <v>0</v>
      </c>
      <c r="M38">
        <v>0</v>
      </c>
      <c r="N38">
        <v>544278</v>
      </c>
      <c r="O38">
        <v>270581361</v>
      </c>
      <c r="P38">
        <v>0</v>
      </c>
      <c r="Q38">
        <v>0</v>
      </c>
      <c r="R38">
        <v>0</v>
      </c>
      <c r="S38">
        <v>0</v>
      </c>
      <c r="T38">
        <v>0</v>
      </c>
      <c r="U38">
        <v>0</v>
      </c>
      <c r="V38">
        <v>127200</v>
      </c>
      <c r="W38">
        <v>1950504</v>
      </c>
      <c r="X38">
        <v>0</v>
      </c>
      <c r="Y38">
        <v>246050000</v>
      </c>
      <c r="Z38">
        <v>718449</v>
      </c>
      <c r="AA38">
        <v>220134</v>
      </c>
      <c r="AB38">
        <v>0</v>
      </c>
      <c r="AC38">
        <v>465862</v>
      </c>
      <c r="AD38">
        <v>3426393</v>
      </c>
      <c r="AE38">
        <v>315598</v>
      </c>
      <c r="AF38">
        <v>11264577</v>
      </c>
      <c r="AG38">
        <v>0</v>
      </c>
      <c r="AH38">
        <v>2768224</v>
      </c>
      <c r="AI38">
        <v>5459041</v>
      </c>
      <c r="AJ38">
        <v>948477</v>
      </c>
      <c r="AK38">
        <v>816670</v>
      </c>
      <c r="AL38">
        <v>500745</v>
      </c>
      <c r="AM38">
        <v>116268</v>
      </c>
      <c r="AN38">
        <v>2583419</v>
      </c>
      <c r="AO38">
        <v>888205</v>
      </c>
      <c r="AP38">
        <v>0</v>
      </c>
      <c r="AQ38">
        <v>93137552</v>
      </c>
      <c r="AR38">
        <v>0</v>
      </c>
      <c r="AS38">
        <v>47917</v>
      </c>
      <c r="AT38">
        <v>7966256</v>
      </c>
      <c r="AU38">
        <v>1146574</v>
      </c>
      <c r="AV38">
        <v>0</v>
      </c>
      <c r="AW38">
        <v>0</v>
      </c>
      <c r="AX38">
        <v>116226</v>
      </c>
      <c r="AY38">
        <v>0</v>
      </c>
      <c r="AZ38">
        <v>0</v>
      </c>
      <c r="BA38">
        <v>224649</v>
      </c>
      <c r="BB38">
        <v>62564</v>
      </c>
      <c r="BC38">
        <v>2103133</v>
      </c>
      <c r="BD38">
        <v>0</v>
      </c>
      <c r="BE38">
        <v>0</v>
      </c>
      <c r="BF38">
        <v>474620</v>
      </c>
      <c r="BG38">
        <v>0</v>
      </c>
      <c r="BH38">
        <v>0</v>
      </c>
      <c r="BI38">
        <v>858287</v>
      </c>
      <c r="BJ38">
        <v>0</v>
      </c>
      <c r="BK38">
        <v>21623</v>
      </c>
      <c r="BL38">
        <v>534992</v>
      </c>
      <c r="BM38">
        <v>338159</v>
      </c>
      <c r="BN38">
        <v>0</v>
      </c>
      <c r="BO38">
        <v>2605996</v>
      </c>
      <c r="BP38">
        <v>132555786</v>
      </c>
      <c r="BQ38">
        <v>0</v>
      </c>
      <c r="BR38">
        <v>103738</v>
      </c>
      <c r="BS38">
        <v>382290</v>
      </c>
      <c r="BU38">
        <v>18448</v>
      </c>
      <c r="BV38">
        <v>0</v>
      </c>
      <c r="BW38">
        <v>3837856</v>
      </c>
      <c r="BX38">
        <v>754043</v>
      </c>
      <c r="BY38">
        <v>6037152</v>
      </c>
      <c r="BZ38">
        <v>2338569</v>
      </c>
      <c r="CA38">
        <v>166086</v>
      </c>
      <c r="CB38">
        <v>1984713</v>
      </c>
      <c r="CC38">
        <v>831096</v>
      </c>
      <c r="CD38">
        <v>33778</v>
      </c>
      <c r="CE38">
        <v>28629</v>
      </c>
      <c r="CF38">
        <v>3547595</v>
      </c>
      <c r="CG38">
        <v>0</v>
      </c>
      <c r="CH38">
        <v>279694</v>
      </c>
      <c r="CI38">
        <v>0</v>
      </c>
      <c r="CK38">
        <v>0</v>
      </c>
    </row>
    <row r="39" spans="1:89" x14ac:dyDescent="0.3">
      <c r="A39" s="155">
        <v>81</v>
      </c>
      <c r="B39" t="s">
        <v>210</v>
      </c>
      <c r="D39">
        <v>13807</v>
      </c>
      <c r="E39">
        <v>0</v>
      </c>
      <c r="F39">
        <v>7998</v>
      </c>
      <c r="G39">
        <v>9386</v>
      </c>
      <c r="H39">
        <v>53977</v>
      </c>
      <c r="I39">
        <v>231958</v>
      </c>
      <c r="J39">
        <v>0</v>
      </c>
      <c r="K39">
        <v>1012550</v>
      </c>
      <c r="L39">
        <v>0</v>
      </c>
      <c r="M39">
        <v>0</v>
      </c>
      <c r="N39">
        <v>85211</v>
      </c>
      <c r="O39">
        <v>14015625</v>
      </c>
      <c r="P39">
        <v>0</v>
      </c>
      <c r="Q39">
        <v>0</v>
      </c>
      <c r="R39">
        <v>0</v>
      </c>
      <c r="S39">
        <v>0</v>
      </c>
      <c r="T39">
        <v>0</v>
      </c>
      <c r="U39">
        <v>0</v>
      </c>
      <c r="V39">
        <v>6602</v>
      </c>
      <c r="W39">
        <v>121443</v>
      </c>
      <c r="X39">
        <v>0</v>
      </c>
      <c r="Y39">
        <v>61498000</v>
      </c>
      <c r="Z39">
        <v>495621</v>
      </c>
      <c r="AA39">
        <v>6439</v>
      </c>
      <c r="AB39">
        <v>0</v>
      </c>
      <c r="AC39">
        <v>80201</v>
      </c>
      <c r="AD39">
        <v>172748</v>
      </c>
      <c r="AE39">
        <v>50048</v>
      </c>
      <c r="AF39">
        <v>2658195</v>
      </c>
      <c r="AG39">
        <v>0</v>
      </c>
      <c r="AH39">
        <v>68779</v>
      </c>
      <c r="AI39">
        <v>626695</v>
      </c>
      <c r="AJ39">
        <v>156419</v>
      </c>
      <c r="AK39">
        <v>35014</v>
      </c>
      <c r="AL39">
        <v>21946</v>
      </c>
      <c r="AM39">
        <v>9506</v>
      </c>
      <c r="AN39">
        <v>80417</v>
      </c>
      <c r="AO39">
        <v>150497</v>
      </c>
      <c r="AP39">
        <v>0</v>
      </c>
      <c r="AQ39">
        <v>5927543</v>
      </c>
      <c r="AR39">
        <v>0</v>
      </c>
      <c r="AS39">
        <v>0</v>
      </c>
      <c r="AT39">
        <v>543375</v>
      </c>
      <c r="AU39">
        <v>51538</v>
      </c>
      <c r="AV39">
        <v>0</v>
      </c>
      <c r="AW39">
        <v>0</v>
      </c>
      <c r="AX39">
        <v>19485</v>
      </c>
      <c r="AY39">
        <v>0</v>
      </c>
      <c r="AZ39">
        <v>0</v>
      </c>
      <c r="BA39">
        <v>52019</v>
      </c>
      <c r="BB39">
        <v>9665</v>
      </c>
      <c r="BC39">
        <v>385862</v>
      </c>
      <c r="BD39">
        <v>0</v>
      </c>
      <c r="BE39">
        <v>0</v>
      </c>
      <c r="BF39">
        <v>262262</v>
      </c>
      <c r="BG39">
        <v>0</v>
      </c>
      <c r="BH39">
        <v>0</v>
      </c>
      <c r="BI39">
        <v>209338</v>
      </c>
      <c r="BJ39">
        <v>0</v>
      </c>
      <c r="BK39">
        <v>25850</v>
      </c>
      <c r="BL39">
        <v>57650</v>
      </c>
      <c r="BM39">
        <v>24335</v>
      </c>
      <c r="BN39">
        <v>0</v>
      </c>
      <c r="BO39">
        <v>910953</v>
      </c>
      <c r="BP39">
        <v>15895198</v>
      </c>
      <c r="BQ39">
        <v>0</v>
      </c>
      <c r="BR39">
        <v>13661</v>
      </c>
      <c r="BS39">
        <v>66242</v>
      </c>
      <c r="BU39">
        <v>306255</v>
      </c>
      <c r="BV39">
        <v>0</v>
      </c>
      <c r="BW39">
        <v>1565662</v>
      </c>
      <c r="BX39">
        <v>277230</v>
      </c>
      <c r="BY39">
        <v>1442349</v>
      </c>
      <c r="BZ39">
        <v>222781</v>
      </c>
      <c r="CA39">
        <v>28249</v>
      </c>
      <c r="CB39">
        <v>233631</v>
      </c>
      <c r="CC39">
        <v>64029</v>
      </c>
      <c r="CD39">
        <v>61044</v>
      </c>
      <c r="CE39">
        <v>74238</v>
      </c>
      <c r="CF39">
        <v>764195</v>
      </c>
      <c r="CG39">
        <v>0</v>
      </c>
      <c r="CH39">
        <v>446493</v>
      </c>
      <c r="CI39">
        <v>0</v>
      </c>
      <c r="CK39">
        <v>15342</v>
      </c>
    </row>
    <row r="40" spans="1:89" x14ac:dyDescent="0.3">
      <c r="A40" s="155">
        <v>82</v>
      </c>
      <c r="B40" t="s">
        <v>309</v>
      </c>
      <c r="D40">
        <v>0</v>
      </c>
      <c r="E40">
        <v>0</v>
      </c>
      <c r="F40">
        <v>0</v>
      </c>
      <c r="G40">
        <v>1483</v>
      </c>
      <c r="H40">
        <v>236187</v>
      </c>
      <c r="I40">
        <v>2762441</v>
      </c>
      <c r="J40">
        <v>0</v>
      </c>
      <c r="K40">
        <v>27743013</v>
      </c>
      <c r="L40">
        <v>0</v>
      </c>
      <c r="M40">
        <v>0</v>
      </c>
      <c r="N40">
        <v>3821557</v>
      </c>
      <c r="O40">
        <v>271772815</v>
      </c>
      <c r="P40">
        <v>0</v>
      </c>
      <c r="Q40">
        <v>0</v>
      </c>
      <c r="R40">
        <v>0</v>
      </c>
      <c r="S40">
        <v>0</v>
      </c>
      <c r="T40">
        <v>0</v>
      </c>
      <c r="U40">
        <v>0</v>
      </c>
      <c r="V40">
        <v>0</v>
      </c>
      <c r="W40">
        <v>3226000</v>
      </c>
      <c r="X40">
        <v>0</v>
      </c>
      <c r="Y40">
        <v>1688548000</v>
      </c>
      <c r="Z40">
        <v>64436</v>
      </c>
      <c r="AA40">
        <v>0</v>
      </c>
      <c r="AB40">
        <v>0</v>
      </c>
      <c r="AC40">
        <v>4779000</v>
      </c>
      <c r="AD40">
        <v>0</v>
      </c>
      <c r="AE40">
        <v>432481</v>
      </c>
      <c r="AF40">
        <v>26297086</v>
      </c>
      <c r="AG40">
        <v>0</v>
      </c>
      <c r="AH40">
        <v>0</v>
      </c>
      <c r="AI40">
        <v>7462269</v>
      </c>
      <c r="AJ40">
        <v>306396</v>
      </c>
      <c r="AK40">
        <v>0</v>
      </c>
      <c r="AL40">
        <v>609500</v>
      </c>
      <c r="AM40">
        <v>0</v>
      </c>
      <c r="AN40">
        <v>2114787</v>
      </c>
      <c r="AO40">
        <v>5239626</v>
      </c>
      <c r="AP40">
        <v>0</v>
      </c>
      <c r="AQ40">
        <v>24350750</v>
      </c>
      <c r="AR40">
        <v>0</v>
      </c>
      <c r="AS40">
        <v>0</v>
      </c>
      <c r="AT40">
        <v>2672180</v>
      </c>
      <c r="AU40">
        <v>0</v>
      </c>
      <c r="AV40">
        <v>0</v>
      </c>
      <c r="AW40">
        <v>0</v>
      </c>
      <c r="AX40">
        <v>102600</v>
      </c>
      <c r="AY40">
        <v>0</v>
      </c>
      <c r="AZ40">
        <v>0</v>
      </c>
      <c r="BA40">
        <v>162160</v>
      </c>
      <c r="BB40">
        <v>0</v>
      </c>
      <c r="BC40">
        <v>2477514</v>
      </c>
      <c r="BD40">
        <v>0</v>
      </c>
      <c r="BE40">
        <v>0</v>
      </c>
      <c r="BF40">
        <v>2456758</v>
      </c>
      <c r="BG40">
        <v>0</v>
      </c>
      <c r="BH40">
        <v>0</v>
      </c>
      <c r="BI40">
        <v>2840425</v>
      </c>
      <c r="BJ40">
        <v>0</v>
      </c>
      <c r="BK40">
        <v>205024</v>
      </c>
      <c r="BL40">
        <v>329781</v>
      </c>
      <c r="BM40">
        <v>11114</v>
      </c>
      <c r="BN40">
        <v>0</v>
      </c>
      <c r="BO40">
        <v>8374145</v>
      </c>
      <c r="BP40">
        <v>323959144</v>
      </c>
      <c r="BQ40">
        <v>0</v>
      </c>
      <c r="BR40">
        <v>0</v>
      </c>
      <c r="BS40">
        <v>0</v>
      </c>
      <c r="BU40">
        <v>1402000</v>
      </c>
      <c r="BV40">
        <v>0</v>
      </c>
      <c r="BW40">
        <v>16930280</v>
      </c>
      <c r="BX40">
        <v>3834682</v>
      </c>
      <c r="BY40">
        <v>2319820</v>
      </c>
      <c r="BZ40">
        <v>900212</v>
      </c>
      <c r="CA40">
        <v>190500</v>
      </c>
      <c r="CB40">
        <v>2166831</v>
      </c>
      <c r="CC40">
        <v>0</v>
      </c>
      <c r="CD40">
        <v>1806000</v>
      </c>
      <c r="CE40">
        <v>2767238</v>
      </c>
      <c r="CF40">
        <v>65314</v>
      </c>
      <c r="CG40">
        <v>0</v>
      </c>
      <c r="CH40">
        <v>1879561</v>
      </c>
      <c r="CI40">
        <v>0</v>
      </c>
      <c r="CK40">
        <v>0</v>
      </c>
    </row>
    <row r="41" spans="1:89" x14ac:dyDescent="0.3">
      <c r="A41" s="155">
        <v>83</v>
      </c>
      <c r="B41" t="s">
        <v>94</v>
      </c>
      <c r="D41">
        <v>3196265</v>
      </c>
      <c r="E41">
        <v>0</v>
      </c>
      <c r="F41">
        <v>4285909</v>
      </c>
      <c r="G41">
        <v>602034</v>
      </c>
      <c r="H41">
        <v>3116877</v>
      </c>
      <c r="I41">
        <v>11304414</v>
      </c>
      <c r="J41">
        <v>0</v>
      </c>
      <c r="K41">
        <v>21194576</v>
      </c>
      <c r="L41">
        <v>0</v>
      </c>
      <c r="M41">
        <v>0</v>
      </c>
      <c r="N41">
        <v>7822310</v>
      </c>
      <c r="O41">
        <v>857470819</v>
      </c>
      <c r="P41">
        <v>0</v>
      </c>
      <c r="Q41">
        <v>0</v>
      </c>
      <c r="R41">
        <v>0</v>
      </c>
      <c r="S41">
        <v>0</v>
      </c>
      <c r="T41">
        <v>0</v>
      </c>
      <c r="U41">
        <v>0</v>
      </c>
      <c r="V41">
        <v>2279469</v>
      </c>
      <c r="W41">
        <v>10413024</v>
      </c>
      <c r="X41">
        <v>0</v>
      </c>
      <c r="Y41">
        <v>2779026000</v>
      </c>
      <c r="Z41">
        <v>10871098</v>
      </c>
      <c r="AA41">
        <v>1980056</v>
      </c>
      <c r="AB41">
        <v>0</v>
      </c>
      <c r="AC41">
        <v>5207289</v>
      </c>
      <c r="AD41">
        <v>8071384</v>
      </c>
      <c r="AE41">
        <v>4829984</v>
      </c>
      <c r="AF41">
        <v>93880889</v>
      </c>
      <c r="AG41">
        <v>0</v>
      </c>
      <c r="AH41">
        <v>6342980</v>
      </c>
      <c r="AI41">
        <v>20311329</v>
      </c>
      <c r="AJ41">
        <v>3044889</v>
      </c>
      <c r="AK41">
        <v>992108</v>
      </c>
      <c r="AL41">
        <v>1775778</v>
      </c>
      <c r="AM41">
        <v>904540</v>
      </c>
      <c r="AN41">
        <v>10876250</v>
      </c>
      <c r="AO41">
        <v>4762528</v>
      </c>
      <c r="AP41">
        <v>0</v>
      </c>
      <c r="AQ41">
        <v>263270010</v>
      </c>
      <c r="AR41">
        <v>0</v>
      </c>
      <c r="AS41">
        <v>2118039</v>
      </c>
      <c r="AT41">
        <v>34156118</v>
      </c>
      <c r="AU41">
        <v>3972268</v>
      </c>
      <c r="AV41">
        <v>0</v>
      </c>
      <c r="AW41">
        <v>0</v>
      </c>
      <c r="AX41">
        <v>5241256</v>
      </c>
      <c r="AY41">
        <v>0</v>
      </c>
      <c r="AZ41">
        <v>0</v>
      </c>
      <c r="BA41">
        <v>5297262</v>
      </c>
      <c r="BB41">
        <v>1154626</v>
      </c>
      <c r="BC41">
        <v>8256832</v>
      </c>
      <c r="BD41">
        <v>0</v>
      </c>
      <c r="BE41">
        <v>0</v>
      </c>
      <c r="BF41">
        <v>8705568</v>
      </c>
      <c r="BG41">
        <v>0</v>
      </c>
      <c r="BH41">
        <v>0</v>
      </c>
      <c r="BI41">
        <v>10487347</v>
      </c>
      <c r="BJ41">
        <v>0</v>
      </c>
      <c r="BK41">
        <v>7925922</v>
      </c>
      <c r="BL41">
        <v>777713</v>
      </c>
      <c r="BM41">
        <v>2075722</v>
      </c>
      <c r="BN41">
        <v>0</v>
      </c>
      <c r="BO41">
        <v>22939381</v>
      </c>
      <c r="BP41">
        <v>883154927</v>
      </c>
      <c r="BQ41">
        <v>0</v>
      </c>
      <c r="BR41">
        <v>266896</v>
      </c>
      <c r="BS41">
        <v>1024507</v>
      </c>
      <c r="BU41">
        <v>1938693</v>
      </c>
      <c r="BV41">
        <v>0</v>
      </c>
      <c r="BW41">
        <v>60542677</v>
      </c>
      <c r="BX41">
        <v>7304514</v>
      </c>
      <c r="BY41">
        <v>50404309</v>
      </c>
      <c r="BZ41">
        <v>15882153</v>
      </c>
      <c r="CA41">
        <v>1715020</v>
      </c>
      <c r="CB41">
        <v>6069927</v>
      </c>
      <c r="CC41">
        <v>4385150</v>
      </c>
      <c r="CD41">
        <v>4256548</v>
      </c>
      <c r="CE41">
        <v>7076260</v>
      </c>
      <c r="CF41">
        <v>8561264</v>
      </c>
      <c r="CG41">
        <v>0</v>
      </c>
      <c r="CH41">
        <v>5815810</v>
      </c>
      <c r="CI41">
        <v>0</v>
      </c>
      <c r="CK41">
        <v>1719408</v>
      </c>
    </row>
    <row r="42" spans="1:89" x14ac:dyDescent="0.3">
      <c r="A42" s="155">
        <v>84</v>
      </c>
      <c r="B42" t="s">
        <v>218</v>
      </c>
      <c r="D42">
        <v>175783</v>
      </c>
      <c r="E42">
        <v>0</v>
      </c>
      <c r="F42">
        <v>282736</v>
      </c>
      <c r="G42">
        <v>85112</v>
      </c>
      <c r="H42">
        <v>615369</v>
      </c>
      <c r="I42">
        <v>2577789</v>
      </c>
      <c r="J42">
        <v>0</v>
      </c>
      <c r="K42">
        <v>9160136</v>
      </c>
      <c r="L42">
        <v>0</v>
      </c>
      <c r="M42">
        <v>0</v>
      </c>
      <c r="N42">
        <v>1596518</v>
      </c>
      <c r="O42">
        <v>81905752</v>
      </c>
      <c r="P42">
        <v>0</v>
      </c>
      <c r="Q42">
        <v>0</v>
      </c>
      <c r="R42">
        <v>0</v>
      </c>
      <c r="S42">
        <v>0</v>
      </c>
      <c r="T42">
        <v>0</v>
      </c>
      <c r="U42">
        <v>0</v>
      </c>
      <c r="V42">
        <v>58692</v>
      </c>
      <c r="W42">
        <v>845037</v>
      </c>
      <c r="X42">
        <v>0</v>
      </c>
      <c r="Y42">
        <v>458669000</v>
      </c>
      <c r="Z42">
        <v>2366744</v>
      </c>
      <c r="AA42">
        <v>92085</v>
      </c>
      <c r="AB42">
        <v>0</v>
      </c>
      <c r="AC42">
        <v>1656731</v>
      </c>
      <c r="AD42">
        <v>1837452</v>
      </c>
      <c r="AE42">
        <v>526667</v>
      </c>
      <c r="AF42">
        <v>21327304</v>
      </c>
      <c r="AG42">
        <v>0</v>
      </c>
      <c r="AH42">
        <v>595839</v>
      </c>
      <c r="AI42">
        <v>5584291</v>
      </c>
      <c r="AJ42">
        <v>1143225</v>
      </c>
      <c r="AK42">
        <v>470381</v>
      </c>
      <c r="AL42">
        <v>264841</v>
      </c>
      <c r="AM42">
        <v>79292</v>
      </c>
      <c r="AN42">
        <v>563336</v>
      </c>
      <c r="AO42">
        <v>1418613</v>
      </c>
      <c r="AP42">
        <v>0</v>
      </c>
      <c r="AQ42">
        <v>48052807</v>
      </c>
      <c r="AR42">
        <v>0</v>
      </c>
      <c r="AS42">
        <v>53526</v>
      </c>
      <c r="AT42">
        <v>5281108</v>
      </c>
      <c r="AU42">
        <v>426289</v>
      </c>
      <c r="AV42">
        <v>0</v>
      </c>
      <c r="AW42">
        <v>0</v>
      </c>
      <c r="AX42">
        <v>206266</v>
      </c>
      <c r="AY42">
        <v>0</v>
      </c>
      <c r="AZ42">
        <v>0</v>
      </c>
      <c r="BA42">
        <v>378137</v>
      </c>
      <c r="BB42">
        <v>93131</v>
      </c>
      <c r="BC42">
        <v>2954426</v>
      </c>
      <c r="BD42">
        <v>0</v>
      </c>
      <c r="BE42">
        <v>0</v>
      </c>
      <c r="BF42">
        <v>1738874</v>
      </c>
      <c r="BG42">
        <v>0</v>
      </c>
      <c r="BH42">
        <v>0</v>
      </c>
      <c r="BI42">
        <v>1717010</v>
      </c>
      <c r="BJ42">
        <v>0</v>
      </c>
      <c r="BK42">
        <v>226952</v>
      </c>
      <c r="BL42">
        <v>649622</v>
      </c>
      <c r="BM42">
        <v>216886</v>
      </c>
      <c r="BN42">
        <v>0</v>
      </c>
      <c r="BO42">
        <v>6189923</v>
      </c>
      <c r="BP42">
        <v>108704242</v>
      </c>
      <c r="BQ42">
        <v>0</v>
      </c>
      <c r="BR42">
        <v>91292</v>
      </c>
      <c r="BS42">
        <v>350831</v>
      </c>
      <c r="BU42">
        <v>985102</v>
      </c>
      <c r="BV42">
        <v>0</v>
      </c>
      <c r="BW42">
        <v>9952215</v>
      </c>
      <c r="BX42">
        <v>2363230</v>
      </c>
      <c r="BY42">
        <v>9510958</v>
      </c>
      <c r="BZ42">
        <v>1825600</v>
      </c>
      <c r="CA42">
        <v>303957</v>
      </c>
      <c r="CB42">
        <v>1464258</v>
      </c>
      <c r="CC42">
        <v>531115</v>
      </c>
      <c r="CD42">
        <v>552485</v>
      </c>
      <c r="CE42">
        <v>688733</v>
      </c>
      <c r="CF42">
        <v>3952590</v>
      </c>
      <c r="CG42">
        <v>0</v>
      </c>
      <c r="CH42">
        <v>1247564</v>
      </c>
      <c r="CI42">
        <v>0</v>
      </c>
      <c r="CK42">
        <v>140543</v>
      </c>
    </row>
    <row r="43" spans="1:89" x14ac:dyDescent="0.3">
      <c r="A43" s="155">
        <v>85</v>
      </c>
      <c r="B43" t="s">
        <v>220</v>
      </c>
      <c r="D43">
        <v>315654</v>
      </c>
      <c r="E43">
        <v>0</v>
      </c>
      <c r="F43">
        <v>308308</v>
      </c>
      <c r="G43">
        <v>117874</v>
      </c>
      <c r="H43">
        <v>579911</v>
      </c>
      <c r="I43">
        <v>1973768</v>
      </c>
      <c r="J43">
        <v>0</v>
      </c>
      <c r="K43">
        <v>6853665</v>
      </c>
      <c r="L43">
        <v>0</v>
      </c>
      <c r="M43">
        <v>0</v>
      </c>
      <c r="N43">
        <v>1779953</v>
      </c>
      <c r="O43">
        <v>73101247</v>
      </c>
      <c r="P43">
        <v>0</v>
      </c>
      <c r="Q43">
        <v>0</v>
      </c>
      <c r="R43">
        <v>0</v>
      </c>
      <c r="S43">
        <v>0</v>
      </c>
      <c r="T43">
        <v>0</v>
      </c>
      <c r="U43">
        <v>0</v>
      </c>
      <c r="V43">
        <v>114192</v>
      </c>
      <c r="W43">
        <v>995245</v>
      </c>
      <c r="X43">
        <v>0</v>
      </c>
      <c r="Y43">
        <v>296367000</v>
      </c>
      <c r="Z43">
        <v>2961682</v>
      </c>
      <c r="AA43">
        <v>127609</v>
      </c>
      <c r="AB43">
        <v>0</v>
      </c>
      <c r="AC43">
        <v>1873228</v>
      </c>
      <c r="AD43">
        <v>1546847</v>
      </c>
      <c r="AE43">
        <v>594755</v>
      </c>
      <c r="AF43">
        <v>19617339</v>
      </c>
      <c r="AG43">
        <v>0</v>
      </c>
      <c r="AH43">
        <v>445139</v>
      </c>
      <c r="AI43">
        <v>5609957</v>
      </c>
      <c r="AJ43">
        <v>1148723</v>
      </c>
      <c r="AK43">
        <v>415058</v>
      </c>
      <c r="AL43">
        <v>237001</v>
      </c>
      <c r="AM43">
        <v>128497</v>
      </c>
      <c r="AN43">
        <v>972281</v>
      </c>
      <c r="AO43">
        <v>1178562</v>
      </c>
      <c r="AP43">
        <v>0</v>
      </c>
      <c r="AQ43">
        <v>41079379</v>
      </c>
      <c r="AR43">
        <v>0</v>
      </c>
      <c r="AS43">
        <v>211025</v>
      </c>
      <c r="AT43">
        <v>4577015</v>
      </c>
      <c r="AU43">
        <v>558604</v>
      </c>
      <c r="AV43">
        <v>0</v>
      </c>
      <c r="AW43">
        <v>0</v>
      </c>
      <c r="AX43">
        <v>400640</v>
      </c>
      <c r="AY43">
        <v>0</v>
      </c>
      <c r="AZ43">
        <v>0</v>
      </c>
      <c r="BA43">
        <v>488003</v>
      </c>
      <c r="BB43">
        <v>115907</v>
      </c>
      <c r="BC43">
        <v>2679320</v>
      </c>
      <c r="BD43">
        <v>0</v>
      </c>
      <c r="BE43">
        <v>0</v>
      </c>
      <c r="BF43">
        <v>1527905</v>
      </c>
      <c r="BG43">
        <v>0</v>
      </c>
      <c r="BH43">
        <v>0</v>
      </c>
      <c r="BI43">
        <v>1967997</v>
      </c>
      <c r="BJ43">
        <v>0</v>
      </c>
      <c r="BK43">
        <v>475274</v>
      </c>
      <c r="BL43">
        <v>689069</v>
      </c>
      <c r="BM43">
        <v>265697</v>
      </c>
      <c r="BN43">
        <v>0</v>
      </c>
      <c r="BO43">
        <v>5818876</v>
      </c>
      <c r="BP43">
        <v>90772428</v>
      </c>
      <c r="BQ43">
        <v>0</v>
      </c>
      <c r="BR43">
        <v>96147</v>
      </c>
      <c r="BS43">
        <v>331464</v>
      </c>
      <c r="BU43">
        <v>939441</v>
      </c>
      <c r="BV43">
        <v>0</v>
      </c>
      <c r="BW43">
        <v>9973184</v>
      </c>
      <c r="BX43">
        <v>2726525</v>
      </c>
      <c r="BY43">
        <v>9079315</v>
      </c>
      <c r="BZ43">
        <v>1944566</v>
      </c>
      <c r="CA43">
        <v>422351</v>
      </c>
      <c r="CB43">
        <v>1185904</v>
      </c>
      <c r="CC43">
        <v>568684</v>
      </c>
      <c r="CD43">
        <v>636773</v>
      </c>
      <c r="CE43">
        <v>768506</v>
      </c>
      <c r="CF43">
        <v>3718627</v>
      </c>
      <c r="CG43">
        <v>0</v>
      </c>
      <c r="CH43">
        <v>1230700</v>
      </c>
      <c r="CI43">
        <v>0</v>
      </c>
      <c r="CK43">
        <v>214237</v>
      </c>
    </row>
    <row r="44" spans="1:89" x14ac:dyDescent="0.3">
      <c r="A44" s="155">
        <v>88</v>
      </c>
      <c r="B44" t="s">
        <v>217</v>
      </c>
      <c r="D44">
        <v>175783</v>
      </c>
      <c r="E44">
        <v>0</v>
      </c>
      <c r="F44">
        <v>278386</v>
      </c>
      <c r="G44">
        <v>82264</v>
      </c>
      <c r="H44">
        <v>609394</v>
      </c>
      <c r="I44">
        <v>2433783</v>
      </c>
      <c r="J44">
        <v>0</v>
      </c>
      <c r="K44">
        <v>8825314</v>
      </c>
      <c r="L44">
        <v>0</v>
      </c>
      <c r="M44">
        <v>0</v>
      </c>
      <c r="N44">
        <v>1596518</v>
      </c>
      <c r="O44">
        <v>80200483</v>
      </c>
      <c r="P44">
        <v>0</v>
      </c>
      <c r="Q44">
        <v>0</v>
      </c>
      <c r="R44">
        <v>0</v>
      </c>
      <c r="S44">
        <v>0</v>
      </c>
      <c r="T44">
        <v>0</v>
      </c>
      <c r="U44">
        <v>0</v>
      </c>
      <c r="V44">
        <v>58692</v>
      </c>
      <c r="W44">
        <v>810567</v>
      </c>
      <c r="X44">
        <v>0</v>
      </c>
      <c r="Y44">
        <v>363572000</v>
      </c>
      <c r="Z44">
        <v>2282273</v>
      </c>
      <c r="AA44">
        <v>92085</v>
      </c>
      <c r="AB44">
        <v>0</v>
      </c>
      <c r="AC44">
        <v>1607073</v>
      </c>
      <c r="AD44">
        <v>1798606</v>
      </c>
      <c r="AE44">
        <v>526580</v>
      </c>
      <c r="AF44">
        <v>20121170</v>
      </c>
      <c r="AG44">
        <v>0</v>
      </c>
      <c r="AH44">
        <v>560049</v>
      </c>
      <c r="AI44">
        <v>5478255</v>
      </c>
      <c r="AJ44">
        <v>1123671</v>
      </c>
      <c r="AK44">
        <v>413575</v>
      </c>
      <c r="AL44">
        <v>264741</v>
      </c>
      <c r="AM44">
        <v>79292</v>
      </c>
      <c r="AN44">
        <v>561093</v>
      </c>
      <c r="AO44">
        <v>1374799</v>
      </c>
      <c r="AP44">
        <v>0</v>
      </c>
      <c r="AQ44">
        <v>43427872</v>
      </c>
      <c r="AR44">
        <v>0</v>
      </c>
      <c r="AS44">
        <v>53526</v>
      </c>
      <c r="AT44">
        <v>5105153</v>
      </c>
      <c r="AU44">
        <v>426289</v>
      </c>
      <c r="AV44">
        <v>0</v>
      </c>
      <c r="AW44">
        <v>0</v>
      </c>
      <c r="AX44">
        <v>193610</v>
      </c>
      <c r="AY44">
        <v>0</v>
      </c>
      <c r="AZ44">
        <v>0</v>
      </c>
      <c r="BA44">
        <v>378137</v>
      </c>
      <c r="BB44">
        <v>92728</v>
      </c>
      <c r="BC44">
        <v>2787599</v>
      </c>
      <c r="BD44">
        <v>0</v>
      </c>
      <c r="BE44">
        <v>0</v>
      </c>
      <c r="BF44">
        <v>1686627</v>
      </c>
      <c r="BG44">
        <v>0</v>
      </c>
      <c r="BH44">
        <v>0</v>
      </c>
      <c r="BI44">
        <v>1671986</v>
      </c>
      <c r="BJ44">
        <v>0</v>
      </c>
      <c r="BK44">
        <v>212444</v>
      </c>
      <c r="BL44">
        <v>634340</v>
      </c>
      <c r="BM44">
        <v>210510</v>
      </c>
      <c r="BN44">
        <v>0</v>
      </c>
      <c r="BO44">
        <v>5897292</v>
      </c>
      <c r="BP44">
        <v>108704242</v>
      </c>
      <c r="BQ44">
        <v>0</v>
      </c>
      <c r="BR44">
        <v>91292</v>
      </c>
      <c r="BS44">
        <v>340726</v>
      </c>
      <c r="BU44">
        <v>984415</v>
      </c>
      <c r="BV44">
        <v>0</v>
      </c>
      <c r="BW44">
        <v>9952215</v>
      </c>
      <c r="BX44">
        <v>2348022</v>
      </c>
      <c r="BY44">
        <v>9065248</v>
      </c>
      <c r="BZ44">
        <v>1541555</v>
      </c>
      <c r="CA44">
        <v>287521</v>
      </c>
      <c r="CB44">
        <v>1426844</v>
      </c>
      <c r="CC44">
        <v>503264</v>
      </c>
      <c r="CD44">
        <v>502129</v>
      </c>
      <c r="CE44">
        <v>643740</v>
      </c>
      <c r="CF44">
        <v>3905341</v>
      </c>
      <c r="CG44">
        <v>0</v>
      </c>
      <c r="CH44">
        <v>1247564</v>
      </c>
      <c r="CI44">
        <v>0</v>
      </c>
      <c r="CK44">
        <v>140543</v>
      </c>
    </row>
    <row r="45" spans="1:89" x14ac:dyDescent="0.3">
      <c r="A45" s="155">
        <v>89</v>
      </c>
      <c r="B45" t="s">
        <v>221</v>
      </c>
      <c r="D45">
        <v>0</v>
      </c>
      <c r="E45">
        <v>0</v>
      </c>
      <c r="F45">
        <v>0</v>
      </c>
      <c r="G45">
        <v>46</v>
      </c>
      <c r="H45">
        <v>27172</v>
      </c>
      <c r="I45">
        <v>60885</v>
      </c>
      <c r="J45">
        <v>0</v>
      </c>
      <c r="K45">
        <v>1060635</v>
      </c>
      <c r="L45">
        <v>0</v>
      </c>
      <c r="M45">
        <v>0</v>
      </c>
      <c r="N45">
        <v>74286</v>
      </c>
      <c r="O45">
        <v>9669184</v>
      </c>
      <c r="P45">
        <v>0</v>
      </c>
      <c r="Q45">
        <v>0</v>
      </c>
      <c r="R45">
        <v>0</v>
      </c>
      <c r="S45">
        <v>0</v>
      </c>
      <c r="T45">
        <v>0</v>
      </c>
      <c r="U45">
        <v>0</v>
      </c>
      <c r="V45">
        <v>0</v>
      </c>
      <c r="W45">
        <v>119123</v>
      </c>
      <c r="X45">
        <v>0</v>
      </c>
      <c r="Y45">
        <v>49861000</v>
      </c>
      <c r="Z45">
        <v>16630</v>
      </c>
      <c r="AA45">
        <v>0</v>
      </c>
      <c r="AB45">
        <v>0</v>
      </c>
      <c r="AC45">
        <v>177230</v>
      </c>
      <c r="AD45">
        <v>0</v>
      </c>
      <c r="AE45">
        <v>0</v>
      </c>
      <c r="AF45">
        <v>840642</v>
      </c>
      <c r="AG45">
        <v>0</v>
      </c>
      <c r="AH45">
        <v>0</v>
      </c>
      <c r="AI45">
        <v>168129</v>
      </c>
      <c r="AJ45">
        <v>39</v>
      </c>
      <c r="AK45">
        <v>0</v>
      </c>
      <c r="AL45">
        <v>18219</v>
      </c>
      <c r="AM45">
        <v>0</v>
      </c>
      <c r="AN45">
        <v>66290</v>
      </c>
      <c r="AO45">
        <v>52225</v>
      </c>
      <c r="AP45">
        <v>0</v>
      </c>
      <c r="AQ45">
        <v>896337</v>
      </c>
      <c r="AR45">
        <v>0</v>
      </c>
      <c r="AS45">
        <v>0</v>
      </c>
      <c r="AT45">
        <v>0</v>
      </c>
      <c r="AU45">
        <v>0</v>
      </c>
      <c r="AV45">
        <v>0</v>
      </c>
      <c r="AW45">
        <v>0</v>
      </c>
      <c r="AX45">
        <v>0</v>
      </c>
      <c r="AY45">
        <v>0</v>
      </c>
      <c r="AZ45">
        <v>0</v>
      </c>
      <c r="BA45">
        <v>0</v>
      </c>
      <c r="BB45">
        <v>0</v>
      </c>
      <c r="BC45">
        <v>94276</v>
      </c>
      <c r="BD45">
        <v>0</v>
      </c>
      <c r="BE45">
        <v>0</v>
      </c>
      <c r="BF45">
        <v>37523</v>
      </c>
      <c r="BG45">
        <v>0</v>
      </c>
      <c r="BH45">
        <v>0</v>
      </c>
      <c r="BI45">
        <v>135957</v>
      </c>
      <c r="BJ45">
        <v>0</v>
      </c>
      <c r="BK45">
        <v>0</v>
      </c>
      <c r="BL45">
        <v>0</v>
      </c>
      <c r="BM45">
        <v>0</v>
      </c>
      <c r="BN45">
        <v>0</v>
      </c>
      <c r="BO45">
        <v>191269</v>
      </c>
      <c r="BP45">
        <v>7820163</v>
      </c>
      <c r="BQ45">
        <v>0</v>
      </c>
      <c r="BR45">
        <v>0</v>
      </c>
      <c r="BS45">
        <v>0</v>
      </c>
      <c r="BU45">
        <v>59524</v>
      </c>
      <c r="BV45">
        <v>0</v>
      </c>
      <c r="BW45">
        <v>143787</v>
      </c>
      <c r="BX45">
        <v>54904</v>
      </c>
      <c r="BY45">
        <v>47285</v>
      </c>
      <c r="BZ45">
        <v>27238</v>
      </c>
      <c r="CA45">
        <v>9677</v>
      </c>
      <c r="CB45">
        <v>50771</v>
      </c>
      <c r="CC45">
        <v>0</v>
      </c>
      <c r="CD45">
        <v>50600</v>
      </c>
      <c r="CE45">
        <v>117542</v>
      </c>
      <c r="CF45">
        <v>0</v>
      </c>
      <c r="CG45">
        <v>0</v>
      </c>
      <c r="CH45">
        <v>84600</v>
      </c>
      <c r="CI45">
        <v>0</v>
      </c>
      <c r="CK45">
        <v>0</v>
      </c>
    </row>
    <row r="46" spans="1:89" x14ac:dyDescent="0.3">
      <c r="A46" s="155">
        <v>90</v>
      </c>
      <c r="B46" t="s">
        <v>214</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3060678</v>
      </c>
      <c r="AA46">
        <v>0</v>
      </c>
      <c r="AB46">
        <v>0</v>
      </c>
      <c r="AC46">
        <v>0</v>
      </c>
      <c r="AD46">
        <v>0</v>
      </c>
      <c r="AE46">
        <v>0</v>
      </c>
      <c r="AF46">
        <v>5300206</v>
      </c>
      <c r="AG46">
        <v>0</v>
      </c>
      <c r="AH46">
        <v>0</v>
      </c>
      <c r="AI46">
        <v>0</v>
      </c>
      <c r="AJ46">
        <v>0</v>
      </c>
      <c r="AK46">
        <v>0</v>
      </c>
      <c r="AL46">
        <v>0</v>
      </c>
      <c r="AM46">
        <v>0</v>
      </c>
      <c r="AN46">
        <v>0</v>
      </c>
      <c r="AO46">
        <v>0</v>
      </c>
      <c r="AP46">
        <v>0</v>
      </c>
      <c r="AQ46">
        <v>122928208</v>
      </c>
      <c r="AR46">
        <v>0</v>
      </c>
      <c r="AS46">
        <v>0</v>
      </c>
      <c r="AT46">
        <v>0</v>
      </c>
      <c r="AU46">
        <v>0</v>
      </c>
      <c r="AV46">
        <v>0</v>
      </c>
      <c r="AW46">
        <v>5476491</v>
      </c>
      <c r="AX46">
        <v>0</v>
      </c>
      <c r="AY46">
        <v>0</v>
      </c>
      <c r="AZ46">
        <v>0</v>
      </c>
      <c r="BA46">
        <v>0</v>
      </c>
      <c r="BB46">
        <v>0</v>
      </c>
      <c r="BC46">
        <v>3848152</v>
      </c>
      <c r="BD46">
        <v>0</v>
      </c>
      <c r="BE46">
        <v>0</v>
      </c>
      <c r="BF46">
        <v>0</v>
      </c>
      <c r="BG46">
        <v>0</v>
      </c>
      <c r="BH46">
        <v>0</v>
      </c>
      <c r="BI46">
        <v>0</v>
      </c>
      <c r="BJ46">
        <v>0</v>
      </c>
      <c r="BK46">
        <v>0</v>
      </c>
      <c r="BL46">
        <v>3845559</v>
      </c>
      <c r="BM46">
        <v>0</v>
      </c>
      <c r="BN46">
        <v>0</v>
      </c>
      <c r="BO46">
        <v>0</v>
      </c>
      <c r="BP46">
        <v>0</v>
      </c>
      <c r="BQ46">
        <v>0</v>
      </c>
      <c r="BR46">
        <v>0</v>
      </c>
      <c r="BS46">
        <v>0</v>
      </c>
      <c r="BU46">
        <v>0</v>
      </c>
      <c r="BV46">
        <v>0</v>
      </c>
      <c r="BW46">
        <v>0</v>
      </c>
      <c r="BX46">
        <v>2177738</v>
      </c>
      <c r="BY46">
        <v>5509535</v>
      </c>
      <c r="BZ46">
        <v>0</v>
      </c>
      <c r="CA46">
        <v>0</v>
      </c>
      <c r="CB46">
        <v>0</v>
      </c>
      <c r="CC46">
        <v>0</v>
      </c>
      <c r="CD46">
        <v>0</v>
      </c>
      <c r="CE46">
        <v>0</v>
      </c>
      <c r="CF46">
        <v>0</v>
      </c>
      <c r="CG46">
        <v>0</v>
      </c>
      <c r="CH46">
        <v>7036812</v>
      </c>
      <c r="CI46">
        <v>0</v>
      </c>
      <c r="CK46">
        <v>0</v>
      </c>
    </row>
    <row r="47" spans="1:89" x14ac:dyDescent="0.3">
      <c r="A47" s="155">
        <v>91</v>
      </c>
      <c r="B47" t="s">
        <v>215</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1099967</v>
      </c>
      <c r="AA47">
        <v>0</v>
      </c>
      <c r="AB47">
        <v>0</v>
      </c>
      <c r="AC47">
        <v>0</v>
      </c>
      <c r="AD47">
        <v>0</v>
      </c>
      <c r="AE47">
        <v>0</v>
      </c>
      <c r="AF47">
        <v>1781385</v>
      </c>
      <c r="AG47">
        <v>0</v>
      </c>
      <c r="AH47">
        <v>0</v>
      </c>
      <c r="AI47">
        <v>0</v>
      </c>
      <c r="AJ47">
        <v>0</v>
      </c>
      <c r="AK47">
        <v>0</v>
      </c>
      <c r="AL47">
        <v>0</v>
      </c>
      <c r="AM47">
        <v>0</v>
      </c>
      <c r="AN47">
        <v>0</v>
      </c>
      <c r="AO47">
        <v>0</v>
      </c>
      <c r="AP47">
        <v>0</v>
      </c>
      <c r="AQ47">
        <v>12150648</v>
      </c>
      <c r="AR47">
        <v>0</v>
      </c>
      <c r="AS47">
        <v>0</v>
      </c>
      <c r="AT47">
        <v>0</v>
      </c>
      <c r="AU47">
        <v>0</v>
      </c>
      <c r="AV47">
        <v>0</v>
      </c>
      <c r="AW47">
        <v>757789</v>
      </c>
      <c r="AX47">
        <v>0</v>
      </c>
      <c r="AY47">
        <v>0</v>
      </c>
      <c r="AZ47">
        <v>0</v>
      </c>
      <c r="BA47">
        <v>0</v>
      </c>
      <c r="BB47">
        <v>0</v>
      </c>
      <c r="BC47">
        <v>1050629</v>
      </c>
      <c r="BD47">
        <v>0</v>
      </c>
      <c r="BE47">
        <v>0</v>
      </c>
      <c r="BF47">
        <v>0</v>
      </c>
      <c r="BG47">
        <v>0</v>
      </c>
      <c r="BH47">
        <v>0</v>
      </c>
      <c r="BI47">
        <v>0</v>
      </c>
      <c r="BJ47">
        <v>0</v>
      </c>
      <c r="BK47">
        <v>0</v>
      </c>
      <c r="BL47">
        <v>181205</v>
      </c>
      <c r="BM47">
        <v>0</v>
      </c>
      <c r="BN47">
        <v>0</v>
      </c>
      <c r="BO47">
        <v>0</v>
      </c>
      <c r="BP47">
        <v>0</v>
      </c>
      <c r="BQ47">
        <v>0</v>
      </c>
      <c r="BR47">
        <v>0</v>
      </c>
      <c r="BS47">
        <v>0</v>
      </c>
      <c r="BU47">
        <v>0</v>
      </c>
      <c r="BV47">
        <v>0</v>
      </c>
      <c r="BW47">
        <v>0</v>
      </c>
      <c r="BX47">
        <v>70180</v>
      </c>
      <c r="BY47">
        <v>4142656</v>
      </c>
      <c r="BZ47">
        <v>0</v>
      </c>
      <c r="CA47">
        <v>0</v>
      </c>
      <c r="CB47">
        <v>0</v>
      </c>
      <c r="CC47">
        <v>0</v>
      </c>
      <c r="CD47">
        <v>0</v>
      </c>
      <c r="CE47">
        <v>0</v>
      </c>
      <c r="CF47">
        <v>0</v>
      </c>
      <c r="CG47">
        <v>0</v>
      </c>
      <c r="CH47">
        <v>857874</v>
      </c>
      <c r="CI47">
        <v>0</v>
      </c>
      <c r="CK47">
        <v>0</v>
      </c>
    </row>
    <row r="48" spans="1:89" x14ac:dyDescent="0.3">
      <c r="A48" s="155">
        <v>93</v>
      </c>
      <c r="B48" t="s">
        <v>228</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7181590</v>
      </c>
      <c r="AA48">
        <v>0</v>
      </c>
      <c r="AB48">
        <v>0</v>
      </c>
      <c r="AC48">
        <v>0</v>
      </c>
      <c r="AD48">
        <v>0</v>
      </c>
      <c r="AE48">
        <v>0</v>
      </c>
      <c r="AF48">
        <v>14981022</v>
      </c>
      <c r="AG48">
        <v>0</v>
      </c>
      <c r="AH48">
        <v>0</v>
      </c>
      <c r="AI48">
        <v>0</v>
      </c>
      <c r="AJ48">
        <v>0</v>
      </c>
      <c r="AK48">
        <v>0</v>
      </c>
      <c r="AL48">
        <v>0</v>
      </c>
      <c r="AM48">
        <v>0</v>
      </c>
      <c r="AN48">
        <v>0</v>
      </c>
      <c r="AO48">
        <v>0</v>
      </c>
      <c r="AP48">
        <v>0</v>
      </c>
      <c r="AQ48">
        <v>87893010</v>
      </c>
      <c r="AR48">
        <v>0</v>
      </c>
      <c r="AS48">
        <v>0</v>
      </c>
      <c r="AT48">
        <v>0</v>
      </c>
      <c r="AU48">
        <v>0</v>
      </c>
      <c r="AV48">
        <v>0</v>
      </c>
      <c r="AW48">
        <v>6518361</v>
      </c>
      <c r="AX48">
        <v>0</v>
      </c>
      <c r="AY48">
        <v>0</v>
      </c>
      <c r="AZ48">
        <v>0</v>
      </c>
      <c r="BA48">
        <v>0</v>
      </c>
      <c r="BB48">
        <v>0</v>
      </c>
      <c r="BC48">
        <v>8642895</v>
      </c>
      <c r="BD48">
        <v>0</v>
      </c>
      <c r="BE48">
        <v>0</v>
      </c>
      <c r="BF48">
        <v>0</v>
      </c>
      <c r="BG48">
        <v>0</v>
      </c>
      <c r="BH48">
        <v>0</v>
      </c>
      <c r="BI48">
        <v>0</v>
      </c>
      <c r="BJ48">
        <v>0</v>
      </c>
      <c r="BK48">
        <v>0</v>
      </c>
      <c r="BL48">
        <v>2481852</v>
      </c>
      <c r="BM48">
        <v>0</v>
      </c>
      <c r="BN48">
        <v>0</v>
      </c>
      <c r="BO48">
        <v>0</v>
      </c>
      <c r="BP48">
        <v>0</v>
      </c>
      <c r="BQ48">
        <v>0</v>
      </c>
      <c r="BR48">
        <v>0</v>
      </c>
      <c r="BS48">
        <v>0</v>
      </c>
      <c r="BU48">
        <v>0</v>
      </c>
      <c r="BV48">
        <v>0</v>
      </c>
      <c r="BW48">
        <v>0</v>
      </c>
      <c r="BX48">
        <v>11883180</v>
      </c>
      <c r="BY48">
        <v>32473954</v>
      </c>
      <c r="BZ48">
        <v>0</v>
      </c>
      <c r="CA48">
        <v>0</v>
      </c>
      <c r="CB48">
        <v>0</v>
      </c>
      <c r="CC48">
        <v>0</v>
      </c>
      <c r="CD48">
        <v>0</v>
      </c>
      <c r="CE48">
        <v>0</v>
      </c>
      <c r="CF48">
        <v>0</v>
      </c>
      <c r="CG48">
        <v>0</v>
      </c>
      <c r="CH48">
        <v>2798637</v>
      </c>
      <c r="CI48">
        <v>0</v>
      </c>
      <c r="CK48">
        <v>0</v>
      </c>
    </row>
    <row r="49" spans="1:89" x14ac:dyDescent="0.3">
      <c r="A49" s="155">
        <v>94</v>
      </c>
      <c r="B49" t="s">
        <v>231</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6034727</v>
      </c>
      <c r="AA49">
        <v>0</v>
      </c>
      <c r="AB49">
        <v>0</v>
      </c>
      <c r="AC49">
        <v>0</v>
      </c>
      <c r="AD49">
        <v>0</v>
      </c>
      <c r="AE49">
        <v>0</v>
      </c>
      <c r="AF49">
        <v>13337304</v>
      </c>
      <c r="AG49">
        <v>0</v>
      </c>
      <c r="AH49">
        <v>0</v>
      </c>
      <c r="AI49">
        <v>0</v>
      </c>
      <c r="AJ49">
        <v>0</v>
      </c>
      <c r="AK49">
        <v>0</v>
      </c>
      <c r="AL49">
        <v>0</v>
      </c>
      <c r="AM49">
        <v>0</v>
      </c>
      <c r="AN49">
        <v>0</v>
      </c>
      <c r="AO49">
        <v>0</v>
      </c>
      <c r="AP49">
        <v>0</v>
      </c>
      <c r="AQ49">
        <v>66837372</v>
      </c>
      <c r="AR49">
        <v>0</v>
      </c>
      <c r="AS49">
        <v>0</v>
      </c>
      <c r="AT49">
        <v>0</v>
      </c>
      <c r="AU49">
        <v>0</v>
      </c>
      <c r="AV49">
        <v>0</v>
      </c>
      <c r="AW49">
        <v>6661858</v>
      </c>
      <c r="AX49">
        <v>0</v>
      </c>
      <c r="AY49">
        <v>0</v>
      </c>
      <c r="AZ49">
        <v>0</v>
      </c>
      <c r="BA49">
        <v>0</v>
      </c>
      <c r="BB49">
        <v>0</v>
      </c>
      <c r="BC49">
        <v>6916966</v>
      </c>
      <c r="BD49">
        <v>0</v>
      </c>
      <c r="BE49">
        <v>0</v>
      </c>
      <c r="BF49">
        <v>0</v>
      </c>
      <c r="BG49">
        <v>0</v>
      </c>
      <c r="BH49">
        <v>0</v>
      </c>
      <c r="BI49">
        <v>0</v>
      </c>
      <c r="BJ49">
        <v>0</v>
      </c>
      <c r="BK49">
        <v>0</v>
      </c>
      <c r="BL49">
        <v>1986186</v>
      </c>
      <c r="BM49">
        <v>0</v>
      </c>
      <c r="BN49">
        <v>0</v>
      </c>
      <c r="BO49">
        <v>0</v>
      </c>
      <c r="BP49">
        <v>0</v>
      </c>
      <c r="BQ49">
        <v>0</v>
      </c>
      <c r="BR49">
        <v>0</v>
      </c>
      <c r="BS49">
        <v>0</v>
      </c>
      <c r="BU49">
        <v>0</v>
      </c>
      <c r="BV49">
        <v>0</v>
      </c>
      <c r="BW49">
        <v>0</v>
      </c>
      <c r="BX49">
        <v>11253920</v>
      </c>
      <c r="BY49">
        <v>31075450</v>
      </c>
      <c r="BZ49">
        <v>0</v>
      </c>
      <c r="CA49">
        <v>0</v>
      </c>
      <c r="CB49">
        <v>0</v>
      </c>
      <c r="CC49">
        <v>0</v>
      </c>
      <c r="CD49">
        <v>0</v>
      </c>
      <c r="CE49">
        <v>0</v>
      </c>
      <c r="CF49">
        <v>0</v>
      </c>
      <c r="CG49">
        <v>0</v>
      </c>
      <c r="CH49">
        <v>2503943</v>
      </c>
      <c r="CI49">
        <v>0</v>
      </c>
      <c r="CK49">
        <v>0</v>
      </c>
    </row>
    <row r="50" spans="1:89" x14ac:dyDescent="0.3">
      <c r="A50" s="155">
        <v>97</v>
      </c>
      <c r="B50" t="s">
        <v>227</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6159062</v>
      </c>
      <c r="AA50">
        <v>0</v>
      </c>
      <c r="AB50">
        <v>0</v>
      </c>
      <c r="AC50">
        <v>0</v>
      </c>
      <c r="AD50">
        <v>0</v>
      </c>
      <c r="AE50">
        <v>0</v>
      </c>
      <c r="AF50">
        <v>14814990</v>
      </c>
      <c r="AG50">
        <v>0</v>
      </c>
      <c r="AH50">
        <v>0</v>
      </c>
      <c r="AI50">
        <v>0</v>
      </c>
      <c r="AJ50">
        <v>0</v>
      </c>
      <c r="AK50">
        <v>0</v>
      </c>
      <c r="AL50">
        <v>0</v>
      </c>
      <c r="AM50">
        <v>0</v>
      </c>
      <c r="AN50">
        <v>0</v>
      </c>
      <c r="AO50">
        <v>0</v>
      </c>
      <c r="AP50">
        <v>0</v>
      </c>
      <c r="AQ50">
        <v>81756060</v>
      </c>
      <c r="AR50">
        <v>0</v>
      </c>
      <c r="AS50">
        <v>0</v>
      </c>
      <c r="AT50">
        <v>0</v>
      </c>
      <c r="AU50">
        <v>0</v>
      </c>
      <c r="AV50">
        <v>0</v>
      </c>
      <c r="AW50">
        <v>6493803</v>
      </c>
      <c r="AX50">
        <v>0</v>
      </c>
      <c r="AY50">
        <v>0</v>
      </c>
      <c r="AZ50">
        <v>0</v>
      </c>
      <c r="BA50">
        <v>0</v>
      </c>
      <c r="BB50">
        <v>0</v>
      </c>
      <c r="BC50">
        <v>8300718</v>
      </c>
      <c r="BD50">
        <v>0</v>
      </c>
      <c r="BE50">
        <v>0</v>
      </c>
      <c r="BF50">
        <v>0</v>
      </c>
      <c r="BG50">
        <v>0</v>
      </c>
      <c r="BH50">
        <v>0</v>
      </c>
      <c r="BI50">
        <v>0</v>
      </c>
      <c r="BJ50">
        <v>0</v>
      </c>
      <c r="BK50">
        <v>0</v>
      </c>
      <c r="BL50">
        <v>2229358</v>
      </c>
      <c r="BM50">
        <v>0</v>
      </c>
      <c r="BN50">
        <v>0</v>
      </c>
      <c r="BO50">
        <v>0</v>
      </c>
      <c r="BP50">
        <v>0</v>
      </c>
      <c r="BQ50">
        <v>0</v>
      </c>
      <c r="BR50">
        <v>0</v>
      </c>
      <c r="BS50">
        <v>0</v>
      </c>
      <c r="BU50">
        <v>0</v>
      </c>
      <c r="BV50">
        <v>0</v>
      </c>
      <c r="BW50">
        <v>0</v>
      </c>
      <c r="BX50">
        <v>11883180</v>
      </c>
      <c r="BY50">
        <v>32277008</v>
      </c>
      <c r="BZ50">
        <v>0</v>
      </c>
      <c r="CA50">
        <v>0</v>
      </c>
      <c r="CB50">
        <v>0</v>
      </c>
      <c r="CC50">
        <v>0</v>
      </c>
      <c r="CD50">
        <v>0</v>
      </c>
      <c r="CE50">
        <v>0</v>
      </c>
      <c r="CF50">
        <v>0</v>
      </c>
      <c r="CG50">
        <v>0</v>
      </c>
      <c r="CH50">
        <v>2798637</v>
      </c>
      <c r="CI50">
        <v>0</v>
      </c>
      <c r="CK50">
        <v>0</v>
      </c>
    </row>
    <row r="51" spans="1:89" x14ac:dyDescent="0.3">
      <c r="A51" s="155">
        <v>98</v>
      </c>
      <c r="B51" t="s">
        <v>232</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131717</v>
      </c>
      <c r="AG51">
        <v>0</v>
      </c>
      <c r="AH51">
        <v>0</v>
      </c>
      <c r="AI51">
        <v>0</v>
      </c>
      <c r="AJ51">
        <v>0</v>
      </c>
      <c r="AK51">
        <v>0</v>
      </c>
      <c r="AL51">
        <v>0</v>
      </c>
      <c r="AM51">
        <v>0</v>
      </c>
      <c r="AN51">
        <v>0</v>
      </c>
      <c r="AO51">
        <v>0</v>
      </c>
      <c r="AP51">
        <v>0</v>
      </c>
      <c r="AQ51">
        <v>421899</v>
      </c>
      <c r="AR51">
        <v>0</v>
      </c>
      <c r="AS51">
        <v>0</v>
      </c>
      <c r="AT51">
        <v>0</v>
      </c>
      <c r="AU51">
        <v>0</v>
      </c>
      <c r="AV51">
        <v>0</v>
      </c>
      <c r="AW51">
        <v>300</v>
      </c>
      <c r="AX51">
        <v>0</v>
      </c>
      <c r="AY51">
        <v>0</v>
      </c>
      <c r="AZ51">
        <v>0</v>
      </c>
      <c r="BA51">
        <v>0</v>
      </c>
      <c r="BB51">
        <v>0</v>
      </c>
      <c r="BC51">
        <v>3856</v>
      </c>
      <c r="BD51">
        <v>0</v>
      </c>
      <c r="BE51">
        <v>0</v>
      </c>
      <c r="BF51">
        <v>0</v>
      </c>
      <c r="BG51">
        <v>0</v>
      </c>
      <c r="BH51">
        <v>0</v>
      </c>
      <c r="BI51">
        <v>0</v>
      </c>
      <c r="BJ51">
        <v>0</v>
      </c>
      <c r="BK51">
        <v>0</v>
      </c>
      <c r="BL51">
        <v>0</v>
      </c>
      <c r="BM51">
        <v>0</v>
      </c>
      <c r="BN51">
        <v>0</v>
      </c>
      <c r="BO51">
        <v>0</v>
      </c>
      <c r="BP51">
        <v>0</v>
      </c>
      <c r="BQ51">
        <v>0</v>
      </c>
      <c r="BR51">
        <v>0</v>
      </c>
      <c r="BS51">
        <v>0</v>
      </c>
      <c r="BU51">
        <v>0</v>
      </c>
      <c r="BV51">
        <v>0</v>
      </c>
      <c r="BW51">
        <v>0</v>
      </c>
      <c r="BX51">
        <v>5665</v>
      </c>
      <c r="BY51">
        <v>49192</v>
      </c>
      <c r="BZ51">
        <v>0</v>
      </c>
      <c r="CA51">
        <v>0</v>
      </c>
      <c r="CB51">
        <v>0</v>
      </c>
      <c r="CC51">
        <v>0</v>
      </c>
      <c r="CD51">
        <v>0</v>
      </c>
      <c r="CE51">
        <v>0</v>
      </c>
      <c r="CF51">
        <v>0</v>
      </c>
      <c r="CG51">
        <v>0</v>
      </c>
      <c r="CH51">
        <v>0</v>
      </c>
      <c r="CI51">
        <v>0</v>
      </c>
      <c r="CK51">
        <v>0</v>
      </c>
    </row>
    <row r="52" spans="1:89" x14ac:dyDescent="0.3">
      <c r="A52" s="155">
        <v>99</v>
      </c>
      <c r="B52" t="s">
        <v>229</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3895199</v>
      </c>
      <c r="AA52">
        <v>0</v>
      </c>
      <c r="AB52">
        <v>0</v>
      </c>
      <c r="AC52">
        <v>0</v>
      </c>
      <c r="AD52">
        <v>0</v>
      </c>
      <c r="AE52">
        <v>0</v>
      </c>
      <c r="AF52">
        <v>11795411</v>
      </c>
      <c r="AG52">
        <v>0</v>
      </c>
      <c r="AH52">
        <v>0</v>
      </c>
      <c r="AI52">
        <v>0</v>
      </c>
      <c r="AJ52">
        <v>0</v>
      </c>
      <c r="AK52">
        <v>0</v>
      </c>
      <c r="AL52">
        <v>0</v>
      </c>
      <c r="AM52">
        <v>0</v>
      </c>
      <c r="AN52">
        <v>0</v>
      </c>
      <c r="AO52">
        <v>0</v>
      </c>
      <c r="AP52">
        <v>0</v>
      </c>
      <c r="AQ52">
        <v>45060401</v>
      </c>
      <c r="AR52">
        <v>0</v>
      </c>
      <c r="AS52">
        <v>0</v>
      </c>
      <c r="AT52">
        <v>0</v>
      </c>
      <c r="AU52">
        <v>0</v>
      </c>
      <c r="AV52">
        <v>0</v>
      </c>
      <c r="AW52">
        <v>4675915</v>
      </c>
      <c r="AX52">
        <v>0</v>
      </c>
      <c r="AY52">
        <v>0</v>
      </c>
      <c r="AZ52">
        <v>0</v>
      </c>
      <c r="BA52">
        <v>0</v>
      </c>
      <c r="BB52">
        <v>0</v>
      </c>
      <c r="BC52">
        <v>4525195</v>
      </c>
      <c r="BD52">
        <v>0</v>
      </c>
      <c r="BE52">
        <v>0</v>
      </c>
      <c r="BF52">
        <v>0</v>
      </c>
      <c r="BG52">
        <v>0</v>
      </c>
      <c r="BH52">
        <v>0</v>
      </c>
      <c r="BI52">
        <v>0</v>
      </c>
      <c r="BJ52">
        <v>0</v>
      </c>
      <c r="BK52">
        <v>0</v>
      </c>
      <c r="BL52">
        <v>1277330</v>
      </c>
      <c r="BM52">
        <v>0</v>
      </c>
      <c r="BN52">
        <v>0</v>
      </c>
      <c r="BO52">
        <v>0</v>
      </c>
      <c r="BP52">
        <v>0</v>
      </c>
      <c r="BQ52">
        <v>0</v>
      </c>
      <c r="BR52">
        <v>0</v>
      </c>
      <c r="BS52">
        <v>0</v>
      </c>
      <c r="BU52">
        <v>0</v>
      </c>
      <c r="BV52">
        <v>0</v>
      </c>
      <c r="BW52">
        <v>0</v>
      </c>
      <c r="BX52">
        <v>8124025</v>
      </c>
      <c r="BY52">
        <v>23409887</v>
      </c>
      <c r="BZ52">
        <v>0</v>
      </c>
      <c r="CA52">
        <v>0</v>
      </c>
      <c r="CB52">
        <v>0</v>
      </c>
      <c r="CC52">
        <v>0</v>
      </c>
      <c r="CD52">
        <v>0</v>
      </c>
      <c r="CE52">
        <v>0</v>
      </c>
      <c r="CF52">
        <v>0</v>
      </c>
      <c r="CG52">
        <v>0</v>
      </c>
      <c r="CH52">
        <v>1486315</v>
      </c>
      <c r="CI52">
        <v>0</v>
      </c>
      <c r="CK52">
        <v>0</v>
      </c>
    </row>
    <row r="53" spans="1:89" x14ac:dyDescent="0.3">
      <c r="A53" s="155">
        <v>100</v>
      </c>
      <c r="B53" t="s">
        <v>242</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447679</v>
      </c>
      <c r="AG53">
        <v>0</v>
      </c>
      <c r="AH53">
        <v>0</v>
      </c>
      <c r="AI53">
        <v>0</v>
      </c>
      <c r="AJ53">
        <v>0</v>
      </c>
      <c r="AK53">
        <v>0</v>
      </c>
      <c r="AL53">
        <v>0</v>
      </c>
      <c r="AM53">
        <v>0</v>
      </c>
      <c r="AN53">
        <v>0</v>
      </c>
      <c r="AO53">
        <v>0</v>
      </c>
      <c r="AP53">
        <v>0</v>
      </c>
      <c r="AQ53">
        <v>1038637</v>
      </c>
      <c r="AR53">
        <v>0</v>
      </c>
      <c r="AS53">
        <v>0</v>
      </c>
      <c r="AT53">
        <v>0</v>
      </c>
      <c r="AU53">
        <v>0</v>
      </c>
      <c r="AV53">
        <v>0</v>
      </c>
      <c r="AW53">
        <v>25728</v>
      </c>
      <c r="AX53">
        <v>0</v>
      </c>
      <c r="AY53">
        <v>0</v>
      </c>
      <c r="AZ53">
        <v>0</v>
      </c>
      <c r="BA53">
        <v>0</v>
      </c>
      <c r="BB53">
        <v>0</v>
      </c>
      <c r="BC53">
        <v>65716</v>
      </c>
      <c r="BD53">
        <v>0</v>
      </c>
      <c r="BE53">
        <v>0</v>
      </c>
      <c r="BF53">
        <v>0</v>
      </c>
      <c r="BG53">
        <v>0</v>
      </c>
      <c r="BH53">
        <v>0</v>
      </c>
      <c r="BI53">
        <v>0</v>
      </c>
      <c r="BJ53">
        <v>0</v>
      </c>
      <c r="BK53">
        <v>0</v>
      </c>
      <c r="BL53">
        <v>0</v>
      </c>
      <c r="BM53">
        <v>0</v>
      </c>
      <c r="BN53">
        <v>0</v>
      </c>
      <c r="BO53">
        <v>0</v>
      </c>
      <c r="BP53">
        <v>0</v>
      </c>
      <c r="BQ53">
        <v>0</v>
      </c>
      <c r="BR53">
        <v>0</v>
      </c>
      <c r="BS53">
        <v>0</v>
      </c>
      <c r="BU53">
        <v>0</v>
      </c>
      <c r="BV53">
        <v>0</v>
      </c>
      <c r="BW53">
        <v>0</v>
      </c>
      <c r="BX53">
        <v>213195</v>
      </c>
      <c r="BY53">
        <v>848112</v>
      </c>
      <c r="BZ53">
        <v>0</v>
      </c>
      <c r="CA53">
        <v>0</v>
      </c>
      <c r="CB53">
        <v>0</v>
      </c>
      <c r="CC53">
        <v>0</v>
      </c>
      <c r="CD53">
        <v>0</v>
      </c>
      <c r="CE53">
        <v>0</v>
      </c>
      <c r="CF53">
        <v>0</v>
      </c>
      <c r="CG53">
        <v>0</v>
      </c>
      <c r="CH53">
        <v>0</v>
      </c>
      <c r="CI53">
        <v>0</v>
      </c>
      <c r="CK53">
        <v>0</v>
      </c>
    </row>
    <row r="54" spans="1:89" x14ac:dyDescent="0.3">
      <c r="A54" s="155">
        <v>101</v>
      </c>
      <c r="B54" t="s">
        <v>241</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46006</v>
      </c>
      <c r="AA54">
        <v>0</v>
      </c>
      <c r="AB54">
        <v>0</v>
      </c>
      <c r="AC54">
        <v>0</v>
      </c>
      <c r="AD54">
        <v>0</v>
      </c>
      <c r="AE54">
        <v>0</v>
      </c>
      <c r="AF54">
        <v>1488181</v>
      </c>
      <c r="AG54">
        <v>0</v>
      </c>
      <c r="AH54">
        <v>0</v>
      </c>
      <c r="AI54">
        <v>0</v>
      </c>
      <c r="AJ54">
        <v>0</v>
      </c>
      <c r="AK54">
        <v>0</v>
      </c>
      <c r="AL54">
        <v>0</v>
      </c>
      <c r="AM54">
        <v>0</v>
      </c>
      <c r="AN54">
        <v>0</v>
      </c>
      <c r="AO54">
        <v>0</v>
      </c>
      <c r="AP54">
        <v>0</v>
      </c>
      <c r="AQ54">
        <v>10266841</v>
      </c>
      <c r="AR54">
        <v>0</v>
      </c>
      <c r="AS54">
        <v>0</v>
      </c>
      <c r="AT54">
        <v>0</v>
      </c>
      <c r="AU54">
        <v>0</v>
      </c>
      <c r="AV54">
        <v>0</v>
      </c>
      <c r="AW54">
        <v>287572</v>
      </c>
      <c r="AX54">
        <v>0</v>
      </c>
      <c r="AY54">
        <v>0</v>
      </c>
      <c r="AZ54">
        <v>0</v>
      </c>
      <c r="BA54">
        <v>0</v>
      </c>
      <c r="BB54">
        <v>0</v>
      </c>
      <c r="BC54">
        <v>42987</v>
      </c>
      <c r="BD54">
        <v>0</v>
      </c>
      <c r="BE54">
        <v>0</v>
      </c>
      <c r="BF54">
        <v>0</v>
      </c>
      <c r="BG54">
        <v>0</v>
      </c>
      <c r="BH54">
        <v>0</v>
      </c>
      <c r="BI54">
        <v>0</v>
      </c>
      <c r="BJ54">
        <v>0</v>
      </c>
      <c r="BK54">
        <v>0</v>
      </c>
      <c r="BL54">
        <v>0</v>
      </c>
      <c r="BM54">
        <v>0</v>
      </c>
      <c r="BN54">
        <v>0</v>
      </c>
      <c r="BO54">
        <v>0</v>
      </c>
      <c r="BP54">
        <v>0</v>
      </c>
      <c r="BQ54">
        <v>0</v>
      </c>
      <c r="BR54">
        <v>0</v>
      </c>
      <c r="BS54">
        <v>0</v>
      </c>
      <c r="BU54">
        <v>0</v>
      </c>
      <c r="BV54">
        <v>0</v>
      </c>
      <c r="BW54">
        <v>0</v>
      </c>
      <c r="BX54">
        <v>588670</v>
      </c>
      <c r="BY54">
        <v>2397000</v>
      </c>
      <c r="BZ54">
        <v>0</v>
      </c>
      <c r="CA54">
        <v>0</v>
      </c>
      <c r="CB54">
        <v>0</v>
      </c>
      <c r="CC54">
        <v>0</v>
      </c>
      <c r="CD54">
        <v>0</v>
      </c>
      <c r="CE54">
        <v>0</v>
      </c>
      <c r="CF54">
        <v>0</v>
      </c>
      <c r="CG54">
        <v>0</v>
      </c>
      <c r="CH54">
        <v>51584</v>
      </c>
      <c r="CI54">
        <v>0</v>
      </c>
      <c r="CK54">
        <v>0</v>
      </c>
    </row>
    <row r="55" spans="1:89" x14ac:dyDescent="0.3">
      <c r="A55" s="155">
        <v>102</v>
      </c>
      <c r="B55" t="s">
        <v>255</v>
      </c>
      <c r="D55">
        <v>0</v>
      </c>
      <c r="E55">
        <v>98.48</v>
      </c>
      <c r="F55">
        <v>95.39</v>
      </c>
      <c r="G55">
        <v>98.32</v>
      </c>
      <c r="H55">
        <v>98.35</v>
      </c>
      <c r="I55">
        <v>98.11</v>
      </c>
      <c r="J55">
        <v>99.14</v>
      </c>
      <c r="K55">
        <v>99.46</v>
      </c>
      <c r="L55">
        <v>99.12</v>
      </c>
      <c r="M55">
        <v>99.51</v>
      </c>
      <c r="N55">
        <v>99.48</v>
      </c>
      <c r="O55">
        <v>99.84</v>
      </c>
      <c r="P55">
        <v>96.33</v>
      </c>
      <c r="Q55">
        <v>95.49</v>
      </c>
      <c r="R55">
        <v>99.73</v>
      </c>
      <c r="S55">
        <v>98.03</v>
      </c>
      <c r="T55">
        <v>97.51</v>
      </c>
      <c r="U55">
        <v>99.92</v>
      </c>
      <c r="V55">
        <v>95.11</v>
      </c>
      <c r="W55">
        <v>94.29</v>
      </c>
      <c r="X55">
        <v>99.72</v>
      </c>
      <c r="Y55">
        <v>99.15</v>
      </c>
      <c r="Z55">
        <v>98.58</v>
      </c>
      <c r="AA55">
        <v>98.41</v>
      </c>
      <c r="AB55">
        <v>97.96</v>
      </c>
      <c r="AC55">
        <v>98.5</v>
      </c>
      <c r="AD55">
        <v>99.83</v>
      </c>
      <c r="AE55">
        <v>93.27</v>
      </c>
      <c r="AF55">
        <v>99.93</v>
      </c>
      <c r="AG55">
        <v>99.62</v>
      </c>
      <c r="AH55">
        <v>98.51</v>
      </c>
      <c r="AI55">
        <v>98.52</v>
      </c>
      <c r="AJ55">
        <v>97.64</v>
      </c>
      <c r="AK55">
        <v>99.22</v>
      </c>
      <c r="AL55">
        <v>94.84</v>
      </c>
      <c r="AM55">
        <v>99.04</v>
      </c>
      <c r="AN55">
        <v>96.94</v>
      </c>
      <c r="AO55">
        <v>99.07</v>
      </c>
      <c r="AP55">
        <v>97.74</v>
      </c>
      <c r="AQ55">
        <v>99.17</v>
      </c>
      <c r="AR55">
        <v>94.91</v>
      </c>
      <c r="AS55">
        <v>93.27</v>
      </c>
      <c r="AT55">
        <v>99.13</v>
      </c>
      <c r="AU55">
        <v>96.98</v>
      </c>
      <c r="AV55">
        <v>93.59</v>
      </c>
      <c r="AW55">
        <v>99.33</v>
      </c>
      <c r="AX55">
        <v>93.33</v>
      </c>
      <c r="AY55">
        <v>99.52</v>
      </c>
      <c r="AZ55">
        <v>99.53</v>
      </c>
      <c r="BA55">
        <v>95.85</v>
      </c>
      <c r="BB55">
        <v>88.87</v>
      </c>
      <c r="BC55">
        <v>99.14</v>
      </c>
      <c r="BD55">
        <v>98.25</v>
      </c>
      <c r="BE55">
        <v>99.59</v>
      </c>
      <c r="BF55">
        <v>97.15</v>
      </c>
      <c r="BG55">
        <v>98.77</v>
      </c>
      <c r="BH55">
        <v>77.48</v>
      </c>
      <c r="BI55">
        <v>98.99</v>
      </c>
      <c r="BJ55">
        <v>0</v>
      </c>
      <c r="BK55">
        <v>92.42</v>
      </c>
      <c r="BL55">
        <v>98.26</v>
      </c>
      <c r="BM55">
        <v>94.93</v>
      </c>
      <c r="BN55">
        <v>99.99</v>
      </c>
      <c r="BO55">
        <v>99.09</v>
      </c>
      <c r="BP55">
        <v>98.78</v>
      </c>
      <c r="BQ55">
        <v>98.39</v>
      </c>
      <c r="BR55">
        <v>88.16</v>
      </c>
      <c r="BS55">
        <v>95.77</v>
      </c>
      <c r="BU55">
        <v>94.66</v>
      </c>
      <c r="BV55">
        <v>98.34</v>
      </c>
      <c r="BW55">
        <v>98.58</v>
      </c>
      <c r="BX55">
        <v>98.89</v>
      </c>
      <c r="BY55">
        <v>95.53</v>
      </c>
      <c r="BZ55">
        <v>96.78</v>
      </c>
      <c r="CA55">
        <v>99.21</v>
      </c>
      <c r="CB55">
        <v>98.29</v>
      </c>
      <c r="CC55">
        <v>96.5</v>
      </c>
      <c r="CD55">
        <v>94.21</v>
      </c>
      <c r="CE55">
        <v>96.28</v>
      </c>
      <c r="CF55">
        <v>99.97</v>
      </c>
      <c r="CG55">
        <v>99.39</v>
      </c>
      <c r="CH55">
        <v>95.25</v>
      </c>
      <c r="CI55">
        <v>98.89</v>
      </c>
      <c r="CK55">
        <v>91.26</v>
      </c>
    </row>
    <row r="56" spans="1:89" x14ac:dyDescent="0.3">
      <c r="A56" s="155">
        <v>103</v>
      </c>
      <c r="B56" t="s">
        <v>256</v>
      </c>
      <c r="D56">
        <v>0</v>
      </c>
      <c r="E56">
        <v>100</v>
      </c>
      <c r="F56">
        <v>100</v>
      </c>
      <c r="G56">
        <v>100</v>
      </c>
      <c r="H56">
        <v>100</v>
      </c>
      <c r="I56">
        <v>100</v>
      </c>
      <c r="J56">
        <v>100</v>
      </c>
      <c r="K56">
        <v>100</v>
      </c>
      <c r="L56">
        <v>100</v>
      </c>
      <c r="M56">
        <v>100</v>
      </c>
      <c r="N56">
        <v>100</v>
      </c>
      <c r="O56">
        <v>100</v>
      </c>
      <c r="P56">
        <v>99.51</v>
      </c>
      <c r="Q56">
        <v>100</v>
      </c>
      <c r="R56">
        <v>100</v>
      </c>
      <c r="S56">
        <v>100</v>
      </c>
      <c r="T56">
        <v>100</v>
      </c>
      <c r="U56">
        <v>100</v>
      </c>
      <c r="V56">
        <v>100</v>
      </c>
      <c r="W56">
        <v>100</v>
      </c>
      <c r="X56">
        <v>98.66</v>
      </c>
      <c r="Y56">
        <v>100</v>
      </c>
      <c r="Z56">
        <v>100</v>
      </c>
      <c r="AA56">
        <v>99.81</v>
      </c>
      <c r="AB56">
        <v>100</v>
      </c>
      <c r="AC56">
        <v>100</v>
      </c>
      <c r="AD56">
        <v>100</v>
      </c>
      <c r="AE56">
        <v>100</v>
      </c>
      <c r="AF56">
        <v>100</v>
      </c>
      <c r="AG56">
        <v>100</v>
      </c>
      <c r="AH56">
        <v>100</v>
      </c>
      <c r="AI56">
        <v>99.58</v>
      </c>
      <c r="AJ56">
        <v>100</v>
      </c>
      <c r="AK56">
        <v>100</v>
      </c>
      <c r="AL56">
        <v>100</v>
      </c>
      <c r="AM56">
        <v>100</v>
      </c>
      <c r="AN56">
        <v>100</v>
      </c>
      <c r="AO56">
        <v>100</v>
      </c>
      <c r="AP56">
        <v>100</v>
      </c>
      <c r="AQ56">
        <v>100</v>
      </c>
      <c r="AR56">
        <v>100</v>
      </c>
      <c r="AS56">
        <v>100</v>
      </c>
      <c r="AT56">
        <v>100</v>
      </c>
      <c r="AU56">
        <v>100</v>
      </c>
      <c r="AV56">
        <v>100</v>
      </c>
      <c r="AW56">
        <v>100</v>
      </c>
      <c r="AX56">
        <v>100</v>
      </c>
      <c r="AY56">
        <v>100</v>
      </c>
      <c r="AZ56">
        <v>99.04</v>
      </c>
      <c r="BA56">
        <v>99.11</v>
      </c>
      <c r="BB56">
        <v>100</v>
      </c>
      <c r="BC56">
        <v>100</v>
      </c>
      <c r="BD56">
        <v>100</v>
      </c>
      <c r="BE56">
        <v>100</v>
      </c>
      <c r="BF56">
        <v>100</v>
      </c>
      <c r="BG56">
        <v>100</v>
      </c>
      <c r="BH56">
        <v>100</v>
      </c>
      <c r="BI56">
        <v>100</v>
      </c>
      <c r="BJ56">
        <v>0</v>
      </c>
      <c r="BK56">
        <v>100</v>
      </c>
      <c r="BL56">
        <v>100</v>
      </c>
      <c r="BM56">
        <v>100</v>
      </c>
      <c r="BN56">
        <v>100</v>
      </c>
      <c r="BO56">
        <v>100</v>
      </c>
      <c r="BP56">
        <v>97.76</v>
      </c>
      <c r="BQ56">
        <v>98.69</v>
      </c>
      <c r="BR56">
        <v>99.02</v>
      </c>
      <c r="BS56">
        <v>100</v>
      </c>
      <c r="BU56">
        <v>100</v>
      </c>
      <c r="BV56">
        <v>100</v>
      </c>
      <c r="BW56">
        <v>100</v>
      </c>
      <c r="BX56">
        <v>100</v>
      </c>
      <c r="BY56">
        <v>100</v>
      </c>
      <c r="BZ56">
        <v>100</v>
      </c>
      <c r="CA56">
        <v>100</v>
      </c>
      <c r="CB56">
        <v>100</v>
      </c>
      <c r="CC56">
        <v>90.72</v>
      </c>
      <c r="CD56">
        <v>100</v>
      </c>
      <c r="CE56">
        <v>100</v>
      </c>
      <c r="CF56">
        <v>99.74</v>
      </c>
      <c r="CG56">
        <v>100</v>
      </c>
      <c r="CH56">
        <v>99.4</v>
      </c>
      <c r="CI56">
        <v>100</v>
      </c>
      <c r="CK56">
        <v>98.65</v>
      </c>
    </row>
    <row r="57" spans="1:89" x14ac:dyDescent="0.3">
      <c r="A57" s="155">
        <v>104</v>
      </c>
      <c r="B57" t="s">
        <v>911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U57">
        <v>0</v>
      </c>
      <c r="BV57">
        <v>0</v>
      </c>
      <c r="BW57">
        <v>0</v>
      </c>
      <c r="BX57">
        <v>0</v>
      </c>
      <c r="BY57">
        <v>0</v>
      </c>
      <c r="BZ57">
        <v>0</v>
      </c>
      <c r="CA57">
        <v>0</v>
      </c>
      <c r="CB57">
        <v>0</v>
      </c>
      <c r="CC57">
        <v>0</v>
      </c>
      <c r="CD57">
        <v>0</v>
      </c>
      <c r="CE57">
        <v>0</v>
      </c>
      <c r="CF57">
        <v>0</v>
      </c>
      <c r="CG57">
        <v>0</v>
      </c>
      <c r="CH57">
        <v>0</v>
      </c>
      <c r="CI57">
        <v>0</v>
      </c>
      <c r="CK57">
        <v>0</v>
      </c>
    </row>
    <row r="58" spans="1:89" x14ac:dyDescent="0.3">
      <c r="A58" s="155">
        <v>107</v>
      </c>
      <c r="B58" t="s">
        <v>912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U58">
        <v>0</v>
      </c>
      <c r="BV58">
        <v>0</v>
      </c>
      <c r="BW58">
        <v>0</v>
      </c>
      <c r="BX58">
        <v>0</v>
      </c>
      <c r="BY58">
        <v>0</v>
      </c>
      <c r="BZ58">
        <v>0</v>
      </c>
      <c r="CA58">
        <v>0</v>
      </c>
      <c r="CB58">
        <v>0</v>
      </c>
      <c r="CC58">
        <v>0</v>
      </c>
      <c r="CD58">
        <v>0</v>
      </c>
      <c r="CE58">
        <v>0</v>
      </c>
      <c r="CF58">
        <v>0</v>
      </c>
      <c r="CG58">
        <v>0</v>
      </c>
      <c r="CH58">
        <v>0</v>
      </c>
      <c r="CI58">
        <v>0</v>
      </c>
      <c r="CK58">
        <v>0</v>
      </c>
    </row>
    <row r="59" spans="1:89" x14ac:dyDescent="0.3">
      <c r="A59" s="155">
        <v>108</v>
      </c>
      <c r="B59" t="s">
        <v>913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U59">
        <v>0</v>
      </c>
      <c r="BV59">
        <v>0</v>
      </c>
      <c r="BW59">
        <v>0</v>
      </c>
      <c r="BX59">
        <v>0</v>
      </c>
      <c r="BY59">
        <v>0</v>
      </c>
      <c r="BZ59">
        <v>0</v>
      </c>
      <c r="CA59">
        <v>0</v>
      </c>
      <c r="CB59">
        <v>0</v>
      </c>
      <c r="CC59">
        <v>0</v>
      </c>
      <c r="CD59">
        <v>0</v>
      </c>
      <c r="CE59">
        <v>0</v>
      </c>
      <c r="CF59">
        <v>0</v>
      </c>
      <c r="CG59">
        <v>0</v>
      </c>
      <c r="CH59">
        <v>0</v>
      </c>
      <c r="CI59">
        <v>0</v>
      </c>
      <c r="CK59">
        <v>0</v>
      </c>
    </row>
    <row r="60" spans="1:89" x14ac:dyDescent="0.3">
      <c r="A60" s="155">
        <v>147</v>
      </c>
      <c r="B60" t="s">
        <v>914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U60">
        <v>0</v>
      </c>
      <c r="BV60">
        <v>0</v>
      </c>
      <c r="BW60">
        <v>0</v>
      </c>
      <c r="BX60">
        <v>0</v>
      </c>
      <c r="BY60">
        <v>0</v>
      </c>
      <c r="BZ60">
        <v>0</v>
      </c>
      <c r="CA60">
        <v>0</v>
      </c>
      <c r="CB60">
        <v>0</v>
      </c>
      <c r="CC60">
        <v>0</v>
      </c>
      <c r="CD60">
        <v>0</v>
      </c>
      <c r="CE60">
        <v>0</v>
      </c>
      <c r="CF60">
        <v>0</v>
      </c>
      <c r="CG60">
        <v>0</v>
      </c>
      <c r="CH60">
        <v>0</v>
      </c>
      <c r="CI60">
        <v>0</v>
      </c>
      <c r="CK60">
        <v>0</v>
      </c>
    </row>
    <row r="61" spans="1:89" x14ac:dyDescent="0.3">
      <c r="A61" s="155">
        <v>148</v>
      </c>
      <c r="B61" t="s">
        <v>915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U61">
        <v>0</v>
      </c>
      <c r="BV61">
        <v>0</v>
      </c>
      <c r="BW61">
        <v>0</v>
      </c>
      <c r="BX61">
        <v>0</v>
      </c>
      <c r="BY61">
        <v>0</v>
      </c>
      <c r="BZ61">
        <v>0</v>
      </c>
      <c r="CA61">
        <v>0</v>
      </c>
      <c r="CB61">
        <v>0</v>
      </c>
      <c r="CC61">
        <v>0</v>
      </c>
      <c r="CD61">
        <v>0</v>
      </c>
      <c r="CE61">
        <v>0</v>
      </c>
      <c r="CF61">
        <v>0</v>
      </c>
      <c r="CG61">
        <v>0</v>
      </c>
      <c r="CH61">
        <v>0</v>
      </c>
      <c r="CI61">
        <v>0</v>
      </c>
      <c r="CK61">
        <v>0</v>
      </c>
    </row>
    <row r="62" spans="1:89" x14ac:dyDescent="0.3">
      <c r="A62" s="155">
        <v>149</v>
      </c>
      <c r="B62" t="s">
        <v>916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U62">
        <v>0</v>
      </c>
      <c r="BV62">
        <v>0</v>
      </c>
      <c r="BW62">
        <v>0</v>
      </c>
      <c r="BX62">
        <v>0</v>
      </c>
      <c r="BY62">
        <v>0</v>
      </c>
      <c r="BZ62">
        <v>0</v>
      </c>
      <c r="CA62">
        <v>0</v>
      </c>
      <c r="CB62">
        <v>0</v>
      </c>
      <c r="CC62">
        <v>0</v>
      </c>
      <c r="CD62">
        <v>0</v>
      </c>
      <c r="CE62">
        <v>0</v>
      </c>
      <c r="CF62">
        <v>0</v>
      </c>
      <c r="CG62">
        <v>0</v>
      </c>
      <c r="CH62">
        <v>0</v>
      </c>
      <c r="CI62">
        <v>0</v>
      </c>
      <c r="CK62">
        <v>0</v>
      </c>
    </row>
    <row r="63" spans="1:89" x14ac:dyDescent="0.3">
      <c r="A63" s="155">
        <v>150</v>
      </c>
      <c r="B63" t="s">
        <v>917</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U63">
        <v>0</v>
      </c>
      <c r="BV63">
        <v>0</v>
      </c>
      <c r="BW63">
        <v>0</v>
      </c>
      <c r="BX63">
        <v>0</v>
      </c>
      <c r="BY63">
        <v>0</v>
      </c>
      <c r="BZ63">
        <v>0</v>
      </c>
      <c r="CA63">
        <v>0</v>
      </c>
      <c r="CB63">
        <v>0</v>
      </c>
      <c r="CC63">
        <v>0</v>
      </c>
      <c r="CD63">
        <v>0</v>
      </c>
      <c r="CE63">
        <v>0</v>
      </c>
      <c r="CF63">
        <v>0</v>
      </c>
      <c r="CG63">
        <v>0</v>
      </c>
      <c r="CH63">
        <v>0</v>
      </c>
      <c r="CI63">
        <v>0</v>
      </c>
      <c r="CK63">
        <v>0</v>
      </c>
    </row>
    <row r="64" spans="1:89" x14ac:dyDescent="0.3">
      <c r="A64" s="155">
        <v>171</v>
      </c>
      <c r="B64" t="s">
        <v>208</v>
      </c>
      <c r="D64">
        <v>0</v>
      </c>
      <c r="E64">
        <v>0</v>
      </c>
      <c r="F64">
        <v>0</v>
      </c>
      <c r="G64">
        <v>2589</v>
      </c>
      <c r="H64">
        <v>54713</v>
      </c>
      <c r="I64">
        <v>230951</v>
      </c>
      <c r="J64">
        <v>7506</v>
      </c>
      <c r="K64">
        <v>857510</v>
      </c>
      <c r="L64">
        <v>0</v>
      </c>
      <c r="M64">
        <v>683749</v>
      </c>
      <c r="N64">
        <v>205895</v>
      </c>
      <c r="O64">
        <v>16769896</v>
      </c>
      <c r="P64">
        <v>0</v>
      </c>
      <c r="Q64">
        <v>0</v>
      </c>
      <c r="R64">
        <v>79116</v>
      </c>
      <c r="S64">
        <v>0</v>
      </c>
      <c r="T64">
        <v>684786</v>
      </c>
      <c r="U64">
        <v>0</v>
      </c>
      <c r="V64">
        <v>0</v>
      </c>
      <c r="W64">
        <v>0</v>
      </c>
      <c r="X64">
        <v>7189577</v>
      </c>
      <c r="Y64">
        <v>200224000</v>
      </c>
      <c r="Z64">
        <v>268935</v>
      </c>
      <c r="AA64">
        <v>36000</v>
      </c>
      <c r="AB64">
        <v>467830</v>
      </c>
      <c r="AC64">
        <v>0</v>
      </c>
      <c r="AD64">
        <v>142979</v>
      </c>
      <c r="AE64">
        <v>13460</v>
      </c>
      <c r="AF64">
        <v>1604165</v>
      </c>
      <c r="AG64">
        <v>0</v>
      </c>
      <c r="AH64">
        <v>0</v>
      </c>
      <c r="AI64">
        <v>536242</v>
      </c>
      <c r="AJ64">
        <v>0</v>
      </c>
      <c r="AK64">
        <v>193725</v>
      </c>
      <c r="AL64">
        <v>0</v>
      </c>
      <c r="AM64">
        <v>0</v>
      </c>
      <c r="AN64">
        <v>0</v>
      </c>
      <c r="AO64">
        <v>49399</v>
      </c>
      <c r="AP64">
        <v>0</v>
      </c>
      <c r="AQ64">
        <v>3048420</v>
      </c>
      <c r="AR64">
        <v>0</v>
      </c>
      <c r="AS64">
        <v>0</v>
      </c>
      <c r="AT64">
        <v>365153</v>
      </c>
      <c r="AU64">
        <v>0</v>
      </c>
      <c r="AV64">
        <v>0</v>
      </c>
      <c r="AW64">
        <v>3212360</v>
      </c>
      <c r="AX64">
        <v>0</v>
      </c>
      <c r="AY64">
        <v>2876897</v>
      </c>
      <c r="AZ64">
        <v>0</v>
      </c>
      <c r="BA64">
        <v>0</v>
      </c>
      <c r="BB64">
        <v>0</v>
      </c>
      <c r="BC64">
        <v>214310</v>
      </c>
      <c r="BD64">
        <v>0</v>
      </c>
      <c r="BE64">
        <v>885058</v>
      </c>
      <c r="BF64">
        <v>0</v>
      </c>
      <c r="BG64">
        <v>0</v>
      </c>
      <c r="BH64">
        <v>20405</v>
      </c>
      <c r="BI64">
        <v>244851</v>
      </c>
      <c r="BJ64">
        <v>0</v>
      </c>
      <c r="BK64">
        <v>0</v>
      </c>
      <c r="BL64">
        <v>30046</v>
      </c>
      <c r="BM64">
        <v>54758</v>
      </c>
      <c r="BN64">
        <v>1803526</v>
      </c>
      <c r="BO64">
        <v>956668</v>
      </c>
      <c r="BP64">
        <v>34935499</v>
      </c>
      <c r="BQ64">
        <v>0</v>
      </c>
      <c r="BR64">
        <v>0</v>
      </c>
      <c r="BS64">
        <v>0</v>
      </c>
      <c r="BU64">
        <v>36510</v>
      </c>
      <c r="BV64">
        <v>0</v>
      </c>
      <c r="BW64">
        <v>1033066</v>
      </c>
      <c r="BX64">
        <v>330738</v>
      </c>
      <c r="BY64">
        <v>1445850</v>
      </c>
      <c r="BZ64">
        <v>350418</v>
      </c>
      <c r="CA64">
        <v>19287</v>
      </c>
      <c r="CB64">
        <v>70704</v>
      </c>
      <c r="CC64">
        <v>0</v>
      </c>
      <c r="CD64">
        <v>62100</v>
      </c>
      <c r="CE64">
        <v>93870</v>
      </c>
      <c r="CF64">
        <v>99421</v>
      </c>
      <c r="CG64">
        <v>551991</v>
      </c>
      <c r="CH64">
        <v>63496</v>
      </c>
      <c r="CI64">
        <v>0</v>
      </c>
      <c r="CK64">
        <v>0</v>
      </c>
    </row>
    <row r="65" spans="1:89" x14ac:dyDescent="0.3">
      <c r="A65" s="155">
        <v>191</v>
      </c>
      <c r="B65" t="s">
        <v>224</v>
      </c>
      <c r="D65">
        <v>0</v>
      </c>
      <c r="E65">
        <v>0</v>
      </c>
      <c r="F65">
        <v>0</v>
      </c>
      <c r="G65">
        <v>0</v>
      </c>
      <c r="H65">
        <v>0</v>
      </c>
      <c r="I65">
        <v>0</v>
      </c>
      <c r="J65">
        <v>0</v>
      </c>
      <c r="K65">
        <v>0</v>
      </c>
      <c r="L65">
        <v>0</v>
      </c>
      <c r="M65">
        <v>0</v>
      </c>
      <c r="N65">
        <v>0</v>
      </c>
      <c r="O65">
        <v>16161311</v>
      </c>
      <c r="P65">
        <v>0</v>
      </c>
      <c r="Q65">
        <v>0</v>
      </c>
      <c r="R65">
        <v>0</v>
      </c>
      <c r="S65">
        <v>0</v>
      </c>
      <c r="T65">
        <v>0</v>
      </c>
      <c r="U65">
        <v>0</v>
      </c>
      <c r="V65">
        <v>0</v>
      </c>
      <c r="W65">
        <v>79160</v>
      </c>
      <c r="X65">
        <v>0</v>
      </c>
      <c r="Y65">
        <v>161958000</v>
      </c>
      <c r="Z65">
        <v>0</v>
      </c>
      <c r="AA65">
        <v>0</v>
      </c>
      <c r="AB65">
        <v>0</v>
      </c>
      <c r="AC65">
        <v>0</v>
      </c>
      <c r="AD65">
        <v>0</v>
      </c>
      <c r="AE65">
        <v>263908</v>
      </c>
      <c r="AF65">
        <v>0</v>
      </c>
      <c r="AG65">
        <v>0</v>
      </c>
      <c r="AH65">
        <v>0</v>
      </c>
      <c r="AI65">
        <v>127365</v>
      </c>
      <c r="AJ65">
        <v>96007</v>
      </c>
      <c r="AK65">
        <v>0</v>
      </c>
      <c r="AL65">
        <v>0</v>
      </c>
      <c r="AM65">
        <v>0</v>
      </c>
      <c r="AN65">
        <v>1088871</v>
      </c>
      <c r="AO65">
        <v>850669</v>
      </c>
      <c r="AP65">
        <v>0</v>
      </c>
      <c r="AQ65">
        <v>11900008</v>
      </c>
      <c r="AR65">
        <v>0</v>
      </c>
      <c r="AS65">
        <v>0</v>
      </c>
      <c r="AT65">
        <v>25245</v>
      </c>
      <c r="AU65">
        <v>0</v>
      </c>
      <c r="AV65">
        <v>0</v>
      </c>
      <c r="AW65">
        <v>0</v>
      </c>
      <c r="AX65">
        <v>0</v>
      </c>
      <c r="AY65">
        <v>0</v>
      </c>
      <c r="AZ65">
        <v>0</v>
      </c>
      <c r="BA65">
        <v>471367</v>
      </c>
      <c r="BB65">
        <v>30000</v>
      </c>
      <c r="BC65">
        <v>0</v>
      </c>
      <c r="BD65">
        <v>0</v>
      </c>
      <c r="BE65">
        <v>0</v>
      </c>
      <c r="BF65">
        <v>0</v>
      </c>
      <c r="BG65">
        <v>0</v>
      </c>
      <c r="BH65">
        <v>0</v>
      </c>
      <c r="BI65">
        <v>1487324</v>
      </c>
      <c r="BJ65">
        <v>0</v>
      </c>
      <c r="BK65">
        <v>0</v>
      </c>
      <c r="BL65">
        <v>0</v>
      </c>
      <c r="BM65">
        <v>459949</v>
      </c>
      <c r="BN65">
        <v>0</v>
      </c>
      <c r="BO65">
        <v>0</v>
      </c>
      <c r="BP65">
        <v>16599313</v>
      </c>
      <c r="BQ65">
        <v>0</v>
      </c>
      <c r="BR65">
        <v>0</v>
      </c>
      <c r="BS65">
        <v>0</v>
      </c>
      <c r="BU65">
        <v>230731</v>
      </c>
      <c r="BV65">
        <v>0</v>
      </c>
      <c r="BW65">
        <v>4580633</v>
      </c>
      <c r="BX65">
        <v>858611</v>
      </c>
      <c r="BY65">
        <v>621812</v>
      </c>
      <c r="BZ65">
        <v>164129</v>
      </c>
      <c r="CA65">
        <v>0</v>
      </c>
      <c r="CB65">
        <v>0</v>
      </c>
      <c r="CC65">
        <v>0</v>
      </c>
      <c r="CD65">
        <v>0</v>
      </c>
      <c r="CE65">
        <v>439745</v>
      </c>
      <c r="CF65">
        <v>0</v>
      </c>
      <c r="CG65">
        <v>0</v>
      </c>
      <c r="CH65">
        <v>0</v>
      </c>
      <c r="CI65">
        <v>0</v>
      </c>
      <c r="CK65">
        <v>0</v>
      </c>
    </row>
    <row r="66" spans="1:89" x14ac:dyDescent="0.3">
      <c r="A66" s="155">
        <v>192</v>
      </c>
      <c r="B66" t="s">
        <v>235</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5000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U66">
        <v>0</v>
      </c>
      <c r="BV66">
        <v>0</v>
      </c>
      <c r="BW66">
        <v>0</v>
      </c>
      <c r="BX66">
        <v>0</v>
      </c>
      <c r="BY66">
        <v>0</v>
      </c>
      <c r="BZ66">
        <v>0</v>
      </c>
      <c r="CA66">
        <v>0</v>
      </c>
      <c r="CB66">
        <v>0</v>
      </c>
      <c r="CC66">
        <v>0</v>
      </c>
      <c r="CD66">
        <v>0</v>
      </c>
      <c r="CE66">
        <v>0</v>
      </c>
      <c r="CF66">
        <v>0</v>
      </c>
      <c r="CG66">
        <v>0</v>
      </c>
      <c r="CH66">
        <v>0</v>
      </c>
      <c r="CI66">
        <v>0</v>
      </c>
      <c r="CK66">
        <v>0</v>
      </c>
    </row>
    <row r="67" spans="1:89" x14ac:dyDescent="0.3">
      <c r="A67" s="155">
        <v>193</v>
      </c>
      <c r="B67" t="s">
        <v>283</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U67">
        <v>0</v>
      </c>
      <c r="BV67">
        <v>0</v>
      </c>
      <c r="BW67">
        <v>0</v>
      </c>
      <c r="BX67">
        <v>0</v>
      </c>
      <c r="BY67">
        <v>0</v>
      </c>
      <c r="BZ67">
        <v>0</v>
      </c>
      <c r="CA67">
        <v>0</v>
      </c>
      <c r="CB67">
        <v>0</v>
      </c>
      <c r="CC67">
        <v>0</v>
      </c>
      <c r="CD67">
        <v>0</v>
      </c>
      <c r="CE67">
        <v>0</v>
      </c>
      <c r="CF67">
        <v>0</v>
      </c>
      <c r="CG67">
        <v>0</v>
      </c>
      <c r="CH67">
        <v>0</v>
      </c>
      <c r="CI67">
        <v>0</v>
      </c>
      <c r="CK67">
        <v>0</v>
      </c>
    </row>
    <row r="68" spans="1:89" x14ac:dyDescent="0.3">
      <c r="A68" s="155">
        <v>194</v>
      </c>
      <c r="B68" t="s">
        <v>918</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U68">
        <v>0</v>
      </c>
      <c r="BV68">
        <v>0</v>
      </c>
      <c r="BW68">
        <v>0</v>
      </c>
      <c r="BX68">
        <v>0</v>
      </c>
      <c r="BY68">
        <v>0</v>
      </c>
      <c r="BZ68">
        <v>0</v>
      </c>
      <c r="CA68">
        <v>0</v>
      </c>
      <c r="CB68">
        <v>0</v>
      </c>
      <c r="CC68">
        <v>0</v>
      </c>
      <c r="CD68">
        <v>0</v>
      </c>
      <c r="CE68">
        <v>0</v>
      </c>
      <c r="CF68">
        <v>0</v>
      </c>
      <c r="CG68">
        <v>0</v>
      </c>
      <c r="CH68">
        <v>0</v>
      </c>
      <c r="CI68">
        <v>0</v>
      </c>
      <c r="CK68">
        <v>0</v>
      </c>
    </row>
    <row r="69" spans="1:89" x14ac:dyDescent="0.3">
      <c r="A69" s="155">
        <v>252</v>
      </c>
      <c r="B69" t="s">
        <v>95</v>
      </c>
      <c r="D69">
        <v>309241</v>
      </c>
      <c r="E69">
        <v>1199387</v>
      </c>
      <c r="F69">
        <v>143774</v>
      </c>
      <c r="G69">
        <v>268601</v>
      </c>
      <c r="H69">
        <v>463934</v>
      </c>
      <c r="I69">
        <v>10227173</v>
      </c>
      <c r="J69">
        <v>2007924</v>
      </c>
      <c r="K69">
        <v>21355557</v>
      </c>
      <c r="L69">
        <v>4086906</v>
      </c>
      <c r="M69">
        <v>36062824</v>
      </c>
      <c r="N69">
        <v>1199596</v>
      </c>
      <c r="O69">
        <v>907816239</v>
      </c>
      <c r="P69">
        <v>59260</v>
      </c>
      <c r="Q69">
        <v>618941</v>
      </c>
      <c r="R69">
        <v>5475172</v>
      </c>
      <c r="S69">
        <v>701092</v>
      </c>
      <c r="T69">
        <v>1666450</v>
      </c>
      <c r="U69">
        <v>267391</v>
      </c>
      <c r="V69">
        <v>728224</v>
      </c>
      <c r="W69">
        <v>2211103</v>
      </c>
      <c r="X69">
        <v>78071289</v>
      </c>
      <c r="Y69">
        <v>5223083000</v>
      </c>
      <c r="Z69">
        <v>3871514</v>
      </c>
      <c r="AA69">
        <v>1262567</v>
      </c>
      <c r="AB69">
        <v>2260553</v>
      </c>
      <c r="AC69">
        <v>1252974</v>
      </c>
      <c r="AD69">
        <v>7416631</v>
      </c>
      <c r="AE69">
        <v>774557</v>
      </c>
      <c r="AF69">
        <v>50416138</v>
      </c>
      <c r="AG69">
        <v>45270536</v>
      </c>
      <c r="AH69">
        <v>1748669</v>
      </c>
      <c r="AI69">
        <v>10220162</v>
      </c>
      <c r="AJ69">
        <v>1241111</v>
      </c>
      <c r="AK69">
        <v>883741</v>
      </c>
      <c r="AL69">
        <v>976444</v>
      </c>
      <c r="AM69">
        <v>223482</v>
      </c>
      <c r="AN69">
        <v>516125</v>
      </c>
      <c r="AO69">
        <v>810227</v>
      </c>
      <c r="AP69">
        <v>36950</v>
      </c>
      <c r="AQ69">
        <v>397805262</v>
      </c>
      <c r="AR69">
        <v>67163</v>
      </c>
      <c r="AS69">
        <v>1428424</v>
      </c>
      <c r="AT69">
        <v>35233679</v>
      </c>
      <c r="AU69">
        <v>474802</v>
      </c>
      <c r="AV69">
        <v>744818</v>
      </c>
      <c r="AW69">
        <v>54717996</v>
      </c>
      <c r="AX69">
        <v>297918</v>
      </c>
      <c r="AY69">
        <v>6385552</v>
      </c>
      <c r="AZ69">
        <v>22850854</v>
      </c>
      <c r="BA69">
        <v>59351</v>
      </c>
      <c r="BB69">
        <v>144992</v>
      </c>
      <c r="BC69">
        <v>4643399</v>
      </c>
      <c r="BD69">
        <v>124871</v>
      </c>
      <c r="BE69">
        <v>20177652</v>
      </c>
      <c r="BF69">
        <v>1193495</v>
      </c>
      <c r="BG69">
        <v>597485</v>
      </c>
      <c r="BH69">
        <v>278434</v>
      </c>
      <c r="BI69">
        <v>1830063</v>
      </c>
      <c r="BJ69">
        <v>129900</v>
      </c>
      <c r="BK69">
        <v>335548</v>
      </c>
      <c r="BL69">
        <v>1496305</v>
      </c>
      <c r="BM69">
        <v>448120</v>
      </c>
      <c r="BN69">
        <v>16736462</v>
      </c>
      <c r="BO69">
        <v>8204907</v>
      </c>
      <c r="BP69">
        <v>639182558</v>
      </c>
      <c r="BQ69">
        <v>20166</v>
      </c>
      <c r="BR69">
        <v>65986</v>
      </c>
      <c r="BS69">
        <v>268566</v>
      </c>
      <c r="BU69">
        <v>1404463</v>
      </c>
      <c r="BV69">
        <v>2437008</v>
      </c>
      <c r="BW69">
        <v>20824508</v>
      </c>
      <c r="BX69">
        <v>3417736</v>
      </c>
      <c r="BY69">
        <v>27451366</v>
      </c>
      <c r="BZ69">
        <v>16622722</v>
      </c>
      <c r="CA69">
        <v>242839</v>
      </c>
      <c r="CB69">
        <v>7648287</v>
      </c>
      <c r="CC69">
        <v>40996</v>
      </c>
      <c r="CD69">
        <v>654150</v>
      </c>
      <c r="CE69">
        <v>80588</v>
      </c>
      <c r="CF69">
        <v>7527697</v>
      </c>
      <c r="CG69">
        <v>23032917</v>
      </c>
      <c r="CH69">
        <v>5742099</v>
      </c>
      <c r="CI69">
        <v>3699738</v>
      </c>
      <c r="CK69">
        <v>47362</v>
      </c>
    </row>
    <row r="70" spans="1:89" x14ac:dyDescent="0.3">
      <c r="A70" s="155">
        <v>253</v>
      </c>
      <c r="B70" t="s">
        <v>96</v>
      </c>
      <c r="D70">
        <v>206476</v>
      </c>
      <c r="E70">
        <v>342300</v>
      </c>
      <c r="F70">
        <v>72814</v>
      </c>
      <c r="G70">
        <v>35931</v>
      </c>
      <c r="H70">
        <v>195985</v>
      </c>
      <c r="I70">
        <v>993066</v>
      </c>
      <c r="J70">
        <v>263125</v>
      </c>
      <c r="K70">
        <v>2220076</v>
      </c>
      <c r="L70">
        <v>258330</v>
      </c>
      <c r="M70">
        <v>3312120</v>
      </c>
      <c r="N70">
        <v>597987</v>
      </c>
      <c r="O70">
        <v>43460465</v>
      </c>
      <c r="P70">
        <v>4739</v>
      </c>
      <c r="Q70">
        <v>22555</v>
      </c>
      <c r="R70">
        <v>498741</v>
      </c>
      <c r="S70">
        <v>187064</v>
      </c>
      <c r="T70">
        <v>193753</v>
      </c>
      <c r="U70">
        <v>95141</v>
      </c>
      <c r="V70">
        <v>93349</v>
      </c>
      <c r="W70">
        <v>195952</v>
      </c>
      <c r="X70">
        <v>14956269</v>
      </c>
      <c r="Y70">
        <v>292947000</v>
      </c>
      <c r="Z70">
        <v>600927</v>
      </c>
      <c r="AA70">
        <v>56410</v>
      </c>
      <c r="AB70">
        <v>776165</v>
      </c>
      <c r="AC70">
        <v>107120</v>
      </c>
      <c r="AD70">
        <v>1474593</v>
      </c>
      <c r="AE70">
        <v>194689</v>
      </c>
      <c r="AF70">
        <v>2000914</v>
      </c>
      <c r="AG70">
        <v>1825564</v>
      </c>
      <c r="AH70">
        <v>211832</v>
      </c>
      <c r="AI70">
        <v>1671299</v>
      </c>
      <c r="AJ70">
        <v>144400</v>
      </c>
      <c r="AK70">
        <v>335524</v>
      </c>
      <c r="AL70">
        <v>265900</v>
      </c>
      <c r="AM70">
        <v>23514</v>
      </c>
      <c r="AN70">
        <v>54158</v>
      </c>
      <c r="AO70">
        <v>296720</v>
      </c>
      <c r="AP70">
        <v>1235</v>
      </c>
      <c r="AQ70">
        <v>45564434</v>
      </c>
      <c r="AR70">
        <v>80425</v>
      </c>
      <c r="AS70">
        <v>408484</v>
      </c>
      <c r="AT70">
        <v>10122935</v>
      </c>
      <c r="AU70">
        <v>93194</v>
      </c>
      <c r="AV70">
        <v>73444</v>
      </c>
      <c r="AW70">
        <v>8470904</v>
      </c>
      <c r="AX70">
        <v>129600</v>
      </c>
      <c r="AY70">
        <v>745857</v>
      </c>
      <c r="AZ70">
        <v>860628</v>
      </c>
      <c r="BA70">
        <v>98886</v>
      </c>
      <c r="BB70">
        <v>37445</v>
      </c>
      <c r="BC70">
        <v>344025</v>
      </c>
      <c r="BD70">
        <v>14563</v>
      </c>
      <c r="BE70">
        <v>1730132</v>
      </c>
      <c r="BF70">
        <v>279234</v>
      </c>
      <c r="BG70">
        <v>46536</v>
      </c>
      <c r="BH70">
        <v>22023</v>
      </c>
      <c r="BI70">
        <v>387592</v>
      </c>
      <c r="BJ70">
        <v>56725</v>
      </c>
      <c r="BK70">
        <v>160856</v>
      </c>
      <c r="BL70">
        <v>167567</v>
      </c>
      <c r="BM70">
        <v>187334</v>
      </c>
      <c r="BN70">
        <v>3207626</v>
      </c>
      <c r="BO70">
        <v>5202266</v>
      </c>
      <c r="BP70">
        <v>152546038</v>
      </c>
      <c r="BQ70">
        <v>53597</v>
      </c>
      <c r="BR70">
        <v>110509</v>
      </c>
      <c r="BS70">
        <v>51552</v>
      </c>
      <c r="BU70">
        <v>1221148</v>
      </c>
      <c r="BV70">
        <v>868649</v>
      </c>
      <c r="BW70">
        <v>2290744</v>
      </c>
      <c r="BX70">
        <v>819486</v>
      </c>
      <c r="BY70">
        <v>4017179</v>
      </c>
      <c r="BZ70">
        <v>2708228</v>
      </c>
      <c r="CA70">
        <v>52565</v>
      </c>
      <c r="CB70">
        <v>1355911</v>
      </c>
      <c r="CC70">
        <v>74163</v>
      </c>
      <c r="CD70">
        <v>261182</v>
      </c>
      <c r="CE70">
        <v>507457</v>
      </c>
      <c r="CF70">
        <v>1604293</v>
      </c>
      <c r="CG70">
        <v>6314929</v>
      </c>
      <c r="CH70">
        <v>454975</v>
      </c>
      <c r="CI70">
        <v>813023</v>
      </c>
      <c r="CK70">
        <v>7946</v>
      </c>
    </row>
    <row r="71" spans="1:89" x14ac:dyDescent="0.3">
      <c r="A71" s="155">
        <v>254</v>
      </c>
      <c r="B71" t="s">
        <v>97</v>
      </c>
      <c r="D71">
        <v>2934914</v>
      </c>
      <c r="E71">
        <v>2221517</v>
      </c>
      <c r="F71">
        <v>714713</v>
      </c>
      <c r="G71">
        <v>563641</v>
      </c>
      <c r="H71">
        <v>307867</v>
      </c>
      <c r="I71">
        <v>-8292931</v>
      </c>
      <c r="J71">
        <v>1602109</v>
      </c>
      <c r="K71">
        <v>-2705498</v>
      </c>
      <c r="L71">
        <v>2556476</v>
      </c>
      <c r="M71">
        <v>-9907381</v>
      </c>
      <c r="N71">
        <v>661102</v>
      </c>
      <c r="O71">
        <v>-24409379</v>
      </c>
      <c r="P71">
        <v>80107</v>
      </c>
      <c r="Q71">
        <v>214827</v>
      </c>
      <c r="R71">
        <v>2638793</v>
      </c>
      <c r="S71">
        <v>741301</v>
      </c>
      <c r="T71">
        <v>1042661</v>
      </c>
      <c r="U71">
        <v>229337</v>
      </c>
      <c r="V71">
        <v>223643</v>
      </c>
      <c r="W71">
        <v>2119466</v>
      </c>
      <c r="X71">
        <v>-19730487</v>
      </c>
      <c r="Y71">
        <v>-370045000</v>
      </c>
      <c r="Z71">
        <v>-346369</v>
      </c>
      <c r="AA71">
        <v>363816</v>
      </c>
      <c r="AB71">
        <v>1590044</v>
      </c>
      <c r="AC71">
        <v>-509508</v>
      </c>
      <c r="AD71">
        <v>3317204</v>
      </c>
      <c r="AE71">
        <v>2267296</v>
      </c>
      <c r="AF71">
        <v>15107663</v>
      </c>
      <c r="AG71">
        <v>7185365</v>
      </c>
      <c r="AH71">
        <v>3344821</v>
      </c>
      <c r="AI71">
        <v>1843253</v>
      </c>
      <c r="AJ71">
        <v>1092688</v>
      </c>
      <c r="AK71">
        <v>1334042</v>
      </c>
      <c r="AL71">
        <v>826287</v>
      </c>
      <c r="AM71">
        <v>333608</v>
      </c>
      <c r="AN71">
        <v>684494</v>
      </c>
      <c r="AO71">
        <v>445776</v>
      </c>
      <c r="AP71">
        <v>75310</v>
      </c>
      <c r="AQ71">
        <v>59065397</v>
      </c>
      <c r="AR71">
        <v>341307</v>
      </c>
      <c r="AS71">
        <v>1501292</v>
      </c>
      <c r="AT71">
        <v>362427</v>
      </c>
      <c r="AU71">
        <v>391440</v>
      </c>
      <c r="AV71">
        <v>969040</v>
      </c>
      <c r="AW71">
        <v>22989232</v>
      </c>
      <c r="AX71">
        <v>199998</v>
      </c>
      <c r="AY71">
        <v>2122378</v>
      </c>
      <c r="AZ71">
        <v>6010661</v>
      </c>
      <c r="BA71">
        <v>470909</v>
      </c>
      <c r="BB71">
        <v>209005</v>
      </c>
      <c r="BC71">
        <v>4644986</v>
      </c>
      <c r="BD71">
        <v>165209</v>
      </c>
      <c r="BE71">
        <v>12339371</v>
      </c>
      <c r="BF71">
        <v>1303891</v>
      </c>
      <c r="BG71">
        <v>1188488</v>
      </c>
      <c r="BH71">
        <v>485890</v>
      </c>
      <c r="BI71">
        <v>868944</v>
      </c>
      <c r="BJ71">
        <v>3308299</v>
      </c>
      <c r="BK71">
        <v>212128</v>
      </c>
      <c r="BL71">
        <v>1468599</v>
      </c>
      <c r="BM71">
        <v>720315</v>
      </c>
      <c r="BN71">
        <v>5433586</v>
      </c>
      <c r="BO71">
        <v>-3759899</v>
      </c>
      <c r="BP71">
        <v>-101892041</v>
      </c>
      <c r="BQ71">
        <v>62575</v>
      </c>
      <c r="BR71">
        <v>173527</v>
      </c>
      <c r="BS71">
        <v>989737</v>
      </c>
      <c r="BU71">
        <v>557690</v>
      </c>
      <c r="BV71">
        <v>5706301</v>
      </c>
      <c r="BW71">
        <v>949693</v>
      </c>
      <c r="BX71">
        <v>1019520</v>
      </c>
      <c r="BY71">
        <v>-12243675</v>
      </c>
      <c r="BZ71">
        <v>-1767673</v>
      </c>
      <c r="CA71">
        <v>411272</v>
      </c>
      <c r="CB71">
        <v>2689992</v>
      </c>
      <c r="CC71">
        <v>966286</v>
      </c>
      <c r="CD71">
        <v>101050</v>
      </c>
      <c r="CE71">
        <v>271524</v>
      </c>
      <c r="CF71">
        <v>5986687</v>
      </c>
      <c r="CG71">
        <v>943185</v>
      </c>
      <c r="CH71">
        <v>86829</v>
      </c>
      <c r="CI71">
        <v>4222917</v>
      </c>
      <c r="CK71">
        <v>39337</v>
      </c>
    </row>
    <row r="72" spans="1:89" x14ac:dyDescent="0.3">
      <c r="A72" s="155">
        <v>255</v>
      </c>
      <c r="B72" t="s">
        <v>188</v>
      </c>
      <c r="D72">
        <v>289738</v>
      </c>
      <c r="E72">
        <v>498095</v>
      </c>
      <c r="F72">
        <v>-155177</v>
      </c>
      <c r="G72">
        <v>94949</v>
      </c>
      <c r="H72">
        <v>-347270</v>
      </c>
      <c r="I72">
        <v>98607</v>
      </c>
      <c r="J72">
        <v>323853</v>
      </c>
      <c r="K72">
        <v>1366030</v>
      </c>
      <c r="L72">
        <v>683434</v>
      </c>
      <c r="M72">
        <v>252395</v>
      </c>
      <c r="N72">
        <v>23391</v>
      </c>
      <c r="O72">
        <v>29506740</v>
      </c>
      <c r="P72">
        <v>3136</v>
      </c>
      <c r="Q72">
        <v>-9085</v>
      </c>
      <c r="R72">
        <v>462972</v>
      </c>
      <c r="S72">
        <v>108609</v>
      </c>
      <c r="T72">
        <v>978072</v>
      </c>
      <c r="U72">
        <v>10885</v>
      </c>
      <c r="V72">
        <v>158413</v>
      </c>
      <c r="W72">
        <v>130085</v>
      </c>
      <c r="X72">
        <v>6163492</v>
      </c>
      <c r="Y72">
        <v>-63475000</v>
      </c>
      <c r="Z72">
        <v>-519380</v>
      </c>
      <c r="AA72">
        <v>367924</v>
      </c>
      <c r="AB72">
        <v>276904</v>
      </c>
      <c r="AC72">
        <v>133698</v>
      </c>
      <c r="AD72">
        <v>1133854</v>
      </c>
      <c r="AE72">
        <v>292372</v>
      </c>
      <c r="AF72">
        <v>11084428</v>
      </c>
      <c r="AG72">
        <v>-476845</v>
      </c>
      <c r="AH72">
        <v>217042</v>
      </c>
      <c r="AI72">
        <v>521736</v>
      </c>
      <c r="AJ72">
        <v>49845</v>
      </c>
      <c r="AK72">
        <v>244119</v>
      </c>
      <c r="AL72">
        <v>-158585</v>
      </c>
      <c r="AM72">
        <v>-7047</v>
      </c>
      <c r="AN72">
        <v>162981</v>
      </c>
      <c r="AO72">
        <v>97795</v>
      </c>
      <c r="AP72">
        <v>4493</v>
      </c>
      <c r="AQ72">
        <v>80184994</v>
      </c>
      <c r="AR72">
        <v>25318</v>
      </c>
      <c r="AS72">
        <v>231063</v>
      </c>
      <c r="AT72">
        <v>2441281</v>
      </c>
      <c r="AU72">
        <v>-45137</v>
      </c>
      <c r="AV72">
        <v>146011</v>
      </c>
      <c r="AW72">
        <v>7317803</v>
      </c>
      <c r="AX72">
        <v>6501</v>
      </c>
      <c r="AY72">
        <v>421914</v>
      </c>
      <c r="AZ72">
        <v>71952</v>
      </c>
      <c r="BA72">
        <v>102689</v>
      </c>
      <c r="BB72">
        <v>25192</v>
      </c>
      <c r="BC72">
        <v>1499964</v>
      </c>
      <c r="BD72">
        <v>1825</v>
      </c>
      <c r="BE72">
        <v>2536330</v>
      </c>
      <c r="BF72">
        <v>141920</v>
      </c>
      <c r="BG72">
        <v>333169</v>
      </c>
      <c r="BH72">
        <v>69635</v>
      </c>
      <c r="BI72">
        <v>148266</v>
      </c>
      <c r="BJ72">
        <v>174802</v>
      </c>
      <c r="BK72">
        <v>7861</v>
      </c>
      <c r="BL72">
        <v>294814</v>
      </c>
      <c r="BM72">
        <v>-131026</v>
      </c>
      <c r="BN72">
        <v>343326</v>
      </c>
      <c r="BO72">
        <v>1045641</v>
      </c>
      <c r="BP72">
        <v>65461550</v>
      </c>
      <c r="BQ72">
        <v>-2534</v>
      </c>
      <c r="BR72">
        <v>47646</v>
      </c>
      <c r="BS72">
        <v>251658</v>
      </c>
      <c r="BU72">
        <v>77968</v>
      </c>
      <c r="BV72">
        <v>861669</v>
      </c>
      <c r="BW72">
        <v>2139099</v>
      </c>
      <c r="BX72">
        <v>-497363</v>
      </c>
      <c r="BY72">
        <v>-596069</v>
      </c>
      <c r="BZ72">
        <v>894890</v>
      </c>
      <c r="CA72">
        <v>149178</v>
      </c>
      <c r="CB72">
        <v>1262912</v>
      </c>
      <c r="CC72">
        <v>10639</v>
      </c>
      <c r="CD72">
        <v>-50154</v>
      </c>
      <c r="CE72">
        <v>269646</v>
      </c>
      <c r="CF72">
        <v>1528485</v>
      </c>
      <c r="CG72">
        <v>1029618</v>
      </c>
      <c r="CH72">
        <v>595575</v>
      </c>
      <c r="CI72">
        <v>627254</v>
      </c>
      <c r="CK72">
        <v>-10494</v>
      </c>
    </row>
    <row r="73" spans="1:89" x14ac:dyDescent="0.3">
      <c r="A73" s="155">
        <v>294</v>
      </c>
      <c r="B73" t="s">
        <v>919</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U73">
        <v>0</v>
      </c>
      <c r="BV73">
        <v>0</v>
      </c>
      <c r="BW73">
        <v>0</v>
      </c>
      <c r="BX73">
        <v>0</v>
      </c>
      <c r="BY73">
        <v>0</v>
      </c>
      <c r="BZ73">
        <v>0</v>
      </c>
      <c r="CA73">
        <v>0</v>
      </c>
      <c r="CB73">
        <v>0</v>
      </c>
      <c r="CC73">
        <v>0</v>
      </c>
      <c r="CD73">
        <v>0</v>
      </c>
      <c r="CE73">
        <v>0</v>
      </c>
      <c r="CF73">
        <v>0</v>
      </c>
      <c r="CG73">
        <v>0</v>
      </c>
      <c r="CH73">
        <v>0</v>
      </c>
      <c r="CI73">
        <v>0</v>
      </c>
      <c r="CK73">
        <v>0</v>
      </c>
    </row>
    <row r="74" spans="1:89" x14ac:dyDescent="0.3">
      <c r="A74" s="155">
        <v>327</v>
      </c>
      <c r="B74" t="s">
        <v>920</v>
      </c>
      <c r="D74">
        <v>0</v>
      </c>
      <c r="E74">
        <v>0</v>
      </c>
      <c r="F74">
        <v>6500</v>
      </c>
      <c r="G74">
        <v>51429</v>
      </c>
      <c r="H74">
        <v>142162</v>
      </c>
      <c r="I74">
        <v>220279</v>
      </c>
      <c r="J74">
        <v>0</v>
      </c>
      <c r="K74">
        <v>475957</v>
      </c>
      <c r="L74">
        <v>0</v>
      </c>
      <c r="M74">
        <v>0</v>
      </c>
      <c r="N74">
        <v>124787</v>
      </c>
      <c r="O74">
        <v>26743240</v>
      </c>
      <c r="P74">
        <v>0</v>
      </c>
      <c r="Q74">
        <v>0</v>
      </c>
      <c r="R74">
        <v>0</v>
      </c>
      <c r="S74">
        <v>0</v>
      </c>
      <c r="T74">
        <v>0</v>
      </c>
      <c r="U74">
        <v>0</v>
      </c>
      <c r="V74">
        <v>8650</v>
      </c>
      <c r="W74">
        <v>0</v>
      </c>
      <c r="X74">
        <v>0</v>
      </c>
      <c r="Y74">
        <v>56424000</v>
      </c>
      <c r="Z74">
        <v>102929</v>
      </c>
      <c r="AA74">
        <v>13364</v>
      </c>
      <c r="AB74">
        <v>0</v>
      </c>
      <c r="AC74">
        <v>3480</v>
      </c>
      <c r="AD74">
        <v>83327</v>
      </c>
      <c r="AE74">
        <v>13628</v>
      </c>
      <c r="AF74">
        <v>17400838</v>
      </c>
      <c r="AG74">
        <v>0</v>
      </c>
      <c r="AH74">
        <v>66507</v>
      </c>
      <c r="AI74">
        <v>261439</v>
      </c>
      <c r="AJ74">
        <v>0</v>
      </c>
      <c r="AK74">
        <v>18344</v>
      </c>
      <c r="AL74">
        <v>8050</v>
      </c>
      <c r="AM74">
        <v>260895</v>
      </c>
      <c r="AN74">
        <v>32652</v>
      </c>
      <c r="AO74">
        <v>41112</v>
      </c>
      <c r="AP74">
        <v>0</v>
      </c>
      <c r="AQ74">
        <v>1997179</v>
      </c>
      <c r="AR74">
        <v>0</v>
      </c>
      <c r="AS74">
        <v>1500</v>
      </c>
      <c r="AT74">
        <v>305061</v>
      </c>
      <c r="AU74">
        <v>138202</v>
      </c>
      <c r="AV74">
        <v>0</v>
      </c>
      <c r="AW74">
        <v>0</v>
      </c>
      <c r="AX74">
        <v>145831</v>
      </c>
      <c r="AY74">
        <v>0</v>
      </c>
      <c r="AZ74">
        <v>0</v>
      </c>
      <c r="BA74">
        <v>0</v>
      </c>
      <c r="BB74">
        <v>81700</v>
      </c>
      <c r="BC74">
        <v>158909</v>
      </c>
      <c r="BD74">
        <v>0</v>
      </c>
      <c r="BE74">
        <v>0</v>
      </c>
      <c r="BF74">
        <v>174616</v>
      </c>
      <c r="BG74">
        <v>0</v>
      </c>
      <c r="BH74">
        <v>0</v>
      </c>
      <c r="BI74">
        <v>90466</v>
      </c>
      <c r="BJ74">
        <v>0</v>
      </c>
      <c r="BK74">
        <v>163450</v>
      </c>
      <c r="BL74">
        <v>0</v>
      </c>
      <c r="BM74">
        <v>17441</v>
      </c>
      <c r="BN74">
        <v>0</v>
      </c>
      <c r="BO74">
        <v>286507</v>
      </c>
      <c r="BP74">
        <v>30977895</v>
      </c>
      <c r="BQ74">
        <v>0</v>
      </c>
      <c r="BR74">
        <v>14826</v>
      </c>
      <c r="BS74">
        <v>3350</v>
      </c>
      <c r="BU74">
        <v>0</v>
      </c>
      <c r="BV74">
        <v>0</v>
      </c>
      <c r="BW74">
        <v>1826960</v>
      </c>
      <c r="BX74">
        <v>35156</v>
      </c>
      <c r="BY74">
        <v>172000</v>
      </c>
      <c r="BZ74">
        <v>1250019</v>
      </c>
      <c r="CA74">
        <v>18511</v>
      </c>
      <c r="CB74">
        <v>128359</v>
      </c>
      <c r="CC74">
        <v>0</v>
      </c>
      <c r="CD74">
        <v>1459727</v>
      </c>
      <c r="CE74">
        <v>265383</v>
      </c>
      <c r="CF74">
        <v>0</v>
      </c>
      <c r="CG74">
        <v>0</v>
      </c>
      <c r="CH74">
        <v>21230</v>
      </c>
      <c r="CI74">
        <v>0</v>
      </c>
      <c r="CK74">
        <v>3000</v>
      </c>
    </row>
    <row r="75" spans="1:89" x14ac:dyDescent="0.3">
      <c r="A75" s="155">
        <v>328</v>
      </c>
      <c r="B75" t="s">
        <v>306</v>
      </c>
      <c r="D75">
        <v>0</v>
      </c>
      <c r="E75">
        <v>0</v>
      </c>
      <c r="F75">
        <v>0</v>
      </c>
      <c r="G75">
        <v>0</v>
      </c>
      <c r="H75">
        <v>1216499</v>
      </c>
      <c r="I75">
        <v>40093</v>
      </c>
      <c r="J75">
        <v>0</v>
      </c>
      <c r="K75">
        <v>2791380</v>
      </c>
      <c r="L75">
        <v>0</v>
      </c>
      <c r="M75">
        <v>0</v>
      </c>
      <c r="N75">
        <v>326193</v>
      </c>
      <c r="O75">
        <v>227902312</v>
      </c>
      <c r="P75">
        <v>0</v>
      </c>
      <c r="Q75">
        <v>0</v>
      </c>
      <c r="R75">
        <v>0</v>
      </c>
      <c r="S75">
        <v>0</v>
      </c>
      <c r="T75">
        <v>0</v>
      </c>
      <c r="U75">
        <v>0</v>
      </c>
      <c r="V75">
        <v>0</v>
      </c>
      <c r="W75">
        <v>0</v>
      </c>
      <c r="X75">
        <v>0</v>
      </c>
      <c r="Y75">
        <v>417865000</v>
      </c>
      <c r="Z75">
        <v>0</v>
      </c>
      <c r="AA75">
        <v>0</v>
      </c>
      <c r="AB75">
        <v>0</v>
      </c>
      <c r="AC75">
        <v>0</v>
      </c>
      <c r="AD75">
        <v>420980</v>
      </c>
      <c r="AE75">
        <v>263908</v>
      </c>
      <c r="AF75">
        <v>4668759</v>
      </c>
      <c r="AG75">
        <v>0</v>
      </c>
      <c r="AH75">
        <v>0</v>
      </c>
      <c r="AI75">
        <v>365325</v>
      </c>
      <c r="AJ75">
        <v>96007</v>
      </c>
      <c r="AK75">
        <v>0</v>
      </c>
      <c r="AL75">
        <v>0</v>
      </c>
      <c r="AM75">
        <v>0</v>
      </c>
      <c r="AN75">
        <v>1333151</v>
      </c>
      <c r="AO75">
        <v>3088452</v>
      </c>
      <c r="AP75">
        <v>0</v>
      </c>
      <c r="AQ75">
        <v>23192295</v>
      </c>
      <c r="AR75">
        <v>0</v>
      </c>
      <c r="AS75">
        <v>0</v>
      </c>
      <c r="AT75">
        <v>784915</v>
      </c>
      <c r="AU75">
        <v>0</v>
      </c>
      <c r="AV75">
        <v>0</v>
      </c>
      <c r="AW75">
        <v>0</v>
      </c>
      <c r="AX75">
        <v>0</v>
      </c>
      <c r="AY75">
        <v>0</v>
      </c>
      <c r="AZ75">
        <v>0</v>
      </c>
      <c r="BA75">
        <v>717980</v>
      </c>
      <c r="BB75">
        <v>25299</v>
      </c>
      <c r="BC75">
        <v>131390</v>
      </c>
      <c r="BD75">
        <v>0</v>
      </c>
      <c r="BE75">
        <v>0</v>
      </c>
      <c r="BF75">
        <v>0</v>
      </c>
      <c r="BG75">
        <v>0</v>
      </c>
      <c r="BH75">
        <v>0</v>
      </c>
      <c r="BI75">
        <v>0</v>
      </c>
      <c r="BJ75">
        <v>0</v>
      </c>
      <c r="BK75">
        <v>0</v>
      </c>
      <c r="BL75">
        <v>0</v>
      </c>
      <c r="BM75">
        <v>12000</v>
      </c>
      <c r="BN75">
        <v>0</v>
      </c>
      <c r="BO75">
        <v>69650</v>
      </c>
      <c r="BP75">
        <v>392320331</v>
      </c>
      <c r="BQ75">
        <v>0</v>
      </c>
      <c r="BR75">
        <v>0</v>
      </c>
      <c r="BS75">
        <v>0</v>
      </c>
      <c r="BU75">
        <v>302358</v>
      </c>
      <c r="BV75">
        <v>0</v>
      </c>
      <c r="BW75">
        <v>17349092</v>
      </c>
      <c r="BX75">
        <v>5514015</v>
      </c>
      <c r="BY75">
        <v>85851</v>
      </c>
      <c r="BZ75">
        <v>145079</v>
      </c>
      <c r="CA75">
        <v>0</v>
      </c>
      <c r="CB75">
        <v>0</v>
      </c>
      <c r="CC75">
        <v>0</v>
      </c>
      <c r="CD75">
        <v>0</v>
      </c>
      <c r="CE75">
        <v>980790</v>
      </c>
      <c r="CF75">
        <v>0</v>
      </c>
      <c r="CG75">
        <v>0</v>
      </c>
      <c r="CH75">
        <v>589352</v>
      </c>
      <c r="CI75">
        <v>0</v>
      </c>
      <c r="CK75">
        <v>0</v>
      </c>
    </row>
    <row r="76" spans="1:89" x14ac:dyDescent="0.3">
      <c r="A76" s="155">
        <v>331</v>
      </c>
      <c r="B76" t="s">
        <v>238</v>
      </c>
      <c r="D76">
        <v>0</v>
      </c>
      <c r="E76">
        <v>0</v>
      </c>
      <c r="F76">
        <v>0</v>
      </c>
      <c r="G76">
        <v>472</v>
      </c>
      <c r="H76">
        <v>23240</v>
      </c>
      <c r="I76">
        <v>300673</v>
      </c>
      <c r="J76">
        <v>0</v>
      </c>
      <c r="K76">
        <v>1521861</v>
      </c>
      <c r="L76">
        <v>0</v>
      </c>
      <c r="M76">
        <v>0</v>
      </c>
      <c r="N76">
        <v>87588</v>
      </c>
      <c r="O76">
        <v>12894344</v>
      </c>
      <c r="P76">
        <v>0</v>
      </c>
      <c r="Q76">
        <v>0</v>
      </c>
      <c r="R76">
        <v>0</v>
      </c>
      <c r="S76">
        <v>0</v>
      </c>
      <c r="T76">
        <v>0</v>
      </c>
      <c r="U76">
        <v>0</v>
      </c>
      <c r="V76">
        <v>0</v>
      </c>
      <c r="W76">
        <v>104440</v>
      </c>
      <c r="X76">
        <v>0</v>
      </c>
      <c r="Y76">
        <v>84914000</v>
      </c>
      <c r="Z76">
        <v>64435</v>
      </c>
      <c r="AA76">
        <v>0</v>
      </c>
      <c r="AB76">
        <v>0</v>
      </c>
      <c r="AC76">
        <v>102000</v>
      </c>
      <c r="AD76">
        <v>0</v>
      </c>
      <c r="AE76">
        <v>39316</v>
      </c>
      <c r="AF76">
        <v>1343410</v>
      </c>
      <c r="AG76">
        <v>0</v>
      </c>
      <c r="AH76">
        <v>0</v>
      </c>
      <c r="AI76">
        <v>450871</v>
      </c>
      <c r="AJ76">
        <v>25497</v>
      </c>
      <c r="AK76">
        <v>0</v>
      </c>
      <c r="AL76">
        <v>17500</v>
      </c>
      <c r="AM76">
        <v>0</v>
      </c>
      <c r="AN76">
        <v>47199</v>
      </c>
      <c r="AO76">
        <v>327637</v>
      </c>
      <c r="AP76">
        <v>0</v>
      </c>
      <c r="AQ76">
        <v>2757122</v>
      </c>
      <c r="AR76">
        <v>0</v>
      </c>
      <c r="AS76">
        <v>0</v>
      </c>
      <c r="AT76">
        <v>223239</v>
      </c>
      <c r="AU76">
        <v>42670</v>
      </c>
      <c r="AV76">
        <v>0</v>
      </c>
      <c r="AW76">
        <v>0</v>
      </c>
      <c r="AX76">
        <v>11400</v>
      </c>
      <c r="AY76">
        <v>0</v>
      </c>
      <c r="AZ76">
        <v>0</v>
      </c>
      <c r="BA76">
        <v>9440</v>
      </c>
      <c r="BB76">
        <v>0</v>
      </c>
      <c r="BC76">
        <v>167633</v>
      </c>
      <c r="BD76">
        <v>0</v>
      </c>
      <c r="BE76">
        <v>0</v>
      </c>
      <c r="BF76">
        <v>147587</v>
      </c>
      <c r="BG76">
        <v>0</v>
      </c>
      <c r="BH76">
        <v>0</v>
      </c>
      <c r="BI76">
        <v>84712</v>
      </c>
      <c r="BJ76">
        <v>0</v>
      </c>
      <c r="BK76">
        <v>22780</v>
      </c>
      <c r="BL76">
        <v>23555</v>
      </c>
      <c r="BM76">
        <v>11114</v>
      </c>
      <c r="BN76">
        <v>0</v>
      </c>
      <c r="BO76">
        <v>780382</v>
      </c>
      <c r="BP76">
        <v>7691863</v>
      </c>
      <c r="BQ76">
        <v>0</v>
      </c>
      <c r="BR76">
        <v>0</v>
      </c>
      <c r="BS76">
        <v>0</v>
      </c>
      <c r="BU76">
        <v>28000</v>
      </c>
      <c r="BV76">
        <v>0</v>
      </c>
      <c r="BW76">
        <v>1964804</v>
      </c>
      <c r="BX76">
        <v>684099</v>
      </c>
      <c r="BY76">
        <v>658585</v>
      </c>
      <c r="BZ76">
        <v>69195</v>
      </c>
      <c r="CA76">
        <v>8000</v>
      </c>
      <c r="CB76">
        <v>228084</v>
      </c>
      <c r="CC76">
        <v>0</v>
      </c>
      <c r="CD76">
        <v>34000</v>
      </c>
      <c r="CE76">
        <v>77206</v>
      </c>
      <c r="CF76">
        <v>7258</v>
      </c>
      <c r="CG76">
        <v>0</v>
      </c>
      <c r="CH76">
        <v>94087</v>
      </c>
      <c r="CI76">
        <v>0</v>
      </c>
      <c r="CK76">
        <v>0</v>
      </c>
    </row>
    <row r="77" spans="1:89" x14ac:dyDescent="0.3">
      <c r="A77" s="155">
        <v>332</v>
      </c>
      <c r="B77" t="s">
        <v>239</v>
      </c>
      <c r="D77">
        <v>0</v>
      </c>
      <c r="E77">
        <v>0</v>
      </c>
      <c r="F77">
        <v>0</v>
      </c>
      <c r="G77">
        <v>1955</v>
      </c>
      <c r="H77">
        <v>169022</v>
      </c>
      <c r="I77">
        <v>150174</v>
      </c>
      <c r="J77">
        <v>0</v>
      </c>
      <c r="K77">
        <v>175000</v>
      </c>
      <c r="L77">
        <v>0</v>
      </c>
      <c r="M77">
        <v>0</v>
      </c>
      <c r="N77">
        <v>408251</v>
      </c>
      <c r="O77">
        <v>32143069</v>
      </c>
      <c r="P77">
        <v>0</v>
      </c>
      <c r="Q77">
        <v>0</v>
      </c>
      <c r="R77">
        <v>0</v>
      </c>
      <c r="S77">
        <v>0</v>
      </c>
      <c r="T77">
        <v>0</v>
      </c>
      <c r="U77">
        <v>0</v>
      </c>
      <c r="V77">
        <v>0</v>
      </c>
      <c r="W77">
        <v>0</v>
      </c>
      <c r="X77">
        <v>0</v>
      </c>
      <c r="Y77">
        <v>388891000</v>
      </c>
      <c r="Z77">
        <v>45000</v>
      </c>
      <c r="AA77">
        <v>0</v>
      </c>
      <c r="AB77">
        <v>0</v>
      </c>
      <c r="AC77">
        <v>133287</v>
      </c>
      <c r="AD77">
        <v>117901</v>
      </c>
      <c r="AE77">
        <v>276180</v>
      </c>
      <c r="AF77">
        <v>19683973</v>
      </c>
      <c r="AG77">
        <v>0</v>
      </c>
      <c r="AH77">
        <v>105417</v>
      </c>
      <c r="AI77">
        <v>664909</v>
      </c>
      <c r="AJ77">
        <v>96007</v>
      </c>
      <c r="AK77">
        <v>0</v>
      </c>
      <c r="AL77">
        <v>12599</v>
      </c>
      <c r="AM77">
        <v>0</v>
      </c>
      <c r="AN77">
        <v>348021</v>
      </c>
      <c r="AO77">
        <v>3565943</v>
      </c>
      <c r="AP77">
        <v>0</v>
      </c>
      <c r="AQ77">
        <v>8540606</v>
      </c>
      <c r="AR77">
        <v>0</v>
      </c>
      <c r="AS77">
        <v>0</v>
      </c>
      <c r="AT77">
        <v>1056842</v>
      </c>
      <c r="AU77">
        <v>0</v>
      </c>
      <c r="AV77">
        <v>0</v>
      </c>
      <c r="AW77">
        <v>0</v>
      </c>
      <c r="AX77">
        <v>7000</v>
      </c>
      <c r="AY77">
        <v>0</v>
      </c>
      <c r="AZ77">
        <v>0</v>
      </c>
      <c r="BA77">
        <v>660069</v>
      </c>
      <c r="BB77">
        <v>2799</v>
      </c>
      <c r="BC77">
        <v>205786</v>
      </c>
      <c r="BD77">
        <v>0</v>
      </c>
      <c r="BE77">
        <v>0</v>
      </c>
      <c r="BF77">
        <v>409855</v>
      </c>
      <c r="BG77">
        <v>0</v>
      </c>
      <c r="BH77">
        <v>0</v>
      </c>
      <c r="BI77">
        <v>1616622</v>
      </c>
      <c r="BJ77">
        <v>0</v>
      </c>
      <c r="BK77">
        <v>0</v>
      </c>
      <c r="BL77">
        <v>8601</v>
      </c>
      <c r="BM77">
        <v>466531</v>
      </c>
      <c r="BN77">
        <v>0</v>
      </c>
      <c r="BO77">
        <v>2625803</v>
      </c>
      <c r="BP77">
        <v>91063547</v>
      </c>
      <c r="BQ77">
        <v>0</v>
      </c>
      <c r="BR77">
        <v>0</v>
      </c>
      <c r="BS77">
        <v>3908</v>
      </c>
      <c r="BU77">
        <v>230731</v>
      </c>
      <c r="BV77">
        <v>0</v>
      </c>
      <c r="BW77">
        <v>8646487</v>
      </c>
      <c r="BX77">
        <v>1538612</v>
      </c>
      <c r="BY77">
        <v>2129071</v>
      </c>
      <c r="BZ77">
        <v>864892</v>
      </c>
      <c r="CA77">
        <v>3500</v>
      </c>
      <c r="CB77">
        <v>59286</v>
      </c>
      <c r="CC77">
        <v>0</v>
      </c>
      <c r="CD77">
        <v>0</v>
      </c>
      <c r="CE77">
        <v>333114</v>
      </c>
      <c r="CF77">
        <v>111955</v>
      </c>
      <c r="CG77">
        <v>0</v>
      </c>
      <c r="CH77">
        <v>163043</v>
      </c>
      <c r="CI77">
        <v>0</v>
      </c>
      <c r="CK77">
        <v>0</v>
      </c>
    </row>
    <row r="78" spans="1:89" x14ac:dyDescent="0.3">
      <c r="A78" s="155">
        <v>333</v>
      </c>
      <c r="B78" t="s">
        <v>176</v>
      </c>
      <c r="D78">
        <v>2972556</v>
      </c>
      <c r="E78">
        <v>2346596</v>
      </c>
      <c r="F78">
        <v>725977</v>
      </c>
      <c r="G78">
        <v>546152</v>
      </c>
      <c r="H78">
        <v>724709</v>
      </c>
      <c r="I78">
        <v>3248351</v>
      </c>
      <c r="J78">
        <v>1851174</v>
      </c>
      <c r="K78">
        <v>8575128</v>
      </c>
      <c r="L78">
        <v>3267699</v>
      </c>
      <c r="M78">
        <v>18354024</v>
      </c>
      <c r="N78">
        <v>1687907</v>
      </c>
      <c r="O78">
        <v>232839930</v>
      </c>
      <c r="P78">
        <v>88016</v>
      </c>
      <c r="Q78">
        <v>222232</v>
      </c>
      <c r="R78">
        <v>2820598</v>
      </c>
      <c r="S78">
        <v>1254428</v>
      </c>
      <c r="T78">
        <v>1052750</v>
      </c>
      <c r="U78">
        <v>234801</v>
      </c>
      <c r="V78">
        <v>231070</v>
      </c>
      <c r="W78">
        <v>2272399</v>
      </c>
      <c r="X78">
        <v>40351298</v>
      </c>
      <c r="Y78">
        <v>763667000</v>
      </c>
      <c r="Z78">
        <v>1374681</v>
      </c>
      <c r="AA78">
        <v>424190</v>
      </c>
      <c r="AB78">
        <v>2572918</v>
      </c>
      <c r="AC78">
        <v>84041</v>
      </c>
      <c r="AD78">
        <v>4462737</v>
      </c>
      <c r="AE78">
        <v>2328715</v>
      </c>
      <c r="AF78">
        <v>23837270</v>
      </c>
      <c r="AG78">
        <v>7844064</v>
      </c>
      <c r="AH78">
        <v>3657420</v>
      </c>
      <c r="AI78">
        <v>6510829</v>
      </c>
      <c r="AJ78">
        <v>1290720</v>
      </c>
      <c r="AK78">
        <v>1557322</v>
      </c>
      <c r="AL78">
        <v>836748</v>
      </c>
      <c r="AM78">
        <v>338741</v>
      </c>
      <c r="AN78">
        <v>1026713</v>
      </c>
      <c r="AO78">
        <v>764053</v>
      </c>
      <c r="AP78">
        <v>74434</v>
      </c>
      <c r="AQ78">
        <v>109684825</v>
      </c>
      <c r="AR78">
        <v>362700</v>
      </c>
      <c r="AS78">
        <v>1555081</v>
      </c>
      <c r="AT78">
        <v>10884133</v>
      </c>
      <c r="AU78">
        <v>518314</v>
      </c>
      <c r="AV78">
        <v>954219</v>
      </c>
      <c r="AW78">
        <v>35827332</v>
      </c>
      <c r="AX78">
        <v>162289</v>
      </c>
      <c r="AY78">
        <v>3478220</v>
      </c>
      <c r="AZ78">
        <v>8605662</v>
      </c>
      <c r="BA78">
        <v>473942</v>
      </c>
      <c r="BB78">
        <v>202889</v>
      </c>
      <c r="BC78">
        <v>5557265</v>
      </c>
      <c r="BD78">
        <v>165333</v>
      </c>
      <c r="BE78">
        <v>17515378</v>
      </c>
      <c r="BF78">
        <v>1403555</v>
      </c>
      <c r="BG78">
        <v>1195764</v>
      </c>
      <c r="BH78">
        <v>437041</v>
      </c>
      <c r="BI78">
        <v>1478854</v>
      </c>
      <c r="BJ78">
        <v>3310386</v>
      </c>
      <c r="BK78">
        <v>232135</v>
      </c>
      <c r="BL78">
        <v>1860293</v>
      </c>
      <c r="BM78">
        <v>710068</v>
      </c>
      <c r="BN78">
        <v>7669531</v>
      </c>
      <c r="BO78">
        <v>4457758</v>
      </c>
      <c r="BP78">
        <v>261866704</v>
      </c>
      <c r="BQ78">
        <v>67449</v>
      </c>
      <c r="BR78">
        <v>166127</v>
      </c>
      <c r="BS78">
        <v>1040304</v>
      </c>
      <c r="BU78">
        <v>545688</v>
      </c>
      <c r="BV78">
        <v>5791163</v>
      </c>
      <c r="BW78">
        <v>11372165</v>
      </c>
      <c r="BX78">
        <v>3030346</v>
      </c>
      <c r="BY78">
        <v>5385928</v>
      </c>
      <c r="BZ78">
        <v>898896</v>
      </c>
      <c r="CA78">
        <v>522400</v>
      </c>
      <c r="CB78">
        <v>4114889</v>
      </c>
      <c r="CC78">
        <v>954959</v>
      </c>
      <c r="CD78">
        <v>243920</v>
      </c>
      <c r="CE78">
        <v>237295</v>
      </c>
      <c r="CF78">
        <v>7425779</v>
      </c>
      <c r="CG78">
        <v>11652245</v>
      </c>
      <c r="CH78">
        <v>304850</v>
      </c>
      <c r="CI78">
        <v>5881924</v>
      </c>
      <c r="CK78">
        <v>31931</v>
      </c>
    </row>
    <row r="79" spans="1:89" x14ac:dyDescent="0.3">
      <c r="A79" s="155">
        <v>334</v>
      </c>
      <c r="B79" t="s">
        <v>261</v>
      </c>
      <c r="D79">
        <v>592042</v>
      </c>
      <c r="E79">
        <v>1090670</v>
      </c>
      <c r="F79">
        <v>537962</v>
      </c>
      <c r="G79">
        <v>244518</v>
      </c>
      <c r="H79">
        <v>1829400</v>
      </c>
      <c r="I79">
        <v>10821177</v>
      </c>
      <c r="J79">
        <v>2699721</v>
      </c>
      <c r="K79">
        <v>29888101</v>
      </c>
      <c r="L79">
        <v>8297925</v>
      </c>
      <c r="M79">
        <v>45481147</v>
      </c>
      <c r="N79">
        <v>4953534</v>
      </c>
      <c r="O79">
        <v>1123082709</v>
      </c>
      <c r="P79">
        <v>215877</v>
      </c>
      <c r="Q79">
        <v>368064</v>
      </c>
      <c r="R79">
        <v>3288854</v>
      </c>
      <c r="S79">
        <v>1427032</v>
      </c>
      <c r="T79">
        <v>454563</v>
      </c>
      <c r="U79">
        <v>269417</v>
      </c>
      <c r="V79">
        <v>721767</v>
      </c>
      <c r="W79">
        <v>3054994</v>
      </c>
      <c r="X79">
        <v>192771377</v>
      </c>
      <c r="Y79">
        <v>4714413000</v>
      </c>
      <c r="Z79">
        <v>12760795</v>
      </c>
      <c r="AA79">
        <v>527733</v>
      </c>
      <c r="AB79">
        <v>7308309</v>
      </c>
      <c r="AC79">
        <v>2518147</v>
      </c>
      <c r="AD79">
        <v>11658557</v>
      </c>
      <c r="AE79">
        <v>1142708</v>
      </c>
      <c r="AF79">
        <v>73207552</v>
      </c>
      <c r="AG79">
        <v>55287581</v>
      </c>
      <c r="AH79">
        <v>3032812</v>
      </c>
      <c r="AI79">
        <v>27370678</v>
      </c>
      <c r="AJ79">
        <v>2040063</v>
      </c>
      <c r="AK79">
        <v>3027997</v>
      </c>
      <c r="AL79">
        <v>1026049</v>
      </c>
      <c r="AM79">
        <v>626483</v>
      </c>
      <c r="AN79">
        <v>899479</v>
      </c>
      <c r="AO79">
        <v>2316014</v>
      </c>
      <c r="AP79">
        <v>115720</v>
      </c>
      <c r="AQ79">
        <v>863150305</v>
      </c>
      <c r="AR79">
        <v>230061</v>
      </c>
      <c r="AS79">
        <v>2122950</v>
      </c>
      <c r="AT79">
        <v>52516290</v>
      </c>
      <c r="AU79">
        <v>1015553</v>
      </c>
      <c r="AV79">
        <v>795922</v>
      </c>
      <c r="AW79">
        <v>77009917</v>
      </c>
      <c r="AX79">
        <v>209369</v>
      </c>
      <c r="AY79">
        <v>14132766</v>
      </c>
      <c r="AZ79">
        <v>13693831</v>
      </c>
      <c r="BA79">
        <v>325747</v>
      </c>
      <c r="BB79">
        <v>448578</v>
      </c>
      <c r="BC79">
        <v>9802887</v>
      </c>
      <c r="BD79">
        <v>127913</v>
      </c>
      <c r="BE79">
        <v>24867484</v>
      </c>
      <c r="BF79">
        <v>5812974</v>
      </c>
      <c r="BG79">
        <v>910454</v>
      </c>
      <c r="BH79">
        <v>842680</v>
      </c>
      <c r="BI79">
        <v>3823884</v>
      </c>
      <c r="BJ79">
        <v>266461</v>
      </c>
      <c r="BK79">
        <v>450612</v>
      </c>
      <c r="BL79">
        <v>2713094</v>
      </c>
      <c r="BM79">
        <v>2326597</v>
      </c>
      <c r="BN79">
        <v>22920150</v>
      </c>
      <c r="BO79">
        <v>20139144</v>
      </c>
      <c r="BP79">
        <v>1057408217</v>
      </c>
      <c r="BQ79">
        <v>117615</v>
      </c>
      <c r="BR79">
        <v>157229</v>
      </c>
      <c r="BS79">
        <v>438201</v>
      </c>
      <c r="BU79">
        <v>4049854</v>
      </c>
      <c r="BV79">
        <v>1432695</v>
      </c>
      <c r="BW79">
        <v>47593520</v>
      </c>
      <c r="BX79">
        <v>9890170</v>
      </c>
      <c r="BY79">
        <v>43448595</v>
      </c>
      <c r="BZ79">
        <v>26027537</v>
      </c>
      <c r="CA79">
        <v>1149743</v>
      </c>
      <c r="CB79">
        <v>15750779</v>
      </c>
      <c r="CC79">
        <v>154313</v>
      </c>
      <c r="CD79">
        <v>2486816</v>
      </c>
      <c r="CE79">
        <v>1433177</v>
      </c>
      <c r="CF79">
        <v>15373261</v>
      </c>
      <c r="CG79">
        <v>19325919</v>
      </c>
      <c r="CH79">
        <v>8261615</v>
      </c>
      <c r="CI79">
        <v>6436481</v>
      </c>
      <c r="CK79">
        <v>118317</v>
      </c>
    </row>
    <row r="80" spans="1:89" x14ac:dyDescent="0.3">
      <c r="A80" s="155">
        <v>335</v>
      </c>
      <c r="B80" t="s">
        <v>109</v>
      </c>
      <c r="D80">
        <v>0</v>
      </c>
      <c r="E80">
        <v>0</v>
      </c>
      <c r="F80">
        <v>0</v>
      </c>
      <c r="G80">
        <v>0</v>
      </c>
      <c r="H80">
        <v>0</v>
      </c>
      <c r="I80">
        <v>0</v>
      </c>
      <c r="J80">
        <v>0</v>
      </c>
      <c r="K80">
        <v>0</v>
      </c>
      <c r="L80">
        <v>0</v>
      </c>
      <c r="M80">
        <v>963959</v>
      </c>
      <c r="N80">
        <v>0</v>
      </c>
      <c r="O80">
        <v>16314493</v>
      </c>
      <c r="P80">
        <v>0</v>
      </c>
      <c r="Q80">
        <v>0</v>
      </c>
      <c r="R80">
        <v>0</v>
      </c>
      <c r="S80">
        <v>0</v>
      </c>
      <c r="T80">
        <v>0</v>
      </c>
      <c r="U80">
        <v>0</v>
      </c>
      <c r="V80">
        <v>206769</v>
      </c>
      <c r="W80">
        <v>0</v>
      </c>
      <c r="X80">
        <v>0</v>
      </c>
      <c r="Y80">
        <v>91440000</v>
      </c>
      <c r="Z80">
        <v>0</v>
      </c>
      <c r="AA80">
        <v>0</v>
      </c>
      <c r="AB80">
        <v>0</v>
      </c>
      <c r="AC80">
        <v>0</v>
      </c>
      <c r="AD80">
        <v>23311</v>
      </c>
      <c r="AE80">
        <v>0</v>
      </c>
      <c r="AF80">
        <v>0</v>
      </c>
      <c r="AG80">
        <v>0</v>
      </c>
      <c r="AH80">
        <v>0</v>
      </c>
      <c r="AI80">
        <v>0</v>
      </c>
      <c r="AJ80">
        <v>0</v>
      </c>
      <c r="AK80">
        <v>0</v>
      </c>
      <c r="AL80">
        <v>0</v>
      </c>
      <c r="AM80">
        <v>0</v>
      </c>
      <c r="AN80">
        <v>0</v>
      </c>
      <c r="AO80">
        <v>0</v>
      </c>
      <c r="AP80">
        <v>0</v>
      </c>
      <c r="AQ80">
        <v>6482</v>
      </c>
      <c r="AR80">
        <v>0</v>
      </c>
      <c r="AS80">
        <v>0</v>
      </c>
      <c r="AT80">
        <v>0</v>
      </c>
      <c r="AU80">
        <v>0</v>
      </c>
      <c r="AV80">
        <v>0</v>
      </c>
      <c r="AW80">
        <v>153157</v>
      </c>
      <c r="AX80">
        <v>0</v>
      </c>
      <c r="AY80">
        <v>0</v>
      </c>
      <c r="AZ80">
        <v>0</v>
      </c>
      <c r="BA80">
        <v>0</v>
      </c>
      <c r="BB80">
        <v>0</v>
      </c>
      <c r="BC80">
        <v>255310</v>
      </c>
      <c r="BD80">
        <v>0</v>
      </c>
      <c r="BE80">
        <v>0</v>
      </c>
      <c r="BF80">
        <v>0</v>
      </c>
      <c r="BG80">
        <v>0</v>
      </c>
      <c r="BH80">
        <v>0</v>
      </c>
      <c r="BI80">
        <v>0</v>
      </c>
      <c r="BJ80">
        <v>0</v>
      </c>
      <c r="BK80">
        <v>0</v>
      </c>
      <c r="BL80">
        <v>0</v>
      </c>
      <c r="BM80">
        <v>0</v>
      </c>
      <c r="BN80">
        <v>0</v>
      </c>
      <c r="BO80">
        <v>0</v>
      </c>
      <c r="BP80">
        <v>19307792</v>
      </c>
      <c r="BQ80">
        <v>0</v>
      </c>
      <c r="BR80">
        <v>0</v>
      </c>
      <c r="BS80">
        <v>0</v>
      </c>
      <c r="BU80">
        <v>0</v>
      </c>
      <c r="BV80">
        <v>0</v>
      </c>
      <c r="BW80">
        <v>0</v>
      </c>
      <c r="BX80">
        <v>0</v>
      </c>
      <c r="BY80">
        <v>0</v>
      </c>
      <c r="BZ80">
        <v>0</v>
      </c>
      <c r="CA80">
        <v>0</v>
      </c>
      <c r="CB80">
        <v>460</v>
      </c>
      <c r="CC80">
        <v>0</v>
      </c>
      <c r="CD80">
        <v>0</v>
      </c>
      <c r="CE80">
        <v>0</v>
      </c>
      <c r="CF80">
        <v>0</v>
      </c>
      <c r="CG80">
        <v>0</v>
      </c>
      <c r="CH80">
        <v>0</v>
      </c>
      <c r="CI80">
        <v>0</v>
      </c>
      <c r="CK80">
        <v>0</v>
      </c>
    </row>
    <row r="81" spans="1:89" x14ac:dyDescent="0.3">
      <c r="A81" s="155">
        <v>336</v>
      </c>
      <c r="B81" t="s">
        <v>921</v>
      </c>
      <c r="D81">
        <v>25523</v>
      </c>
      <c r="E81">
        <v>36587</v>
      </c>
      <c r="F81">
        <v>13609</v>
      </c>
      <c r="G81">
        <v>17188</v>
      </c>
      <c r="H81">
        <v>87720</v>
      </c>
      <c r="I81">
        <v>357383</v>
      </c>
      <c r="J81">
        <v>50630</v>
      </c>
      <c r="K81">
        <v>1724507</v>
      </c>
      <c r="L81">
        <v>0</v>
      </c>
      <c r="M81">
        <v>3455794</v>
      </c>
      <c r="N81">
        <v>169964</v>
      </c>
      <c r="O81">
        <v>58701918</v>
      </c>
      <c r="P81">
        <v>8143</v>
      </c>
      <c r="Q81">
        <v>10817</v>
      </c>
      <c r="R81">
        <v>70504</v>
      </c>
      <c r="S81">
        <v>20792</v>
      </c>
      <c r="T81">
        <v>125335</v>
      </c>
      <c r="U81">
        <v>5545</v>
      </c>
      <c r="V81">
        <v>217753</v>
      </c>
      <c r="W81">
        <v>28635</v>
      </c>
      <c r="X81">
        <v>15351032</v>
      </c>
      <c r="Y81">
        <v>345304000</v>
      </c>
      <c r="Z81">
        <v>412031</v>
      </c>
      <c r="AA81">
        <v>77698</v>
      </c>
      <c r="AB81">
        <v>605809</v>
      </c>
      <c r="AC81">
        <v>449200</v>
      </c>
      <c r="AD81">
        <v>324804</v>
      </c>
      <c r="AE81">
        <v>87542</v>
      </c>
      <c r="AF81">
        <v>3416347</v>
      </c>
      <c r="AG81">
        <v>576145</v>
      </c>
      <c r="AH81">
        <v>33336</v>
      </c>
      <c r="AI81">
        <v>754824</v>
      </c>
      <c r="AJ81">
        <v>30038</v>
      </c>
      <c r="AK81">
        <v>19506</v>
      </c>
      <c r="AL81">
        <v>19153</v>
      </c>
      <c r="AM81">
        <v>7</v>
      </c>
      <c r="AN81">
        <v>47687</v>
      </c>
      <c r="AO81">
        <v>83136</v>
      </c>
      <c r="AP81">
        <v>591</v>
      </c>
      <c r="AQ81">
        <v>24624560</v>
      </c>
      <c r="AR81">
        <v>26288</v>
      </c>
      <c r="AS81">
        <v>34825</v>
      </c>
      <c r="AT81">
        <v>1554964</v>
      </c>
      <c r="AU81">
        <v>40475</v>
      </c>
      <c r="AV81">
        <v>449</v>
      </c>
      <c r="AW81">
        <v>4557242</v>
      </c>
      <c r="AX81">
        <v>1914</v>
      </c>
      <c r="AY81">
        <v>348610</v>
      </c>
      <c r="AZ81">
        <v>202156</v>
      </c>
      <c r="BA81">
        <v>1731</v>
      </c>
      <c r="BB81">
        <v>51</v>
      </c>
      <c r="BC81">
        <v>527212</v>
      </c>
      <c r="BD81">
        <v>0</v>
      </c>
      <c r="BE81">
        <v>1633798</v>
      </c>
      <c r="BF81">
        <v>22417</v>
      </c>
      <c r="BG81">
        <v>11695</v>
      </c>
      <c r="BH81">
        <v>20552</v>
      </c>
      <c r="BI81">
        <v>76878</v>
      </c>
      <c r="BJ81">
        <v>2087</v>
      </c>
      <c r="BK81">
        <v>43481</v>
      </c>
      <c r="BL81">
        <v>45192</v>
      </c>
      <c r="BM81">
        <v>36405</v>
      </c>
      <c r="BN81">
        <v>1961555</v>
      </c>
      <c r="BO81">
        <v>1130671</v>
      </c>
      <c r="BP81">
        <v>89288370</v>
      </c>
      <c r="BQ81">
        <v>5207</v>
      </c>
      <c r="BR81">
        <v>1382</v>
      </c>
      <c r="BS81">
        <v>31317</v>
      </c>
      <c r="BU81">
        <v>100822</v>
      </c>
      <c r="BV81">
        <v>36699</v>
      </c>
      <c r="BW81">
        <v>1824799</v>
      </c>
      <c r="BX81">
        <v>459021</v>
      </c>
      <c r="BY81">
        <v>1758712</v>
      </c>
      <c r="BZ81">
        <v>1808471</v>
      </c>
      <c r="CA81">
        <v>17739</v>
      </c>
      <c r="CB81">
        <v>702069</v>
      </c>
      <c r="CC81">
        <v>6860</v>
      </c>
      <c r="CD81">
        <v>21364</v>
      </c>
      <c r="CE81">
        <v>38998</v>
      </c>
      <c r="CF81">
        <v>410293</v>
      </c>
      <c r="CG81">
        <v>6269367</v>
      </c>
      <c r="CH81">
        <v>76439</v>
      </c>
      <c r="CI81">
        <v>68790</v>
      </c>
      <c r="CK81">
        <v>1774</v>
      </c>
    </row>
    <row r="82" spans="1:89" x14ac:dyDescent="0.3">
      <c r="A82" s="155">
        <v>337</v>
      </c>
      <c r="B82" t="s">
        <v>245</v>
      </c>
      <c r="D82">
        <v>0</v>
      </c>
      <c r="E82">
        <v>0</v>
      </c>
      <c r="F82">
        <v>0</v>
      </c>
      <c r="G82">
        <v>8897</v>
      </c>
      <c r="H82">
        <v>462965</v>
      </c>
      <c r="I82">
        <v>843979</v>
      </c>
      <c r="J82">
        <v>20639</v>
      </c>
      <c r="K82">
        <v>4132326</v>
      </c>
      <c r="L82">
        <v>0</v>
      </c>
      <c r="M82">
        <v>5330682</v>
      </c>
      <c r="N82">
        <v>916775</v>
      </c>
      <c r="O82">
        <v>123191953</v>
      </c>
      <c r="P82">
        <v>0</v>
      </c>
      <c r="Q82">
        <v>0</v>
      </c>
      <c r="R82">
        <v>336199</v>
      </c>
      <c r="S82">
        <v>0</v>
      </c>
      <c r="T82">
        <v>1525000</v>
      </c>
      <c r="U82">
        <v>0</v>
      </c>
      <c r="V82">
        <v>0</v>
      </c>
      <c r="W82">
        <v>0</v>
      </c>
      <c r="X82">
        <v>56456204</v>
      </c>
      <c r="Y82">
        <v>1475248000</v>
      </c>
      <c r="Z82">
        <v>1442865</v>
      </c>
      <c r="AA82">
        <v>303069</v>
      </c>
      <c r="AB82">
        <v>2898076</v>
      </c>
      <c r="AC82">
        <v>0</v>
      </c>
      <c r="AD82">
        <v>402143</v>
      </c>
      <c r="AE82">
        <v>7699</v>
      </c>
      <c r="AF82">
        <v>44334778</v>
      </c>
      <c r="AG82">
        <v>0</v>
      </c>
      <c r="AH82">
        <v>0</v>
      </c>
      <c r="AI82">
        <v>2001960</v>
      </c>
      <c r="AJ82">
        <v>0</v>
      </c>
      <c r="AK82">
        <v>0</v>
      </c>
      <c r="AL82">
        <v>0</v>
      </c>
      <c r="AM82">
        <v>0</v>
      </c>
      <c r="AN82">
        <v>0</v>
      </c>
      <c r="AO82">
        <v>441595</v>
      </c>
      <c r="AP82">
        <v>0</v>
      </c>
      <c r="AQ82">
        <v>25309436</v>
      </c>
      <c r="AR82">
        <v>0</v>
      </c>
      <c r="AS82">
        <v>0</v>
      </c>
      <c r="AT82">
        <v>4424062</v>
      </c>
      <c r="AU82">
        <v>0</v>
      </c>
      <c r="AV82">
        <v>0</v>
      </c>
      <c r="AW82">
        <v>17196529</v>
      </c>
      <c r="AX82">
        <v>0</v>
      </c>
      <c r="AY82">
        <v>2648000</v>
      </c>
      <c r="AZ82">
        <v>447500</v>
      </c>
      <c r="BA82">
        <v>0</v>
      </c>
      <c r="BB82">
        <v>0</v>
      </c>
      <c r="BC82">
        <v>1569067</v>
      </c>
      <c r="BD82">
        <v>0</v>
      </c>
      <c r="BE82">
        <v>26135238</v>
      </c>
      <c r="BF82">
        <v>725766</v>
      </c>
      <c r="BG82">
        <v>0</v>
      </c>
      <c r="BH82">
        <v>5000</v>
      </c>
      <c r="BI82">
        <v>269230</v>
      </c>
      <c r="BJ82">
        <v>0</v>
      </c>
      <c r="BK82">
        <v>0</v>
      </c>
      <c r="BL82">
        <v>29271</v>
      </c>
      <c r="BM82">
        <v>30000</v>
      </c>
      <c r="BN82">
        <v>0</v>
      </c>
      <c r="BO82">
        <v>7798939</v>
      </c>
      <c r="BP82">
        <v>200495303</v>
      </c>
      <c r="BQ82">
        <v>0</v>
      </c>
      <c r="BR82">
        <v>0</v>
      </c>
      <c r="BS82">
        <v>0</v>
      </c>
      <c r="BU82">
        <v>357973</v>
      </c>
      <c r="BV82">
        <v>0</v>
      </c>
      <c r="BW82">
        <v>6037702</v>
      </c>
      <c r="BX82">
        <v>3383746</v>
      </c>
      <c r="BY82">
        <v>4135285</v>
      </c>
      <c r="BZ82">
        <v>3864136</v>
      </c>
      <c r="CA82">
        <v>386564</v>
      </c>
      <c r="CB82">
        <v>69068</v>
      </c>
      <c r="CC82">
        <v>0</v>
      </c>
      <c r="CD82">
        <v>445050</v>
      </c>
      <c r="CE82">
        <v>1096528</v>
      </c>
      <c r="CF82">
        <v>687677</v>
      </c>
      <c r="CG82">
        <v>0</v>
      </c>
      <c r="CH82">
        <v>127499</v>
      </c>
      <c r="CI82">
        <v>0</v>
      </c>
      <c r="CK82">
        <v>0</v>
      </c>
    </row>
    <row r="83" spans="1:89" x14ac:dyDescent="0.3">
      <c r="A83" s="155">
        <v>338</v>
      </c>
      <c r="B83" t="s">
        <v>108</v>
      </c>
      <c r="D83">
        <v>39670</v>
      </c>
      <c r="E83">
        <v>476301</v>
      </c>
      <c r="F83">
        <v>36056</v>
      </c>
      <c r="G83">
        <v>70755</v>
      </c>
      <c r="H83">
        <v>1094190</v>
      </c>
      <c r="I83">
        <v>15328708</v>
      </c>
      <c r="J83">
        <v>671016</v>
      </c>
      <c r="K83">
        <v>19065009</v>
      </c>
      <c r="L83">
        <v>1140449</v>
      </c>
      <c r="M83">
        <v>41063481</v>
      </c>
      <c r="N83">
        <v>2401135</v>
      </c>
      <c r="O83">
        <v>410040051</v>
      </c>
      <c r="P83">
        <v>8143</v>
      </c>
      <c r="Q83">
        <v>13187</v>
      </c>
      <c r="R83">
        <v>825930</v>
      </c>
      <c r="S83">
        <v>626193</v>
      </c>
      <c r="T83">
        <v>1593643</v>
      </c>
      <c r="U83">
        <v>5545</v>
      </c>
      <c r="V83">
        <v>217753</v>
      </c>
      <c r="W83">
        <v>442563</v>
      </c>
      <c r="X83">
        <v>132257441</v>
      </c>
      <c r="Y83">
        <v>3437468000</v>
      </c>
      <c r="Z83">
        <v>8172076</v>
      </c>
      <c r="AA83">
        <v>367037</v>
      </c>
      <c r="AB83">
        <v>4695372</v>
      </c>
      <c r="AC83">
        <v>767089</v>
      </c>
      <c r="AD83">
        <v>1474736</v>
      </c>
      <c r="AE83">
        <v>177612</v>
      </c>
      <c r="AF83">
        <v>25479565</v>
      </c>
      <c r="AG83">
        <v>1170151</v>
      </c>
      <c r="AH83">
        <v>634065</v>
      </c>
      <c r="AI83">
        <v>8643201</v>
      </c>
      <c r="AJ83">
        <v>265712</v>
      </c>
      <c r="AK83">
        <v>515494</v>
      </c>
      <c r="AL83">
        <v>72500</v>
      </c>
      <c r="AM83">
        <v>12032</v>
      </c>
      <c r="AN83">
        <v>533666</v>
      </c>
      <c r="AO83">
        <v>951445</v>
      </c>
      <c r="AP83">
        <v>591</v>
      </c>
      <c r="AQ83">
        <v>118168422</v>
      </c>
      <c r="AR83">
        <v>26288</v>
      </c>
      <c r="AS83">
        <v>72838</v>
      </c>
      <c r="AT83">
        <v>8356261</v>
      </c>
      <c r="AU83">
        <v>266385</v>
      </c>
      <c r="AV83">
        <v>44948</v>
      </c>
      <c r="AW83">
        <v>29780663</v>
      </c>
      <c r="AX83">
        <v>11761</v>
      </c>
      <c r="AY83">
        <v>5533690</v>
      </c>
      <c r="AZ83">
        <v>4880901</v>
      </c>
      <c r="BA83">
        <v>14795</v>
      </c>
      <c r="BB83">
        <v>51</v>
      </c>
      <c r="BC83">
        <v>3287343</v>
      </c>
      <c r="BD83">
        <v>560</v>
      </c>
      <c r="BE83">
        <v>30154090</v>
      </c>
      <c r="BF83">
        <v>1076601</v>
      </c>
      <c r="BG83">
        <v>11695</v>
      </c>
      <c r="BH83">
        <v>21881</v>
      </c>
      <c r="BI83">
        <v>1117856</v>
      </c>
      <c r="BJ83">
        <v>2087</v>
      </c>
      <c r="BK83">
        <v>50361</v>
      </c>
      <c r="BL83">
        <v>604205</v>
      </c>
      <c r="BM83">
        <v>229147</v>
      </c>
      <c r="BN83">
        <v>5245488</v>
      </c>
      <c r="BO83">
        <v>19076590</v>
      </c>
      <c r="BP83">
        <v>517449489</v>
      </c>
      <c r="BQ83">
        <v>5207</v>
      </c>
      <c r="BR83">
        <v>1382</v>
      </c>
      <c r="BS83">
        <v>122911</v>
      </c>
      <c r="BU83">
        <v>714184</v>
      </c>
      <c r="BV83">
        <v>118112</v>
      </c>
      <c r="BW83">
        <v>21809333</v>
      </c>
      <c r="BX83">
        <v>6665475</v>
      </c>
      <c r="BY83">
        <v>26726284</v>
      </c>
      <c r="BZ83">
        <v>7283626</v>
      </c>
      <c r="CA83">
        <v>536234</v>
      </c>
      <c r="CB83">
        <v>2390635</v>
      </c>
      <c r="CC83">
        <v>13619</v>
      </c>
      <c r="CD83">
        <v>705763</v>
      </c>
      <c r="CE83">
        <v>1145081</v>
      </c>
      <c r="CF83">
        <v>3538414</v>
      </c>
      <c r="CG83">
        <v>11768232</v>
      </c>
      <c r="CH83">
        <v>861865</v>
      </c>
      <c r="CI83">
        <v>2174773</v>
      </c>
      <c r="CK83">
        <v>1774</v>
      </c>
    </row>
    <row r="84" spans="1:89" x14ac:dyDescent="0.3">
      <c r="A84" s="155">
        <v>339</v>
      </c>
      <c r="B84" t="s">
        <v>181</v>
      </c>
      <c r="D84">
        <v>0</v>
      </c>
      <c r="E84">
        <v>278995</v>
      </c>
      <c r="F84">
        <v>71600</v>
      </c>
      <c r="G84">
        <v>22976</v>
      </c>
      <c r="H84">
        <v>20722</v>
      </c>
      <c r="I84">
        <v>639297</v>
      </c>
      <c r="J84">
        <v>97880</v>
      </c>
      <c r="K84">
        <v>6644993</v>
      </c>
      <c r="L84">
        <v>748125</v>
      </c>
      <c r="M84">
        <v>1406530</v>
      </c>
      <c r="N84">
        <v>218728</v>
      </c>
      <c r="O84">
        <v>33919264</v>
      </c>
      <c r="P84">
        <v>0</v>
      </c>
      <c r="Q84">
        <v>41138</v>
      </c>
      <c r="R84">
        <v>12370</v>
      </c>
      <c r="S84">
        <v>70391</v>
      </c>
      <c r="T84">
        <v>296777</v>
      </c>
      <c r="U84">
        <v>0</v>
      </c>
      <c r="V84">
        <v>75270</v>
      </c>
      <c r="W84">
        <v>288341</v>
      </c>
      <c r="X84">
        <v>6613399</v>
      </c>
      <c r="Y84">
        <v>141415000</v>
      </c>
      <c r="Z84">
        <v>770584</v>
      </c>
      <c r="AA84">
        <v>161812</v>
      </c>
      <c r="AB84">
        <v>17155</v>
      </c>
      <c r="AC84">
        <v>54347</v>
      </c>
      <c r="AD84">
        <v>53461</v>
      </c>
      <c r="AE84">
        <v>93660</v>
      </c>
      <c r="AF84">
        <v>4861580</v>
      </c>
      <c r="AG84">
        <v>54239</v>
      </c>
      <c r="AH84">
        <v>61619</v>
      </c>
      <c r="AI84">
        <v>1523025</v>
      </c>
      <c r="AJ84">
        <v>16620</v>
      </c>
      <c r="AK84">
        <v>252558</v>
      </c>
      <c r="AL84">
        <v>27742</v>
      </c>
      <c r="AM84">
        <v>38912</v>
      </c>
      <c r="AN84">
        <v>86810</v>
      </c>
      <c r="AO84">
        <v>88025</v>
      </c>
      <c r="AP84">
        <v>0</v>
      </c>
      <c r="AQ84">
        <v>9201946</v>
      </c>
      <c r="AR84">
        <v>0</v>
      </c>
      <c r="AS84">
        <v>0</v>
      </c>
      <c r="AT84">
        <v>841859</v>
      </c>
      <c r="AU84">
        <v>200</v>
      </c>
      <c r="AV84">
        <v>65257</v>
      </c>
      <c r="AW84">
        <v>1268609</v>
      </c>
      <c r="AX84">
        <v>0</v>
      </c>
      <c r="AY84">
        <v>867112</v>
      </c>
      <c r="AZ84">
        <v>162312</v>
      </c>
      <c r="BA84">
        <v>0</v>
      </c>
      <c r="BB84">
        <v>27</v>
      </c>
      <c r="BC84">
        <v>652289</v>
      </c>
      <c r="BD84">
        <v>170</v>
      </c>
      <c r="BE84">
        <v>563531</v>
      </c>
      <c r="BF84">
        <v>65345</v>
      </c>
      <c r="BG84">
        <v>9457</v>
      </c>
      <c r="BH84">
        <v>10558</v>
      </c>
      <c r="BI84">
        <v>34994</v>
      </c>
      <c r="BJ84">
        <v>0</v>
      </c>
      <c r="BK84">
        <v>38317</v>
      </c>
      <c r="BL84">
        <v>80691</v>
      </c>
      <c r="BM84">
        <v>111631</v>
      </c>
      <c r="BN84">
        <v>205745</v>
      </c>
      <c r="BO84">
        <v>1617467</v>
      </c>
      <c r="BP84">
        <v>30729175</v>
      </c>
      <c r="BQ84">
        <v>0</v>
      </c>
      <c r="BR84">
        <v>0</v>
      </c>
      <c r="BS84">
        <v>108</v>
      </c>
      <c r="BU84">
        <v>106610</v>
      </c>
      <c r="BV84">
        <v>0</v>
      </c>
      <c r="BW84">
        <v>2574103</v>
      </c>
      <c r="BX84">
        <v>1688554</v>
      </c>
      <c r="BY84">
        <v>1217307</v>
      </c>
      <c r="BZ84">
        <v>1430305</v>
      </c>
      <c r="CA84">
        <v>0</v>
      </c>
      <c r="CB84">
        <v>699602</v>
      </c>
      <c r="CC84">
        <v>39218</v>
      </c>
      <c r="CD84">
        <v>189659</v>
      </c>
      <c r="CE84">
        <v>133632</v>
      </c>
      <c r="CF84">
        <v>640915</v>
      </c>
      <c r="CG84">
        <v>3120618</v>
      </c>
      <c r="CH84">
        <v>251202</v>
      </c>
      <c r="CI84">
        <v>686035</v>
      </c>
      <c r="CK84">
        <v>0</v>
      </c>
    </row>
    <row r="85" spans="1:89" x14ac:dyDescent="0.3">
      <c r="A85" s="155">
        <v>341</v>
      </c>
      <c r="B85" t="s">
        <v>922</v>
      </c>
      <c r="D85">
        <v>879413</v>
      </c>
      <c r="E85">
        <v>1327645</v>
      </c>
      <c r="F85">
        <v>313081</v>
      </c>
      <c r="G85">
        <v>252296</v>
      </c>
      <c r="H85">
        <v>1046596</v>
      </c>
      <c r="I85">
        <v>5705857</v>
      </c>
      <c r="J85">
        <v>1744635</v>
      </c>
      <c r="K85">
        <v>9483458</v>
      </c>
      <c r="L85">
        <v>2287342</v>
      </c>
      <c r="M85">
        <v>22589574</v>
      </c>
      <c r="N85">
        <v>2854961</v>
      </c>
      <c r="O85">
        <v>173946656</v>
      </c>
      <c r="P85">
        <v>30523</v>
      </c>
      <c r="Q85">
        <v>124313</v>
      </c>
      <c r="R85">
        <v>1632343</v>
      </c>
      <c r="S85">
        <v>704094</v>
      </c>
      <c r="T85">
        <v>878983</v>
      </c>
      <c r="U85">
        <v>182343</v>
      </c>
      <c r="V85">
        <v>231007</v>
      </c>
      <c r="W85">
        <v>1185253</v>
      </c>
      <c r="X85">
        <v>65867349</v>
      </c>
      <c r="Y85">
        <v>834677000</v>
      </c>
      <c r="Z85">
        <v>3760986</v>
      </c>
      <c r="AA85">
        <v>327079</v>
      </c>
      <c r="AB85">
        <v>3818058</v>
      </c>
      <c r="AC85">
        <v>793006</v>
      </c>
      <c r="AD85">
        <v>3804285</v>
      </c>
      <c r="AE85">
        <v>788278</v>
      </c>
      <c r="AF85">
        <v>24995991</v>
      </c>
      <c r="AG85">
        <v>5301505</v>
      </c>
      <c r="AH85">
        <v>1229125</v>
      </c>
      <c r="AI85">
        <v>8525506</v>
      </c>
      <c r="AJ85">
        <v>1009515</v>
      </c>
      <c r="AK85">
        <v>1395425</v>
      </c>
      <c r="AL85">
        <v>247561</v>
      </c>
      <c r="AM85">
        <v>174411</v>
      </c>
      <c r="AN85">
        <v>550200</v>
      </c>
      <c r="AO85">
        <v>1190338</v>
      </c>
      <c r="AP85">
        <v>32693</v>
      </c>
      <c r="AQ85">
        <v>99449309</v>
      </c>
      <c r="AR85">
        <v>128938</v>
      </c>
      <c r="AS85">
        <v>649496</v>
      </c>
      <c r="AT85">
        <v>10378704</v>
      </c>
      <c r="AU85">
        <v>581580</v>
      </c>
      <c r="AV85">
        <v>462968</v>
      </c>
      <c r="AW85">
        <v>25216083</v>
      </c>
      <c r="AX85">
        <v>111294</v>
      </c>
      <c r="AY85">
        <v>4878925</v>
      </c>
      <c r="AZ85">
        <v>4042328</v>
      </c>
      <c r="BA85">
        <v>252838</v>
      </c>
      <c r="BB85">
        <v>144411</v>
      </c>
      <c r="BC85">
        <v>2354176</v>
      </c>
      <c r="BD85">
        <v>70660</v>
      </c>
      <c r="BE85">
        <v>13518407</v>
      </c>
      <c r="BF85">
        <v>1438761</v>
      </c>
      <c r="BG85">
        <v>255999</v>
      </c>
      <c r="BH85">
        <v>317772</v>
      </c>
      <c r="BI85">
        <v>1775800</v>
      </c>
      <c r="BJ85">
        <v>359697</v>
      </c>
      <c r="BK85">
        <v>118944</v>
      </c>
      <c r="BL85">
        <v>1198220</v>
      </c>
      <c r="BM85">
        <v>180960</v>
      </c>
      <c r="BN85">
        <v>10055168</v>
      </c>
      <c r="BO85">
        <v>8876603</v>
      </c>
      <c r="BP85">
        <v>263597464</v>
      </c>
      <c r="BQ85">
        <v>40074</v>
      </c>
      <c r="BR85">
        <v>92587</v>
      </c>
      <c r="BS85">
        <v>620506</v>
      </c>
      <c r="BU85">
        <v>1433517</v>
      </c>
      <c r="BV85">
        <v>1817916</v>
      </c>
      <c r="BW85">
        <v>12561175</v>
      </c>
      <c r="BX85">
        <v>4741651</v>
      </c>
      <c r="BY85">
        <v>16406735</v>
      </c>
      <c r="BZ85">
        <v>3100114</v>
      </c>
      <c r="CA85">
        <v>329982</v>
      </c>
      <c r="CB85">
        <v>4965381</v>
      </c>
      <c r="CC85">
        <v>129534</v>
      </c>
      <c r="CD85">
        <v>557178</v>
      </c>
      <c r="CE85">
        <v>857853</v>
      </c>
      <c r="CF85">
        <v>7503509</v>
      </c>
      <c r="CG85">
        <v>8535486</v>
      </c>
      <c r="CH85">
        <v>1213416</v>
      </c>
      <c r="CI85">
        <v>2721689</v>
      </c>
      <c r="CK85">
        <v>56972</v>
      </c>
    </row>
    <row r="86" spans="1:89" x14ac:dyDescent="0.3">
      <c r="A86" s="155">
        <v>343</v>
      </c>
      <c r="B86" t="s">
        <v>246</v>
      </c>
      <c r="D86">
        <v>0</v>
      </c>
      <c r="E86">
        <v>0</v>
      </c>
      <c r="F86">
        <v>0</v>
      </c>
      <c r="G86">
        <v>2830</v>
      </c>
      <c r="H86">
        <v>54086</v>
      </c>
      <c r="I86">
        <v>200749</v>
      </c>
      <c r="J86">
        <v>6019</v>
      </c>
      <c r="K86">
        <v>744658</v>
      </c>
      <c r="L86">
        <v>0</v>
      </c>
      <c r="M86">
        <v>588314</v>
      </c>
      <c r="N86">
        <v>85825</v>
      </c>
      <c r="O86">
        <v>16472489</v>
      </c>
      <c r="P86">
        <v>0</v>
      </c>
      <c r="Q86">
        <v>0</v>
      </c>
      <c r="R86">
        <v>79116</v>
      </c>
      <c r="S86">
        <v>0</v>
      </c>
      <c r="T86">
        <v>612500</v>
      </c>
      <c r="U86">
        <v>0</v>
      </c>
      <c r="V86">
        <v>0</v>
      </c>
      <c r="W86">
        <v>0</v>
      </c>
      <c r="X86">
        <v>5287365</v>
      </c>
      <c r="Y86">
        <v>139069000</v>
      </c>
      <c r="Z86">
        <v>88630</v>
      </c>
      <c r="AA86">
        <v>23360</v>
      </c>
      <c r="AB86">
        <v>368993</v>
      </c>
      <c r="AC86">
        <v>0</v>
      </c>
      <c r="AD86">
        <v>124010</v>
      </c>
      <c r="AE86">
        <v>12528</v>
      </c>
      <c r="AF86">
        <v>1304000</v>
      </c>
      <c r="AG86">
        <v>0</v>
      </c>
      <c r="AH86">
        <v>0</v>
      </c>
      <c r="AI86">
        <v>468659</v>
      </c>
      <c r="AJ86">
        <v>0</v>
      </c>
      <c r="AK86">
        <v>184528</v>
      </c>
      <c r="AL86">
        <v>0</v>
      </c>
      <c r="AM86">
        <v>0</v>
      </c>
      <c r="AN86">
        <v>0</v>
      </c>
      <c r="AO86">
        <v>43632</v>
      </c>
      <c r="AP86">
        <v>0</v>
      </c>
      <c r="AQ86">
        <v>2410733</v>
      </c>
      <c r="AR86">
        <v>0</v>
      </c>
      <c r="AS86">
        <v>0</v>
      </c>
      <c r="AT86">
        <v>3123577</v>
      </c>
      <c r="AU86">
        <v>0</v>
      </c>
      <c r="AV86">
        <v>0</v>
      </c>
      <c r="AW86">
        <v>2674518</v>
      </c>
      <c r="AX86">
        <v>0</v>
      </c>
      <c r="AY86">
        <v>2764746</v>
      </c>
      <c r="AZ86">
        <v>50000</v>
      </c>
      <c r="BA86">
        <v>0</v>
      </c>
      <c r="BB86">
        <v>0</v>
      </c>
      <c r="BC86">
        <v>157769</v>
      </c>
      <c r="BD86">
        <v>0</v>
      </c>
      <c r="BE86">
        <v>698652</v>
      </c>
      <c r="BF86">
        <v>31807</v>
      </c>
      <c r="BG86">
        <v>0</v>
      </c>
      <c r="BH86">
        <v>20000</v>
      </c>
      <c r="BI86">
        <v>38461</v>
      </c>
      <c r="BJ86">
        <v>0</v>
      </c>
      <c r="BK86">
        <v>0</v>
      </c>
      <c r="BL86">
        <v>28515</v>
      </c>
      <c r="BM86">
        <v>54758</v>
      </c>
      <c r="BN86">
        <v>0</v>
      </c>
      <c r="BO86">
        <v>1655068</v>
      </c>
      <c r="BP86">
        <v>60648175</v>
      </c>
      <c r="BQ86">
        <v>0</v>
      </c>
      <c r="BR86">
        <v>0</v>
      </c>
      <c r="BS86">
        <v>0</v>
      </c>
      <c r="BU86">
        <v>24093</v>
      </c>
      <c r="BV86">
        <v>0</v>
      </c>
      <c r="BW86">
        <v>913355</v>
      </c>
      <c r="BX86">
        <v>272894</v>
      </c>
      <c r="BY86">
        <v>1315065</v>
      </c>
      <c r="BZ86">
        <v>269513</v>
      </c>
      <c r="CA86">
        <v>6983</v>
      </c>
      <c r="CB86">
        <v>67467</v>
      </c>
      <c r="CC86">
        <v>0</v>
      </c>
      <c r="CD86">
        <v>62100</v>
      </c>
      <c r="CE86">
        <v>55560</v>
      </c>
      <c r="CF86">
        <v>70000</v>
      </c>
      <c r="CG86">
        <v>0</v>
      </c>
      <c r="CH86">
        <v>56667</v>
      </c>
      <c r="CI86">
        <v>0</v>
      </c>
      <c r="CK86">
        <v>0</v>
      </c>
    </row>
    <row r="87" spans="1:89" x14ac:dyDescent="0.3">
      <c r="A87" s="155">
        <v>344</v>
      </c>
      <c r="B87" t="s">
        <v>179</v>
      </c>
      <c r="D87">
        <v>0</v>
      </c>
      <c r="E87">
        <v>0</v>
      </c>
      <c r="F87">
        <v>0</v>
      </c>
      <c r="G87">
        <v>231</v>
      </c>
      <c r="H87">
        <v>627</v>
      </c>
      <c r="I87">
        <v>0</v>
      </c>
      <c r="J87">
        <v>1487</v>
      </c>
      <c r="K87">
        <v>111292</v>
      </c>
      <c r="L87">
        <v>0</v>
      </c>
      <c r="M87">
        <v>99469</v>
      </c>
      <c r="N87">
        <v>45279</v>
      </c>
      <c r="O87">
        <v>3023109</v>
      </c>
      <c r="P87">
        <v>0</v>
      </c>
      <c r="Q87">
        <v>0</v>
      </c>
      <c r="R87">
        <v>0</v>
      </c>
      <c r="S87">
        <v>0</v>
      </c>
      <c r="T87">
        <v>73643</v>
      </c>
      <c r="U87">
        <v>0</v>
      </c>
      <c r="V87">
        <v>0</v>
      </c>
      <c r="W87">
        <v>0</v>
      </c>
      <c r="X87">
        <v>1696386</v>
      </c>
      <c r="Y87">
        <v>48443000</v>
      </c>
      <c r="Z87">
        <v>0</v>
      </c>
      <c r="AA87">
        <v>0</v>
      </c>
      <c r="AB87">
        <v>96434</v>
      </c>
      <c r="AC87">
        <v>0</v>
      </c>
      <c r="AD87">
        <v>17379</v>
      </c>
      <c r="AE87">
        <v>835</v>
      </c>
      <c r="AF87">
        <v>300165</v>
      </c>
      <c r="AG87">
        <v>0</v>
      </c>
      <c r="AH87">
        <v>0</v>
      </c>
      <c r="AI87">
        <v>67583</v>
      </c>
      <c r="AJ87">
        <v>0</v>
      </c>
      <c r="AK87">
        <v>3133</v>
      </c>
      <c r="AL87">
        <v>0</v>
      </c>
      <c r="AM87">
        <v>0</v>
      </c>
      <c r="AN87">
        <v>0</v>
      </c>
      <c r="AO87">
        <v>5767</v>
      </c>
      <c r="AP87">
        <v>0</v>
      </c>
      <c r="AQ87">
        <v>637687</v>
      </c>
      <c r="AR87">
        <v>0</v>
      </c>
      <c r="AS87">
        <v>0</v>
      </c>
      <c r="AT87">
        <v>113358</v>
      </c>
      <c r="AU87">
        <v>0</v>
      </c>
      <c r="AV87">
        <v>0</v>
      </c>
      <c r="AW87">
        <v>476660</v>
      </c>
      <c r="AX87">
        <v>0</v>
      </c>
      <c r="AY87">
        <v>98560</v>
      </c>
      <c r="AZ87">
        <v>0</v>
      </c>
      <c r="BA87">
        <v>0</v>
      </c>
      <c r="BB87">
        <v>0</v>
      </c>
      <c r="BC87">
        <v>65260</v>
      </c>
      <c r="BD87">
        <v>0</v>
      </c>
      <c r="BE87">
        <v>186406</v>
      </c>
      <c r="BF87">
        <v>0</v>
      </c>
      <c r="BG87">
        <v>0</v>
      </c>
      <c r="BH87">
        <v>405</v>
      </c>
      <c r="BI87">
        <v>8887</v>
      </c>
      <c r="BJ87">
        <v>0</v>
      </c>
      <c r="BK87">
        <v>0</v>
      </c>
      <c r="BL87">
        <v>1531</v>
      </c>
      <c r="BM87">
        <v>0</v>
      </c>
      <c r="BN87">
        <v>71413</v>
      </c>
      <c r="BO87">
        <v>186172</v>
      </c>
      <c r="BP87">
        <v>6516610</v>
      </c>
      <c r="BQ87">
        <v>0</v>
      </c>
      <c r="BR87">
        <v>0</v>
      </c>
      <c r="BS87">
        <v>0</v>
      </c>
      <c r="BU87">
        <v>12417</v>
      </c>
      <c r="BV87">
        <v>0</v>
      </c>
      <c r="BW87">
        <v>119711</v>
      </c>
      <c r="BX87">
        <v>57844</v>
      </c>
      <c r="BY87">
        <v>130784</v>
      </c>
      <c r="BZ87">
        <v>82774</v>
      </c>
      <c r="CA87">
        <v>12186</v>
      </c>
      <c r="CB87">
        <v>3237</v>
      </c>
      <c r="CC87">
        <v>0</v>
      </c>
      <c r="CD87">
        <v>0</v>
      </c>
      <c r="CE87">
        <v>38310</v>
      </c>
      <c r="CF87">
        <v>14360</v>
      </c>
      <c r="CG87">
        <v>63922</v>
      </c>
      <c r="CH87">
        <v>6731</v>
      </c>
      <c r="CI87">
        <v>0</v>
      </c>
      <c r="CK87">
        <v>0</v>
      </c>
    </row>
    <row r="88" spans="1:89" x14ac:dyDescent="0.3">
      <c r="A88" s="155">
        <v>349</v>
      </c>
      <c r="B88" t="s">
        <v>114</v>
      </c>
      <c r="D88">
        <v>11630</v>
      </c>
      <c r="E88">
        <v>0</v>
      </c>
      <c r="F88">
        <v>49768</v>
      </c>
      <c r="G88">
        <v>86254</v>
      </c>
      <c r="H88">
        <v>428415</v>
      </c>
      <c r="I88">
        <v>5847799</v>
      </c>
      <c r="J88">
        <v>0</v>
      </c>
      <c r="K88">
        <v>31877046</v>
      </c>
      <c r="L88">
        <v>0</v>
      </c>
      <c r="M88">
        <v>0</v>
      </c>
      <c r="N88">
        <v>4411550</v>
      </c>
      <c r="O88">
        <v>333066859</v>
      </c>
      <c r="P88">
        <v>0</v>
      </c>
      <c r="Q88">
        <v>0</v>
      </c>
      <c r="R88">
        <v>0</v>
      </c>
      <c r="S88">
        <v>0</v>
      </c>
      <c r="T88">
        <v>0</v>
      </c>
      <c r="U88">
        <v>0</v>
      </c>
      <c r="V88">
        <v>8135</v>
      </c>
      <c r="W88">
        <v>3450482</v>
      </c>
      <c r="X88">
        <v>0</v>
      </c>
      <c r="Y88">
        <v>1871531000</v>
      </c>
      <c r="Z88">
        <v>7461967</v>
      </c>
      <c r="AA88">
        <v>0</v>
      </c>
      <c r="AB88">
        <v>0</v>
      </c>
      <c r="AC88">
        <v>5165126</v>
      </c>
      <c r="AD88">
        <v>303855</v>
      </c>
      <c r="AE88">
        <v>550535</v>
      </c>
      <c r="AF88">
        <v>29953042</v>
      </c>
      <c r="AG88">
        <v>0</v>
      </c>
      <c r="AH88">
        <v>56062</v>
      </c>
      <c r="AI88">
        <v>9978872</v>
      </c>
      <c r="AJ88">
        <v>636055</v>
      </c>
      <c r="AK88">
        <v>185351</v>
      </c>
      <c r="AL88">
        <v>680953</v>
      </c>
      <c r="AM88">
        <v>4016</v>
      </c>
      <c r="AN88">
        <v>3306506</v>
      </c>
      <c r="AO88">
        <v>5915052</v>
      </c>
      <c r="AP88">
        <v>0</v>
      </c>
      <c r="AQ88">
        <v>31402159</v>
      </c>
      <c r="AR88">
        <v>0</v>
      </c>
      <c r="AS88">
        <v>0</v>
      </c>
      <c r="AT88">
        <v>3865500</v>
      </c>
      <c r="AU88">
        <v>537410</v>
      </c>
      <c r="AV88">
        <v>0</v>
      </c>
      <c r="AW88">
        <v>0</v>
      </c>
      <c r="AX88">
        <v>206586</v>
      </c>
      <c r="AY88">
        <v>0</v>
      </c>
      <c r="AZ88">
        <v>0</v>
      </c>
      <c r="BA88">
        <v>271757</v>
      </c>
      <c r="BB88">
        <v>4250</v>
      </c>
      <c r="BC88">
        <v>3113410</v>
      </c>
      <c r="BD88">
        <v>0</v>
      </c>
      <c r="BE88">
        <v>0</v>
      </c>
      <c r="BF88">
        <v>2786799</v>
      </c>
      <c r="BG88">
        <v>0</v>
      </c>
      <c r="BH88">
        <v>0</v>
      </c>
      <c r="BI88">
        <v>3298463</v>
      </c>
      <c r="BJ88">
        <v>0</v>
      </c>
      <c r="BK88">
        <v>356533</v>
      </c>
      <c r="BL88">
        <v>452703</v>
      </c>
      <c r="BM88">
        <v>267315</v>
      </c>
      <c r="BN88">
        <v>0</v>
      </c>
      <c r="BO88">
        <v>12018806</v>
      </c>
      <c r="BP88">
        <v>388766717</v>
      </c>
      <c r="BQ88">
        <v>0</v>
      </c>
      <c r="BR88">
        <v>70172</v>
      </c>
      <c r="BS88">
        <v>56041</v>
      </c>
      <c r="BU88">
        <v>2357244</v>
      </c>
      <c r="BV88">
        <v>0</v>
      </c>
      <c r="BW88">
        <v>22270078</v>
      </c>
      <c r="BX88">
        <v>4499780</v>
      </c>
      <c r="BY88">
        <v>9243348</v>
      </c>
      <c r="BZ88">
        <v>1326932</v>
      </c>
      <c r="CA88">
        <v>632411</v>
      </c>
      <c r="CB88">
        <v>2437593</v>
      </c>
      <c r="CC88">
        <v>86092</v>
      </c>
      <c r="CD88">
        <v>1988297</v>
      </c>
      <c r="CE88">
        <v>3244249</v>
      </c>
      <c r="CF88">
        <v>614181</v>
      </c>
      <c r="CG88">
        <v>0</v>
      </c>
      <c r="CH88">
        <v>2000457</v>
      </c>
      <c r="CI88">
        <v>0</v>
      </c>
      <c r="CK88">
        <v>19762</v>
      </c>
    </row>
    <row r="89" spans="1:89" x14ac:dyDescent="0.3">
      <c r="A89" s="155">
        <v>350</v>
      </c>
      <c r="B89" t="s">
        <v>923</v>
      </c>
      <c r="D89">
        <v>0</v>
      </c>
      <c r="E89">
        <v>0</v>
      </c>
      <c r="F89">
        <v>2493</v>
      </c>
      <c r="G89">
        <v>167</v>
      </c>
      <c r="H89">
        <v>33</v>
      </c>
      <c r="I89">
        <v>18280</v>
      </c>
      <c r="J89">
        <v>0</v>
      </c>
      <c r="K89">
        <v>329367</v>
      </c>
      <c r="L89">
        <v>0</v>
      </c>
      <c r="M89">
        <v>0</v>
      </c>
      <c r="N89">
        <v>3080</v>
      </c>
      <c r="O89">
        <v>12216884</v>
      </c>
      <c r="P89">
        <v>0</v>
      </c>
      <c r="Q89">
        <v>0</v>
      </c>
      <c r="R89">
        <v>0</v>
      </c>
      <c r="S89">
        <v>0</v>
      </c>
      <c r="T89">
        <v>0</v>
      </c>
      <c r="U89">
        <v>0</v>
      </c>
      <c r="V89">
        <v>1</v>
      </c>
      <c r="W89">
        <v>1514</v>
      </c>
      <c r="X89">
        <v>0</v>
      </c>
      <c r="Y89">
        <v>1640000</v>
      </c>
      <c r="Z89">
        <v>773</v>
      </c>
      <c r="AA89">
        <v>39</v>
      </c>
      <c r="AB89">
        <v>0</v>
      </c>
      <c r="AC89">
        <v>0</v>
      </c>
      <c r="AD89">
        <v>138959</v>
      </c>
      <c r="AE89">
        <v>1346</v>
      </c>
      <c r="AF89">
        <v>3086535</v>
      </c>
      <c r="AG89">
        <v>0</v>
      </c>
      <c r="AH89">
        <v>8975</v>
      </c>
      <c r="AI89">
        <v>1332</v>
      </c>
      <c r="AJ89">
        <v>1909</v>
      </c>
      <c r="AK89">
        <v>966</v>
      </c>
      <c r="AL89">
        <v>154</v>
      </c>
      <c r="AM89">
        <v>68</v>
      </c>
      <c r="AN89">
        <v>190481</v>
      </c>
      <c r="AO89">
        <v>6243</v>
      </c>
      <c r="AP89">
        <v>0</v>
      </c>
      <c r="AQ89">
        <v>215879</v>
      </c>
      <c r="AR89">
        <v>0</v>
      </c>
      <c r="AS89">
        <v>0</v>
      </c>
      <c r="AT89">
        <v>6038</v>
      </c>
      <c r="AU89">
        <v>1565</v>
      </c>
      <c r="AV89">
        <v>0</v>
      </c>
      <c r="AW89">
        <v>0</v>
      </c>
      <c r="AX89">
        <v>42</v>
      </c>
      <c r="AY89">
        <v>0</v>
      </c>
      <c r="AZ89">
        <v>0</v>
      </c>
      <c r="BA89">
        <v>31823</v>
      </c>
      <c r="BB89">
        <v>0</v>
      </c>
      <c r="BC89">
        <v>97702</v>
      </c>
      <c r="BD89">
        <v>0</v>
      </c>
      <c r="BE89">
        <v>0</v>
      </c>
      <c r="BF89">
        <v>40461</v>
      </c>
      <c r="BG89">
        <v>0</v>
      </c>
      <c r="BH89">
        <v>0</v>
      </c>
      <c r="BI89">
        <v>58585</v>
      </c>
      <c r="BJ89">
        <v>0</v>
      </c>
      <c r="BK89">
        <v>0</v>
      </c>
      <c r="BL89">
        <v>0</v>
      </c>
      <c r="BM89">
        <v>1330</v>
      </c>
      <c r="BN89">
        <v>0</v>
      </c>
      <c r="BO89">
        <v>435739</v>
      </c>
      <c r="BP89">
        <v>11447232</v>
      </c>
      <c r="BQ89">
        <v>0</v>
      </c>
      <c r="BR89">
        <v>0</v>
      </c>
      <c r="BS89">
        <v>100</v>
      </c>
      <c r="BU89">
        <v>286</v>
      </c>
      <c r="BV89">
        <v>0</v>
      </c>
      <c r="BW89">
        <v>199758</v>
      </c>
      <c r="BX89">
        <v>141469</v>
      </c>
      <c r="BY89">
        <v>206129</v>
      </c>
      <c r="BZ89">
        <v>0</v>
      </c>
      <c r="CA89">
        <v>40</v>
      </c>
      <c r="CB89">
        <v>26304</v>
      </c>
      <c r="CC89">
        <v>2642</v>
      </c>
      <c r="CD89">
        <v>30591</v>
      </c>
      <c r="CE89">
        <v>10000</v>
      </c>
      <c r="CF89">
        <v>167019</v>
      </c>
      <c r="CG89">
        <v>0</v>
      </c>
      <c r="CH89">
        <v>0</v>
      </c>
      <c r="CI89">
        <v>0</v>
      </c>
      <c r="CK89">
        <v>250</v>
      </c>
    </row>
    <row r="90" spans="1:89" x14ac:dyDescent="0.3">
      <c r="A90" s="155">
        <v>351</v>
      </c>
      <c r="B90" t="s">
        <v>223</v>
      </c>
      <c r="D90">
        <v>0</v>
      </c>
      <c r="E90">
        <v>0</v>
      </c>
      <c r="F90">
        <v>0</v>
      </c>
      <c r="G90">
        <v>0</v>
      </c>
      <c r="H90">
        <v>27172</v>
      </c>
      <c r="I90">
        <v>60885</v>
      </c>
      <c r="J90">
        <v>0</v>
      </c>
      <c r="K90">
        <v>1060635</v>
      </c>
      <c r="L90">
        <v>0</v>
      </c>
      <c r="M90">
        <v>0</v>
      </c>
      <c r="N90">
        <v>74286</v>
      </c>
      <c r="O90">
        <v>11971860</v>
      </c>
      <c r="P90">
        <v>0</v>
      </c>
      <c r="Q90">
        <v>0</v>
      </c>
      <c r="R90">
        <v>0</v>
      </c>
      <c r="S90">
        <v>0</v>
      </c>
      <c r="T90">
        <v>0</v>
      </c>
      <c r="U90">
        <v>0</v>
      </c>
      <c r="V90">
        <v>0</v>
      </c>
      <c r="W90">
        <v>119123</v>
      </c>
      <c r="X90">
        <v>0</v>
      </c>
      <c r="Y90">
        <v>50994000</v>
      </c>
      <c r="Z90">
        <v>17781</v>
      </c>
      <c r="AA90">
        <v>0</v>
      </c>
      <c r="AB90">
        <v>0</v>
      </c>
      <c r="AC90">
        <v>177230</v>
      </c>
      <c r="AD90">
        <v>0</v>
      </c>
      <c r="AE90">
        <v>0</v>
      </c>
      <c r="AF90">
        <v>840642</v>
      </c>
      <c r="AG90">
        <v>0</v>
      </c>
      <c r="AH90">
        <v>0</v>
      </c>
      <c r="AI90">
        <v>168129</v>
      </c>
      <c r="AJ90">
        <v>39</v>
      </c>
      <c r="AK90">
        <v>0</v>
      </c>
      <c r="AL90">
        <v>18219</v>
      </c>
      <c r="AM90">
        <v>0</v>
      </c>
      <c r="AN90">
        <v>66290</v>
      </c>
      <c r="AO90">
        <v>52225</v>
      </c>
      <c r="AP90">
        <v>0</v>
      </c>
      <c r="AQ90">
        <v>896337</v>
      </c>
      <c r="AR90">
        <v>0</v>
      </c>
      <c r="AS90">
        <v>0</v>
      </c>
      <c r="AT90">
        <v>2596</v>
      </c>
      <c r="AU90">
        <v>0</v>
      </c>
      <c r="AV90">
        <v>0</v>
      </c>
      <c r="AW90">
        <v>0</v>
      </c>
      <c r="AX90">
        <v>0</v>
      </c>
      <c r="AY90">
        <v>0</v>
      </c>
      <c r="AZ90">
        <v>0</v>
      </c>
      <c r="BA90">
        <v>0</v>
      </c>
      <c r="BB90">
        <v>0</v>
      </c>
      <c r="BC90">
        <v>94276</v>
      </c>
      <c r="BD90">
        <v>0</v>
      </c>
      <c r="BE90">
        <v>0</v>
      </c>
      <c r="BF90">
        <v>37523</v>
      </c>
      <c r="BG90">
        <v>0</v>
      </c>
      <c r="BH90">
        <v>0</v>
      </c>
      <c r="BI90">
        <v>135957</v>
      </c>
      <c r="BJ90">
        <v>0</v>
      </c>
      <c r="BK90">
        <v>0</v>
      </c>
      <c r="BL90">
        <v>0</v>
      </c>
      <c r="BM90">
        <v>0</v>
      </c>
      <c r="BN90">
        <v>0</v>
      </c>
      <c r="BO90">
        <v>191269</v>
      </c>
      <c r="BP90">
        <v>7820163</v>
      </c>
      <c r="BQ90">
        <v>0</v>
      </c>
      <c r="BR90">
        <v>0</v>
      </c>
      <c r="BS90">
        <v>0</v>
      </c>
      <c r="BU90">
        <v>59524</v>
      </c>
      <c r="BV90">
        <v>0</v>
      </c>
      <c r="BW90">
        <v>143787</v>
      </c>
      <c r="BX90">
        <v>54904</v>
      </c>
      <c r="BY90">
        <v>47285</v>
      </c>
      <c r="BZ90">
        <v>157837</v>
      </c>
      <c r="CA90">
        <v>9677</v>
      </c>
      <c r="CB90">
        <v>50771</v>
      </c>
      <c r="CC90">
        <v>0</v>
      </c>
      <c r="CD90">
        <v>50600</v>
      </c>
      <c r="CE90">
        <v>117542</v>
      </c>
      <c r="CF90">
        <v>0</v>
      </c>
      <c r="CG90">
        <v>0</v>
      </c>
      <c r="CH90">
        <v>84600</v>
      </c>
      <c r="CI90">
        <v>0</v>
      </c>
      <c r="CK90">
        <v>0</v>
      </c>
    </row>
    <row r="91" spans="1:89" x14ac:dyDescent="0.3">
      <c r="A91" s="155">
        <v>352</v>
      </c>
      <c r="B91" t="s">
        <v>225</v>
      </c>
      <c r="D91">
        <v>0</v>
      </c>
      <c r="E91">
        <v>0</v>
      </c>
      <c r="F91">
        <v>0</v>
      </c>
      <c r="G91">
        <v>0</v>
      </c>
      <c r="H91">
        <v>0</v>
      </c>
      <c r="I91">
        <v>0</v>
      </c>
      <c r="J91">
        <v>0</v>
      </c>
      <c r="K91">
        <v>550000</v>
      </c>
      <c r="L91">
        <v>0</v>
      </c>
      <c r="M91">
        <v>0</v>
      </c>
      <c r="N91">
        <v>0</v>
      </c>
      <c r="O91">
        <v>70000</v>
      </c>
      <c r="P91">
        <v>0</v>
      </c>
      <c r="Q91">
        <v>0</v>
      </c>
      <c r="R91">
        <v>0</v>
      </c>
      <c r="S91">
        <v>0</v>
      </c>
      <c r="T91">
        <v>0</v>
      </c>
      <c r="U91">
        <v>0</v>
      </c>
      <c r="V91">
        <v>37557</v>
      </c>
      <c r="W91">
        <v>0</v>
      </c>
      <c r="X91">
        <v>0</v>
      </c>
      <c r="Y91">
        <v>0</v>
      </c>
      <c r="Z91">
        <v>0</v>
      </c>
      <c r="AA91">
        <v>3892</v>
      </c>
      <c r="AB91">
        <v>0</v>
      </c>
      <c r="AC91">
        <v>0</v>
      </c>
      <c r="AD91">
        <v>36931</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U91">
        <v>0</v>
      </c>
      <c r="BV91">
        <v>0</v>
      </c>
      <c r="BW91">
        <v>0</v>
      </c>
      <c r="BX91">
        <v>0</v>
      </c>
      <c r="BY91">
        <v>0</v>
      </c>
      <c r="BZ91">
        <v>0</v>
      </c>
      <c r="CA91">
        <v>0</v>
      </c>
      <c r="CB91">
        <v>0</v>
      </c>
      <c r="CC91">
        <v>0</v>
      </c>
      <c r="CD91">
        <v>0</v>
      </c>
      <c r="CE91">
        <v>0</v>
      </c>
      <c r="CF91">
        <v>0</v>
      </c>
      <c r="CG91">
        <v>0</v>
      </c>
      <c r="CH91">
        <v>0</v>
      </c>
      <c r="CI91">
        <v>0</v>
      </c>
      <c r="CK91">
        <v>11250</v>
      </c>
    </row>
    <row r="92" spans="1:89" x14ac:dyDescent="0.3">
      <c r="A92" s="155">
        <v>353</v>
      </c>
      <c r="B92" t="s">
        <v>226</v>
      </c>
      <c r="D92">
        <v>0</v>
      </c>
      <c r="E92">
        <v>0</v>
      </c>
      <c r="F92">
        <v>0</v>
      </c>
      <c r="G92">
        <v>0</v>
      </c>
      <c r="H92">
        <v>0</v>
      </c>
      <c r="I92">
        <v>0</v>
      </c>
      <c r="J92">
        <v>0</v>
      </c>
      <c r="K92">
        <v>725000</v>
      </c>
      <c r="L92">
        <v>0</v>
      </c>
      <c r="M92">
        <v>0</v>
      </c>
      <c r="N92">
        <v>0</v>
      </c>
      <c r="O92">
        <v>5000000</v>
      </c>
      <c r="P92">
        <v>0</v>
      </c>
      <c r="Q92">
        <v>0</v>
      </c>
      <c r="R92">
        <v>0</v>
      </c>
      <c r="S92">
        <v>0</v>
      </c>
      <c r="T92">
        <v>0</v>
      </c>
      <c r="U92">
        <v>0</v>
      </c>
      <c r="V92">
        <v>0</v>
      </c>
      <c r="W92">
        <v>0</v>
      </c>
      <c r="X92">
        <v>0</v>
      </c>
      <c r="Y92">
        <v>345000</v>
      </c>
      <c r="Z92">
        <v>0</v>
      </c>
      <c r="AA92">
        <v>0</v>
      </c>
      <c r="AB92">
        <v>0</v>
      </c>
      <c r="AC92">
        <v>0</v>
      </c>
      <c r="AD92">
        <v>0</v>
      </c>
      <c r="AE92">
        <v>0</v>
      </c>
      <c r="AF92">
        <v>0</v>
      </c>
      <c r="AG92">
        <v>0</v>
      </c>
      <c r="AH92">
        <v>0</v>
      </c>
      <c r="AI92">
        <v>0</v>
      </c>
      <c r="AJ92">
        <v>0</v>
      </c>
      <c r="AK92">
        <v>3076</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1008706</v>
      </c>
      <c r="BQ92">
        <v>0</v>
      </c>
      <c r="BR92">
        <v>0</v>
      </c>
      <c r="BS92">
        <v>0</v>
      </c>
      <c r="BU92">
        <v>0</v>
      </c>
      <c r="BV92">
        <v>0</v>
      </c>
      <c r="BW92">
        <v>0</v>
      </c>
      <c r="BX92">
        <v>0</v>
      </c>
      <c r="BY92">
        <v>0</v>
      </c>
      <c r="BZ92">
        <v>0</v>
      </c>
      <c r="CA92">
        <v>0</v>
      </c>
      <c r="CB92">
        <v>0</v>
      </c>
      <c r="CC92">
        <v>0</v>
      </c>
      <c r="CD92">
        <v>0</v>
      </c>
      <c r="CE92">
        <v>0</v>
      </c>
      <c r="CF92">
        <v>0</v>
      </c>
      <c r="CG92">
        <v>0</v>
      </c>
      <c r="CH92">
        <v>0</v>
      </c>
      <c r="CI92">
        <v>0</v>
      </c>
      <c r="CK92">
        <v>0</v>
      </c>
    </row>
    <row r="93" spans="1:89" x14ac:dyDescent="0.3">
      <c r="A93" s="155">
        <v>356</v>
      </c>
      <c r="B93" t="s">
        <v>307</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4498622</v>
      </c>
      <c r="AA93">
        <v>0</v>
      </c>
      <c r="AB93">
        <v>0</v>
      </c>
      <c r="AC93">
        <v>0</v>
      </c>
      <c r="AD93">
        <v>0</v>
      </c>
      <c r="AE93">
        <v>0</v>
      </c>
      <c r="AF93">
        <v>23607429</v>
      </c>
      <c r="AG93">
        <v>0</v>
      </c>
      <c r="AH93">
        <v>0</v>
      </c>
      <c r="AI93">
        <v>0</v>
      </c>
      <c r="AJ93">
        <v>0</v>
      </c>
      <c r="AK93">
        <v>0</v>
      </c>
      <c r="AL93">
        <v>0</v>
      </c>
      <c r="AM93">
        <v>0</v>
      </c>
      <c r="AN93">
        <v>0</v>
      </c>
      <c r="AO93">
        <v>0</v>
      </c>
      <c r="AP93">
        <v>0</v>
      </c>
      <c r="AQ93">
        <v>156073786</v>
      </c>
      <c r="AR93">
        <v>0</v>
      </c>
      <c r="AS93">
        <v>0</v>
      </c>
      <c r="AT93">
        <v>0</v>
      </c>
      <c r="AU93">
        <v>0</v>
      </c>
      <c r="AV93">
        <v>0</v>
      </c>
      <c r="AW93">
        <v>12515849</v>
      </c>
      <c r="AX93">
        <v>0</v>
      </c>
      <c r="AY93">
        <v>0</v>
      </c>
      <c r="AZ93">
        <v>0</v>
      </c>
      <c r="BA93">
        <v>0</v>
      </c>
      <c r="BB93">
        <v>0</v>
      </c>
      <c r="BC93">
        <v>11074608</v>
      </c>
      <c r="BD93">
        <v>0</v>
      </c>
      <c r="BE93">
        <v>0</v>
      </c>
      <c r="BF93">
        <v>0</v>
      </c>
      <c r="BG93">
        <v>0</v>
      </c>
      <c r="BH93">
        <v>0</v>
      </c>
      <c r="BI93">
        <v>0</v>
      </c>
      <c r="BJ93">
        <v>0</v>
      </c>
      <c r="BK93">
        <v>0</v>
      </c>
      <c r="BL93">
        <v>1510822</v>
      </c>
      <c r="BM93">
        <v>0</v>
      </c>
      <c r="BN93">
        <v>0</v>
      </c>
      <c r="BO93">
        <v>0</v>
      </c>
      <c r="BP93">
        <v>0</v>
      </c>
      <c r="BQ93">
        <v>0</v>
      </c>
      <c r="BR93">
        <v>0</v>
      </c>
      <c r="BS93">
        <v>0</v>
      </c>
      <c r="BU93">
        <v>0</v>
      </c>
      <c r="BV93">
        <v>0</v>
      </c>
      <c r="BW93">
        <v>0</v>
      </c>
      <c r="BX93">
        <v>11665104</v>
      </c>
      <c r="BY93">
        <v>49043631</v>
      </c>
      <c r="BZ93">
        <v>0</v>
      </c>
      <c r="CA93">
        <v>0</v>
      </c>
      <c r="CB93">
        <v>0</v>
      </c>
      <c r="CC93">
        <v>0</v>
      </c>
      <c r="CD93">
        <v>0</v>
      </c>
      <c r="CE93">
        <v>0</v>
      </c>
      <c r="CF93">
        <v>0</v>
      </c>
      <c r="CG93">
        <v>0</v>
      </c>
      <c r="CH93">
        <v>2971704</v>
      </c>
      <c r="CI93">
        <v>0</v>
      </c>
      <c r="CK93">
        <v>0</v>
      </c>
    </row>
    <row r="94" spans="1:89" x14ac:dyDescent="0.3">
      <c r="A94" s="155">
        <v>357</v>
      </c>
      <c r="B94" t="s">
        <v>308</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2964015</v>
      </c>
      <c r="AA94">
        <v>0</v>
      </c>
      <c r="AB94">
        <v>0</v>
      </c>
      <c r="AC94">
        <v>0</v>
      </c>
      <c r="AD94">
        <v>0</v>
      </c>
      <c r="AE94">
        <v>0</v>
      </c>
      <c r="AF94">
        <v>8129626</v>
      </c>
      <c r="AG94">
        <v>0</v>
      </c>
      <c r="AH94">
        <v>0</v>
      </c>
      <c r="AI94">
        <v>0</v>
      </c>
      <c r="AJ94">
        <v>0</v>
      </c>
      <c r="AK94">
        <v>0</v>
      </c>
      <c r="AL94">
        <v>0</v>
      </c>
      <c r="AM94">
        <v>0</v>
      </c>
      <c r="AN94">
        <v>0</v>
      </c>
      <c r="AO94">
        <v>0</v>
      </c>
      <c r="AP94">
        <v>0</v>
      </c>
      <c r="AQ94">
        <v>94848688</v>
      </c>
      <c r="AR94">
        <v>0</v>
      </c>
      <c r="AS94">
        <v>0</v>
      </c>
      <c r="AT94">
        <v>0</v>
      </c>
      <c r="AU94">
        <v>0</v>
      </c>
      <c r="AV94">
        <v>0</v>
      </c>
      <c r="AW94">
        <v>7560077</v>
      </c>
      <c r="AX94">
        <v>0</v>
      </c>
      <c r="AY94">
        <v>0</v>
      </c>
      <c r="AZ94">
        <v>0</v>
      </c>
      <c r="BA94">
        <v>0</v>
      </c>
      <c r="BB94">
        <v>0</v>
      </c>
      <c r="BC94">
        <v>6017222</v>
      </c>
      <c r="BD94">
        <v>0</v>
      </c>
      <c r="BE94">
        <v>0</v>
      </c>
      <c r="BF94">
        <v>0</v>
      </c>
      <c r="BG94">
        <v>0</v>
      </c>
      <c r="BH94">
        <v>0</v>
      </c>
      <c r="BI94">
        <v>0</v>
      </c>
      <c r="BJ94">
        <v>0</v>
      </c>
      <c r="BK94">
        <v>0</v>
      </c>
      <c r="BL94">
        <v>1275683</v>
      </c>
      <c r="BM94">
        <v>0</v>
      </c>
      <c r="BN94">
        <v>0</v>
      </c>
      <c r="BO94">
        <v>0</v>
      </c>
      <c r="BP94">
        <v>0</v>
      </c>
      <c r="BQ94">
        <v>0</v>
      </c>
      <c r="BR94">
        <v>0</v>
      </c>
      <c r="BS94">
        <v>0</v>
      </c>
      <c r="BU94">
        <v>0</v>
      </c>
      <c r="BV94">
        <v>0</v>
      </c>
      <c r="BW94">
        <v>0</v>
      </c>
      <c r="BX94">
        <v>8359301</v>
      </c>
      <c r="BY94">
        <v>32711524</v>
      </c>
      <c r="BZ94">
        <v>0</v>
      </c>
      <c r="CA94">
        <v>0</v>
      </c>
      <c r="CB94">
        <v>0</v>
      </c>
      <c r="CC94">
        <v>0</v>
      </c>
      <c r="CD94">
        <v>0</v>
      </c>
      <c r="CE94">
        <v>0</v>
      </c>
      <c r="CF94">
        <v>0</v>
      </c>
      <c r="CG94">
        <v>0</v>
      </c>
      <c r="CH94">
        <v>2776606</v>
      </c>
      <c r="CI94">
        <v>0</v>
      </c>
      <c r="CK94">
        <v>0</v>
      </c>
    </row>
    <row r="95" spans="1:89" x14ac:dyDescent="0.3">
      <c r="A95" s="155">
        <v>359</v>
      </c>
      <c r="B95" t="s">
        <v>247</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5511513</v>
      </c>
      <c r="AG95">
        <v>0</v>
      </c>
      <c r="AH95">
        <v>0</v>
      </c>
      <c r="AI95">
        <v>0</v>
      </c>
      <c r="AJ95">
        <v>0</v>
      </c>
      <c r="AK95">
        <v>0</v>
      </c>
      <c r="AL95">
        <v>0</v>
      </c>
      <c r="AM95">
        <v>0</v>
      </c>
      <c r="AN95">
        <v>0</v>
      </c>
      <c r="AO95">
        <v>0</v>
      </c>
      <c r="AP95">
        <v>0</v>
      </c>
      <c r="AQ95">
        <v>11106993</v>
      </c>
      <c r="AR95">
        <v>0</v>
      </c>
      <c r="AS95">
        <v>0</v>
      </c>
      <c r="AT95">
        <v>0</v>
      </c>
      <c r="AU95">
        <v>0</v>
      </c>
      <c r="AV95">
        <v>0</v>
      </c>
      <c r="AW95">
        <v>250000</v>
      </c>
      <c r="AX95">
        <v>0</v>
      </c>
      <c r="AY95">
        <v>0</v>
      </c>
      <c r="AZ95">
        <v>0</v>
      </c>
      <c r="BA95">
        <v>0</v>
      </c>
      <c r="BB95">
        <v>0</v>
      </c>
      <c r="BC95">
        <v>110490</v>
      </c>
      <c r="BD95">
        <v>0</v>
      </c>
      <c r="BE95">
        <v>0</v>
      </c>
      <c r="BF95">
        <v>0</v>
      </c>
      <c r="BG95">
        <v>0</v>
      </c>
      <c r="BH95">
        <v>0</v>
      </c>
      <c r="BI95">
        <v>0</v>
      </c>
      <c r="BJ95">
        <v>0</v>
      </c>
      <c r="BK95">
        <v>0</v>
      </c>
      <c r="BL95">
        <v>0</v>
      </c>
      <c r="BM95">
        <v>0</v>
      </c>
      <c r="BN95">
        <v>0</v>
      </c>
      <c r="BO95">
        <v>0</v>
      </c>
      <c r="BP95">
        <v>0</v>
      </c>
      <c r="BQ95">
        <v>0</v>
      </c>
      <c r="BR95">
        <v>0</v>
      </c>
      <c r="BS95">
        <v>0</v>
      </c>
      <c r="BU95">
        <v>0</v>
      </c>
      <c r="BV95">
        <v>0</v>
      </c>
      <c r="BW95">
        <v>0</v>
      </c>
      <c r="BX95">
        <v>170556</v>
      </c>
      <c r="BY95">
        <v>2110303</v>
      </c>
      <c r="BZ95">
        <v>0</v>
      </c>
      <c r="CA95">
        <v>0</v>
      </c>
      <c r="CB95">
        <v>0</v>
      </c>
      <c r="CC95">
        <v>0</v>
      </c>
      <c r="CD95">
        <v>0</v>
      </c>
      <c r="CE95">
        <v>0</v>
      </c>
      <c r="CF95">
        <v>0</v>
      </c>
      <c r="CG95">
        <v>0</v>
      </c>
      <c r="CH95">
        <v>0</v>
      </c>
      <c r="CI95">
        <v>0</v>
      </c>
      <c r="CK95">
        <v>0</v>
      </c>
    </row>
    <row r="96" spans="1:89" x14ac:dyDescent="0.3">
      <c r="A96" s="155">
        <v>360</v>
      </c>
      <c r="B96" t="s">
        <v>117</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1160208</v>
      </c>
      <c r="AA96">
        <v>0</v>
      </c>
      <c r="AB96">
        <v>0</v>
      </c>
      <c r="AC96">
        <v>0</v>
      </c>
      <c r="AD96">
        <v>0</v>
      </c>
      <c r="AE96">
        <v>0</v>
      </c>
      <c r="AF96">
        <v>8210103</v>
      </c>
      <c r="AG96">
        <v>0</v>
      </c>
      <c r="AH96">
        <v>0</v>
      </c>
      <c r="AI96">
        <v>0</v>
      </c>
      <c r="AJ96">
        <v>0</v>
      </c>
      <c r="AK96">
        <v>0</v>
      </c>
      <c r="AL96">
        <v>0</v>
      </c>
      <c r="AM96">
        <v>0</v>
      </c>
      <c r="AN96">
        <v>0</v>
      </c>
      <c r="AO96">
        <v>0</v>
      </c>
      <c r="AP96">
        <v>0</v>
      </c>
      <c r="AQ96">
        <v>22749083</v>
      </c>
      <c r="AR96">
        <v>0</v>
      </c>
      <c r="AS96">
        <v>0</v>
      </c>
      <c r="AT96">
        <v>0</v>
      </c>
      <c r="AU96">
        <v>0</v>
      </c>
      <c r="AV96">
        <v>0</v>
      </c>
      <c r="AW96">
        <v>1435065</v>
      </c>
      <c r="AX96">
        <v>0</v>
      </c>
      <c r="AY96">
        <v>0</v>
      </c>
      <c r="AZ96">
        <v>0</v>
      </c>
      <c r="BA96">
        <v>0</v>
      </c>
      <c r="BB96">
        <v>0</v>
      </c>
      <c r="BC96">
        <v>896590</v>
      </c>
      <c r="BD96">
        <v>0</v>
      </c>
      <c r="BE96">
        <v>0</v>
      </c>
      <c r="BF96">
        <v>0</v>
      </c>
      <c r="BG96">
        <v>0</v>
      </c>
      <c r="BH96">
        <v>0</v>
      </c>
      <c r="BI96">
        <v>0</v>
      </c>
      <c r="BJ96">
        <v>0</v>
      </c>
      <c r="BK96">
        <v>0</v>
      </c>
      <c r="BL96">
        <v>383647</v>
      </c>
      <c r="BM96">
        <v>0</v>
      </c>
      <c r="BN96">
        <v>0</v>
      </c>
      <c r="BO96">
        <v>0</v>
      </c>
      <c r="BP96">
        <v>0</v>
      </c>
      <c r="BQ96">
        <v>0</v>
      </c>
      <c r="BR96">
        <v>0</v>
      </c>
      <c r="BS96">
        <v>0</v>
      </c>
      <c r="BU96">
        <v>0</v>
      </c>
      <c r="BV96">
        <v>0</v>
      </c>
      <c r="BW96">
        <v>0</v>
      </c>
      <c r="BX96">
        <v>1844242</v>
      </c>
      <c r="BY96">
        <v>11410288</v>
      </c>
      <c r="BZ96">
        <v>0</v>
      </c>
      <c r="CA96">
        <v>0</v>
      </c>
      <c r="CB96">
        <v>0</v>
      </c>
      <c r="CC96">
        <v>0</v>
      </c>
      <c r="CD96">
        <v>0</v>
      </c>
      <c r="CE96">
        <v>0</v>
      </c>
      <c r="CF96">
        <v>0</v>
      </c>
      <c r="CG96">
        <v>0</v>
      </c>
      <c r="CH96">
        <v>798331</v>
      </c>
      <c r="CI96">
        <v>0</v>
      </c>
      <c r="CK96">
        <v>0</v>
      </c>
    </row>
    <row r="97" spans="1:89" x14ac:dyDescent="0.3">
      <c r="A97" s="155">
        <v>361</v>
      </c>
      <c r="B97" t="s">
        <v>98</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3791915</v>
      </c>
      <c r="AA97">
        <v>0</v>
      </c>
      <c r="AB97">
        <v>0</v>
      </c>
      <c r="AC97">
        <v>0</v>
      </c>
      <c r="AD97">
        <v>0</v>
      </c>
      <c r="AE97">
        <v>0</v>
      </c>
      <c r="AF97">
        <v>564030</v>
      </c>
      <c r="AG97">
        <v>0</v>
      </c>
      <c r="AH97">
        <v>0</v>
      </c>
      <c r="AI97">
        <v>0</v>
      </c>
      <c r="AJ97">
        <v>0</v>
      </c>
      <c r="AK97">
        <v>0</v>
      </c>
      <c r="AL97">
        <v>0</v>
      </c>
      <c r="AM97">
        <v>0</v>
      </c>
      <c r="AN97">
        <v>0</v>
      </c>
      <c r="AO97">
        <v>0</v>
      </c>
      <c r="AP97">
        <v>0</v>
      </c>
      <c r="AQ97">
        <v>132500863</v>
      </c>
      <c r="AR97">
        <v>0</v>
      </c>
      <c r="AS97">
        <v>0</v>
      </c>
      <c r="AT97">
        <v>0</v>
      </c>
      <c r="AU97">
        <v>0</v>
      </c>
      <c r="AV97">
        <v>0</v>
      </c>
      <c r="AW97">
        <v>5369119</v>
      </c>
      <c r="AX97">
        <v>0</v>
      </c>
      <c r="AY97">
        <v>0</v>
      </c>
      <c r="AZ97">
        <v>0</v>
      </c>
      <c r="BA97">
        <v>0</v>
      </c>
      <c r="BB97">
        <v>0</v>
      </c>
      <c r="BC97">
        <v>5018703</v>
      </c>
      <c r="BD97">
        <v>0</v>
      </c>
      <c r="BE97">
        <v>0</v>
      </c>
      <c r="BF97">
        <v>0</v>
      </c>
      <c r="BG97">
        <v>0</v>
      </c>
      <c r="BH97">
        <v>0</v>
      </c>
      <c r="BI97">
        <v>0</v>
      </c>
      <c r="BJ97">
        <v>0</v>
      </c>
      <c r="BK97">
        <v>0</v>
      </c>
      <c r="BL97">
        <v>3789836</v>
      </c>
      <c r="BM97">
        <v>0</v>
      </c>
      <c r="BN97">
        <v>0</v>
      </c>
      <c r="BO97">
        <v>0</v>
      </c>
      <c r="BP97">
        <v>0</v>
      </c>
      <c r="BQ97">
        <v>0</v>
      </c>
      <c r="BR97">
        <v>0</v>
      </c>
      <c r="BS97">
        <v>0</v>
      </c>
      <c r="BU97">
        <v>0</v>
      </c>
      <c r="BV97">
        <v>0</v>
      </c>
      <c r="BW97">
        <v>0</v>
      </c>
      <c r="BX97">
        <v>1564746</v>
      </c>
      <c r="BY97">
        <v>8227181</v>
      </c>
      <c r="BZ97">
        <v>0</v>
      </c>
      <c r="CA97">
        <v>0</v>
      </c>
      <c r="CB97">
        <v>0</v>
      </c>
      <c r="CC97">
        <v>0</v>
      </c>
      <c r="CD97">
        <v>0</v>
      </c>
      <c r="CE97">
        <v>0</v>
      </c>
      <c r="CF97">
        <v>0</v>
      </c>
      <c r="CG97">
        <v>0</v>
      </c>
      <c r="CH97">
        <v>7386421</v>
      </c>
      <c r="CI97">
        <v>0</v>
      </c>
      <c r="CK97">
        <v>0</v>
      </c>
    </row>
    <row r="98" spans="1:89" x14ac:dyDescent="0.3">
      <c r="A98" s="155">
        <v>362</v>
      </c>
      <c r="B98" t="s">
        <v>99</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5364000</v>
      </c>
      <c r="AA98">
        <v>0</v>
      </c>
      <c r="AB98">
        <v>0</v>
      </c>
      <c r="AC98">
        <v>0</v>
      </c>
      <c r="AD98">
        <v>0</v>
      </c>
      <c r="AE98">
        <v>0</v>
      </c>
      <c r="AF98">
        <v>16700673</v>
      </c>
      <c r="AG98">
        <v>0</v>
      </c>
      <c r="AH98">
        <v>0</v>
      </c>
      <c r="AI98">
        <v>0</v>
      </c>
      <c r="AJ98">
        <v>0</v>
      </c>
      <c r="AK98">
        <v>0</v>
      </c>
      <c r="AL98">
        <v>0</v>
      </c>
      <c r="AM98">
        <v>0</v>
      </c>
      <c r="AN98">
        <v>0</v>
      </c>
      <c r="AO98">
        <v>0</v>
      </c>
      <c r="AP98">
        <v>0</v>
      </c>
      <c r="AQ98">
        <v>195708378</v>
      </c>
      <c r="AR98">
        <v>0</v>
      </c>
      <c r="AS98">
        <v>0</v>
      </c>
      <c r="AT98">
        <v>0</v>
      </c>
      <c r="AU98">
        <v>0</v>
      </c>
      <c r="AV98">
        <v>0</v>
      </c>
      <c r="AW98">
        <v>10074891</v>
      </c>
      <c r="AX98">
        <v>0</v>
      </c>
      <c r="AY98">
        <v>0</v>
      </c>
      <c r="AZ98">
        <v>0</v>
      </c>
      <c r="BA98">
        <v>0</v>
      </c>
      <c r="BB98">
        <v>0</v>
      </c>
      <c r="BC98">
        <v>9807782</v>
      </c>
      <c r="BD98">
        <v>0</v>
      </c>
      <c r="BE98">
        <v>0</v>
      </c>
      <c r="BF98">
        <v>0</v>
      </c>
      <c r="BG98">
        <v>0</v>
      </c>
      <c r="BH98">
        <v>0</v>
      </c>
      <c r="BI98">
        <v>0</v>
      </c>
      <c r="BJ98">
        <v>0</v>
      </c>
      <c r="BK98">
        <v>0</v>
      </c>
      <c r="BL98">
        <v>4024975</v>
      </c>
      <c r="BM98">
        <v>0</v>
      </c>
      <c r="BN98">
        <v>0</v>
      </c>
      <c r="BO98">
        <v>0</v>
      </c>
      <c r="BP98">
        <v>0</v>
      </c>
      <c r="BQ98">
        <v>0</v>
      </c>
      <c r="BR98">
        <v>0</v>
      </c>
      <c r="BS98">
        <v>0</v>
      </c>
      <c r="BU98">
        <v>0</v>
      </c>
      <c r="BV98">
        <v>0</v>
      </c>
      <c r="BW98">
        <v>0</v>
      </c>
      <c r="BX98">
        <v>4784140</v>
      </c>
      <c r="BY98">
        <v>25956494</v>
      </c>
      <c r="BZ98">
        <v>0</v>
      </c>
      <c r="CA98">
        <v>0</v>
      </c>
      <c r="CB98">
        <v>0</v>
      </c>
      <c r="CC98">
        <v>0</v>
      </c>
      <c r="CD98">
        <v>0</v>
      </c>
      <c r="CE98">
        <v>0</v>
      </c>
      <c r="CF98">
        <v>0</v>
      </c>
      <c r="CG98">
        <v>0</v>
      </c>
      <c r="CH98">
        <v>7590319</v>
      </c>
      <c r="CI98">
        <v>0</v>
      </c>
      <c r="CK98">
        <v>0</v>
      </c>
    </row>
    <row r="99" spans="1:89" x14ac:dyDescent="0.3">
      <c r="A99" s="155">
        <v>363</v>
      </c>
      <c r="B99" t="s">
        <v>233</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777</v>
      </c>
      <c r="AA99">
        <v>0</v>
      </c>
      <c r="AB99">
        <v>0</v>
      </c>
      <c r="AC99">
        <v>0</v>
      </c>
      <c r="AD99">
        <v>0</v>
      </c>
      <c r="AE99">
        <v>0</v>
      </c>
      <c r="AF99">
        <v>123911</v>
      </c>
      <c r="AG99">
        <v>0</v>
      </c>
      <c r="AH99">
        <v>0</v>
      </c>
      <c r="AI99">
        <v>0</v>
      </c>
      <c r="AJ99">
        <v>0</v>
      </c>
      <c r="AK99">
        <v>0</v>
      </c>
      <c r="AL99">
        <v>0</v>
      </c>
      <c r="AM99">
        <v>0</v>
      </c>
      <c r="AN99">
        <v>0</v>
      </c>
      <c r="AO99">
        <v>0</v>
      </c>
      <c r="AP99">
        <v>0</v>
      </c>
      <c r="AQ99">
        <v>524119</v>
      </c>
      <c r="AR99">
        <v>0</v>
      </c>
      <c r="AS99">
        <v>0</v>
      </c>
      <c r="AT99">
        <v>0</v>
      </c>
      <c r="AU99">
        <v>0</v>
      </c>
      <c r="AV99">
        <v>0</v>
      </c>
      <c r="AW99">
        <v>1116698</v>
      </c>
      <c r="AX99">
        <v>0</v>
      </c>
      <c r="AY99">
        <v>0</v>
      </c>
      <c r="AZ99">
        <v>0</v>
      </c>
      <c r="BA99">
        <v>0</v>
      </c>
      <c r="BB99">
        <v>0</v>
      </c>
      <c r="BC99">
        <v>140669</v>
      </c>
      <c r="BD99">
        <v>0</v>
      </c>
      <c r="BE99">
        <v>0</v>
      </c>
      <c r="BF99">
        <v>0</v>
      </c>
      <c r="BG99">
        <v>0</v>
      </c>
      <c r="BH99">
        <v>0</v>
      </c>
      <c r="BI99">
        <v>0</v>
      </c>
      <c r="BJ99">
        <v>0</v>
      </c>
      <c r="BK99">
        <v>0</v>
      </c>
      <c r="BL99">
        <v>5000</v>
      </c>
      <c r="BM99">
        <v>0</v>
      </c>
      <c r="BN99">
        <v>0</v>
      </c>
      <c r="BO99">
        <v>0</v>
      </c>
      <c r="BP99">
        <v>0</v>
      </c>
      <c r="BQ99">
        <v>0</v>
      </c>
      <c r="BR99">
        <v>0</v>
      </c>
      <c r="BS99">
        <v>0</v>
      </c>
      <c r="BU99">
        <v>0</v>
      </c>
      <c r="BV99">
        <v>0</v>
      </c>
      <c r="BW99">
        <v>0</v>
      </c>
      <c r="BX99">
        <v>79636</v>
      </c>
      <c r="BY99">
        <v>13082</v>
      </c>
      <c r="BZ99">
        <v>0</v>
      </c>
      <c r="CA99">
        <v>0</v>
      </c>
      <c r="CB99">
        <v>0</v>
      </c>
      <c r="CC99">
        <v>0</v>
      </c>
      <c r="CD99">
        <v>0</v>
      </c>
      <c r="CE99">
        <v>0</v>
      </c>
      <c r="CF99">
        <v>0</v>
      </c>
      <c r="CG99">
        <v>0</v>
      </c>
      <c r="CH99">
        <v>7257</v>
      </c>
      <c r="CI99">
        <v>0</v>
      </c>
      <c r="CK99">
        <v>0</v>
      </c>
    </row>
    <row r="100" spans="1:89" x14ac:dyDescent="0.3">
      <c r="A100" s="155">
        <v>364</v>
      </c>
      <c r="B100" t="s">
        <v>234</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16667</v>
      </c>
      <c r="AA100">
        <v>0</v>
      </c>
      <c r="AB100">
        <v>0</v>
      </c>
      <c r="AC100">
        <v>0</v>
      </c>
      <c r="AD100">
        <v>0</v>
      </c>
      <c r="AE100">
        <v>0</v>
      </c>
      <c r="AF100">
        <v>131717</v>
      </c>
      <c r="AG100">
        <v>0</v>
      </c>
      <c r="AH100">
        <v>0</v>
      </c>
      <c r="AI100">
        <v>0</v>
      </c>
      <c r="AJ100">
        <v>0</v>
      </c>
      <c r="AK100">
        <v>0</v>
      </c>
      <c r="AL100">
        <v>0</v>
      </c>
      <c r="AM100">
        <v>0</v>
      </c>
      <c r="AN100">
        <v>0</v>
      </c>
      <c r="AO100">
        <v>0</v>
      </c>
      <c r="AP100">
        <v>0</v>
      </c>
      <c r="AQ100">
        <v>421899</v>
      </c>
      <c r="AR100">
        <v>0</v>
      </c>
      <c r="AS100">
        <v>0</v>
      </c>
      <c r="AT100">
        <v>0</v>
      </c>
      <c r="AU100">
        <v>0</v>
      </c>
      <c r="AV100">
        <v>0</v>
      </c>
      <c r="AW100">
        <v>300</v>
      </c>
      <c r="AX100">
        <v>0</v>
      </c>
      <c r="AY100">
        <v>0</v>
      </c>
      <c r="AZ100">
        <v>0</v>
      </c>
      <c r="BA100">
        <v>0</v>
      </c>
      <c r="BB100">
        <v>0</v>
      </c>
      <c r="BC100">
        <v>118856</v>
      </c>
      <c r="BD100">
        <v>0</v>
      </c>
      <c r="BE100">
        <v>0</v>
      </c>
      <c r="BF100">
        <v>0</v>
      </c>
      <c r="BG100">
        <v>0</v>
      </c>
      <c r="BH100">
        <v>0</v>
      </c>
      <c r="BI100">
        <v>0</v>
      </c>
      <c r="BJ100">
        <v>0</v>
      </c>
      <c r="BK100">
        <v>0</v>
      </c>
      <c r="BL100">
        <v>0</v>
      </c>
      <c r="BM100">
        <v>0</v>
      </c>
      <c r="BN100">
        <v>0</v>
      </c>
      <c r="BO100">
        <v>0</v>
      </c>
      <c r="BP100">
        <v>0</v>
      </c>
      <c r="BQ100">
        <v>0</v>
      </c>
      <c r="BR100">
        <v>0</v>
      </c>
      <c r="BS100">
        <v>0</v>
      </c>
      <c r="BU100">
        <v>0</v>
      </c>
      <c r="BV100">
        <v>0</v>
      </c>
      <c r="BW100">
        <v>0</v>
      </c>
      <c r="BX100">
        <v>5665</v>
      </c>
      <c r="BY100">
        <v>49192</v>
      </c>
      <c r="BZ100">
        <v>0</v>
      </c>
      <c r="CA100">
        <v>0</v>
      </c>
      <c r="CB100">
        <v>0</v>
      </c>
      <c r="CC100">
        <v>0</v>
      </c>
      <c r="CD100">
        <v>0</v>
      </c>
      <c r="CE100">
        <v>0</v>
      </c>
      <c r="CF100">
        <v>0</v>
      </c>
      <c r="CG100">
        <v>0</v>
      </c>
      <c r="CH100">
        <v>0</v>
      </c>
      <c r="CI100">
        <v>0</v>
      </c>
      <c r="CK100">
        <v>0</v>
      </c>
    </row>
    <row r="101" spans="1:89" x14ac:dyDescent="0.3">
      <c r="A101" s="155">
        <v>365</v>
      </c>
      <c r="B101" t="s">
        <v>236</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U101">
        <v>0</v>
      </c>
      <c r="BV101">
        <v>0</v>
      </c>
      <c r="BW101">
        <v>0</v>
      </c>
      <c r="BX101">
        <v>0</v>
      </c>
      <c r="BY101">
        <v>0</v>
      </c>
      <c r="BZ101">
        <v>0</v>
      </c>
      <c r="CA101">
        <v>0</v>
      </c>
      <c r="CB101">
        <v>0</v>
      </c>
      <c r="CC101">
        <v>0</v>
      </c>
      <c r="CD101">
        <v>0</v>
      </c>
      <c r="CE101">
        <v>0</v>
      </c>
      <c r="CF101">
        <v>0</v>
      </c>
      <c r="CG101">
        <v>0</v>
      </c>
      <c r="CH101">
        <v>0</v>
      </c>
      <c r="CI101">
        <v>0</v>
      </c>
      <c r="CK101">
        <v>0</v>
      </c>
    </row>
    <row r="102" spans="1:89" x14ac:dyDescent="0.3">
      <c r="A102" s="155">
        <v>366</v>
      </c>
      <c r="B102" t="s">
        <v>924</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618035</v>
      </c>
      <c r="AR102">
        <v>0</v>
      </c>
      <c r="AS102">
        <v>0</v>
      </c>
      <c r="AT102">
        <v>0</v>
      </c>
      <c r="AU102">
        <v>0</v>
      </c>
      <c r="AV102">
        <v>0</v>
      </c>
      <c r="AW102">
        <v>0</v>
      </c>
      <c r="AX102">
        <v>0</v>
      </c>
      <c r="AY102">
        <v>0</v>
      </c>
      <c r="AZ102">
        <v>0</v>
      </c>
      <c r="BA102">
        <v>0</v>
      </c>
      <c r="BB102">
        <v>0</v>
      </c>
      <c r="BC102">
        <v>2015782</v>
      </c>
      <c r="BD102">
        <v>0</v>
      </c>
      <c r="BE102">
        <v>0</v>
      </c>
      <c r="BF102">
        <v>0</v>
      </c>
      <c r="BG102">
        <v>0</v>
      </c>
      <c r="BH102">
        <v>0</v>
      </c>
      <c r="BI102">
        <v>0</v>
      </c>
      <c r="BJ102">
        <v>0</v>
      </c>
      <c r="BK102">
        <v>0</v>
      </c>
      <c r="BL102">
        <v>0</v>
      </c>
      <c r="BM102">
        <v>0</v>
      </c>
      <c r="BN102">
        <v>0</v>
      </c>
      <c r="BO102">
        <v>0</v>
      </c>
      <c r="BP102">
        <v>0</v>
      </c>
      <c r="BQ102">
        <v>0</v>
      </c>
      <c r="BR102">
        <v>0</v>
      </c>
      <c r="BS102">
        <v>0</v>
      </c>
      <c r="BU102">
        <v>0</v>
      </c>
      <c r="BV102">
        <v>0</v>
      </c>
      <c r="BW102">
        <v>0</v>
      </c>
      <c r="BX102">
        <v>332218</v>
      </c>
      <c r="BY102">
        <v>925000</v>
      </c>
      <c r="BZ102">
        <v>0</v>
      </c>
      <c r="CA102">
        <v>0</v>
      </c>
      <c r="CB102">
        <v>0</v>
      </c>
      <c r="CC102">
        <v>0</v>
      </c>
      <c r="CD102">
        <v>0</v>
      </c>
      <c r="CE102">
        <v>0</v>
      </c>
      <c r="CF102">
        <v>0</v>
      </c>
      <c r="CG102">
        <v>0</v>
      </c>
      <c r="CH102">
        <v>0</v>
      </c>
      <c r="CI102">
        <v>0</v>
      </c>
      <c r="CK102">
        <v>0</v>
      </c>
    </row>
    <row r="103" spans="1:89" x14ac:dyDescent="0.3">
      <c r="A103" s="155">
        <v>368</v>
      </c>
      <c r="B103" t="s">
        <v>191</v>
      </c>
      <c r="D103">
        <v>0</v>
      </c>
      <c r="E103">
        <v>235659</v>
      </c>
      <c r="F103">
        <v>0</v>
      </c>
      <c r="G103">
        <v>0</v>
      </c>
      <c r="H103">
        <v>0</v>
      </c>
      <c r="I103">
        <v>29932</v>
      </c>
      <c r="J103">
        <v>0</v>
      </c>
      <c r="K103">
        <v>0</v>
      </c>
      <c r="L103">
        <v>0</v>
      </c>
      <c r="M103">
        <v>41785</v>
      </c>
      <c r="N103">
        <v>680</v>
      </c>
      <c r="O103">
        <v>0</v>
      </c>
      <c r="P103">
        <v>0</v>
      </c>
      <c r="Q103">
        <v>0</v>
      </c>
      <c r="R103">
        <v>0</v>
      </c>
      <c r="S103">
        <v>1000</v>
      </c>
      <c r="T103">
        <v>0</v>
      </c>
      <c r="U103">
        <v>0</v>
      </c>
      <c r="V103">
        <v>0</v>
      </c>
      <c r="W103">
        <v>0</v>
      </c>
      <c r="X103">
        <v>791367</v>
      </c>
      <c r="Y103">
        <v>0</v>
      </c>
      <c r="Z103">
        <v>0</v>
      </c>
      <c r="AA103">
        <v>0</v>
      </c>
      <c r="AB103">
        <v>197770</v>
      </c>
      <c r="AC103">
        <v>0</v>
      </c>
      <c r="AD103">
        <v>0</v>
      </c>
      <c r="AE103">
        <v>0</v>
      </c>
      <c r="AF103">
        <v>0</v>
      </c>
      <c r="AG103">
        <v>1352</v>
      </c>
      <c r="AH103">
        <v>3568</v>
      </c>
      <c r="AI103">
        <v>0</v>
      </c>
      <c r="AJ103">
        <v>0</v>
      </c>
      <c r="AK103">
        <v>0</v>
      </c>
      <c r="AL103">
        <v>0</v>
      </c>
      <c r="AM103">
        <v>0</v>
      </c>
      <c r="AN103">
        <v>0</v>
      </c>
      <c r="AO103">
        <v>0</v>
      </c>
      <c r="AP103">
        <v>0</v>
      </c>
      <c r="AQ103">
        <v>3789032</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6880</v>
      </c>
      <c r="BL103">
        <v>0</v>
      </c>
      <c r="BM103">
        <v>0</v>
      </c>
      <c r="BN103">
        <v>0</v>
      </c>
      <c r="BO103">
        <v>0</v>
      </c>
      <c r="BP103">
        <v>0</v>
      </c>
      <c r="BQ103">
        <v>0</v>
      </c>
      <c r="BR103">
        <v>0</v>
      </c>
      <c r="BS103">
        <v>0</v>
      </c>
      <c r="BU103">
        <v>0</v>
      </c>
      <c r="BV103">
        <v>0</v>
      </c>
      <c r="BW103">
        <v>0</v>
      </c>
      <c r="BX103">
        <v>0</v>
      </c>
      <c r="BY103">
        <v>0</v>
      </c>
      <c r="BZ103">
        <v>0</v>
      </c>
      <c r="CA103">
        <v>0</v>
      </c>
      <c r="CB103">
        <v>460</v>
      </c>
      <c r="CC103">
        <v>0</v>
      </c>
      <c r="CD103">
        <v>0</v>
      </c>
      <c r="CE103">
        <v>0</v>
      </c>
      <c r="CF103">
        <v>0</v>
      </c>
      <c r="CG103">
        <v>0</v>
      </c>
      <c r="CH103">
        <v>0</v>
      </c>
      <c r="CI103">
        <v>0</v>
      </c>
      <c r="CK103">
        <v>0</v>
      </c>
    </row>
    <row r="104" spans="1:89" x14ac:dyDescent="0.3">
      <c r="A104" s="155">
        <v>369</v>
      </c>
      <c r="B104" t="s">
        <v>196</v>
      </c>
      <c r="D104">
        <v>135459</v>
      </c>
      <c r="E104">
        <v>1082855</v>
      </c>
      <c r="F104">
        <v>262124</v>
      </c>
      <c r="G104">
        <v>162208</v>
      </c>
      <c r="H104">
        <v>404362</v>
      </c>
      <c r="I104">
        <v>2793637</v>
      </c>
      <c r="J104">
        <v>1175571</v>
      </c>
      <c r="K104">
        <v>5144334</v>
      </c>
      <c r="L104">
        <v>1752515</v>
      </c>
      <c r="M104">
        <v>1990200</v>
      </c>
      <c r="N104">
        <v>298170</v>
      </c>
      <c r="O104">
        <v>17266697</v>
      </c>
      <c r="P104">
        <v>31925</v>
      </c>
      <c r="Q104">
        <v>110876</v>
      </c>
      <c r="R104">
        <v>851596</v>
      </c>
      <c r="S104">
        <v>320833</v>
      </c>
      <c r="T104">
        <v>871442</v>
      </c>
      <c r="U104">
        <v>111698</v>
      </c>
      <c r="V104">
        <v>226343</v>
      </c>
      <c r="W104">
        <v>843049</v>
      </c>
      <c r="X104">
        <v>8641825</v>
      </c>
      <c r="Y104">
        <v>100600000</v>
      </c>
      <c r="Z104">
        <v>1438748</v>
      </c>
      <c r="AA104">
        <v>86081</v>
      </c>
      <c r="AB104">
        <v>2163740</v>
      </c>
      <c r="AC104">
        <v>367719</v>
      </c>
      <c r="AD104">
        <v>1030643</v>
      </c>
      <c r="AE104">
        <v>381765</v>
      </c>
      <c r="AF104">
        <v>13382082</v>
      </c>
      <c r="AG104">
        <v>3140912</v>
      </c>
      <c r="AH104">
        <v>473382</v>
      </c>
      <c r="AI104">
        <v>5383025</v>
      </c>
      <c r="AJ104">
        <v>661951</v>
      </c>
      <c r="AK104">
        <v>559719</v>
      </c>
      <c r="AL104">
        <v>142697</v>
      </c>
      <c r="AM104">
        <v>69735</v>
      </c>
      <c r="AN104">
        <v>320067</v>
      </c>
      <c r="AO104">
        <v>559243</v>
      </c>
      <c r="AP104">
        <v>15452</v>
      </c>
      <c r="AQ104">
        <v>10696383</v>
      </c>
      <c r="AR104">
        <v>86729</v>
      </c>
      <c r="AS104">
        <v>614873</v>
      </c>
      <c r="AT104">
        <v>4320419</v>
      </c>
      <c r="AU104">
        <v>341095</v>
      </c>
      <c r="AV104">
        <v>76738</v>
      </c>
      <c r="AW104">
        <v>9424627</v>
      </c>
      <c r="AX104">
        <v>62857</v>
      </c>
      <c r="AY104">
        <v>1985282</v>
      </c>
      <c r="AZ104">
        <v>678641</v>
      </c>
      <c r="BA104">
        <v>81380</v>
      </c>
      <c r="BB104">
        <v>119936</v>
      </c>
      <c r="BC104">
        <v>975309</v>
      </c>
      <c r="BD104">
        <v>22219</v>
      </c>
      <c r="BE104">
        <v>4786044</v>
      </c>
      <c r="BF104">
        <v>437151</v>
      </c>
      <c r="BG104">
        <v>56362</v>
      </c>
      <c r="BH104">
        <v>199824</v>
      </c>
      <c r="BI104">
        <v>986243</v>
      </c>
      <c r="BJ104">
        <v>336791</v>
      </c>
      <c r="BK104">
        <v>72233</v>
      </c>
      <c r="BL104">
        <v>794967</v>
      </c>
      <c r="BM104">
        <v>103214</v>
      </c>
      <c r="BN104">
        <v>2521145</v>
      </c>
      <c r="BO104">
        <v>4965113</v>
      </c>
      <c r="BP104">
        <v>17803409</v>
      </c>
      <c r="BQ104">
        <v>30933</v>
      </c>
      <c r="BR104">
        <v>70998</v>
      </c>
      <c r="BS104">
        <v>224107</v>
      </c>
      <c r="BU104">
        <v>669806</v>
      </c>
      <c r="BV104">
        <v>1178953</v>
      </c>
      <c r="BW104">
        <v>2971086</v>
      </c>
      <c r="BX104">
        <v>1934948</v>
      </c>
      <c r="BY104">
        <v>9533263</v>
      </c>
      <c r="BZ104">
        <v>1386334</v>
      </c>
      <c r="CA104">
        <v>274319</v>
      </c>
      <c r="CB104">
        <v>2514562</v>
      </c>
      <c r="CC104">
        <v>77079</v>
      </c>
      <c r="CD104">
        <v>412826</v>
      </c>
      <c r="CE104">
        <v>337031</v>
      </c>
      <c r="CF104">
        <v>1187403</v>
      </c>
      <c r="CG104">
        <v>3513215</v>
      </c>
      <c r="CH104">
        <v>663497</v>
      </c>
      <c r="CI104">
        <v>1408772</v>
      </c>
      <c r="CK104">
        <v>26287</v>
      </c>
    </row>
    <row r="105" spans="1:89" x14ac:dyDescent="0.3">
      <c r="A105" s="155">
        <v>370</v>
      </c>
      <c r="B105" t="s">
        <v>198</v>
      </c>
      <c r="D105">
        <v>0</v>
      </c>
      <c r="E105">
        <v>0</v>
      </c>
      <c r="F105">
        <v>0</v>
      </c>
      <c r="G105">
        <v>2589</v>
      </c>
      <c r="H105">
        <v>54713</v>
      </c>
      <c r="I105">
        <v>230951</v>
      </c>
      <c r="J105">
        <v>7506</v>
      </c>
      <c r="K105">
        <v>857510</v>
      </c>
      <c r="L105">
        <v>0</v>
      </c>
      <c r="M105">
        <v>683749</v>
      </c>
      <c r="N105">
        <v>205895</v>
      </c>
      <c r="O105">
        <v>16769896</v>
      </c>
      <c r="P105">
        <v>0</v>
      </c>
      <c r="Q105">
        <v>0</v>
      </c>
      <c r="R105">
        <v>79116</v>
      </c>
      <c r="S105">
        <v>0</v>
      </c>
      <c r="T105">
        <v>684786</v>
      </c>
      <c r="U105">
        <v>0</v>
      </c>
      <c r="V105">
        <v>0</v>
      </c>
      <c r="W105">
        <v>0</v>
      </c>
      <c r="X105">
        <v>0</v>
      </c>
      <c r="Y105">
        <v>0</v>
      </c>
      <c r="Z105">
        <v>268935</v>
      </c>
      <c r="AA105">
        <v>36000</v>
      </c>
      <c r="AB105">
        <v>467830</v>
      </c>
      <c r="AC105">
        <v>0</v>
      </c>
      <c r="AD105">
        <v>142979</v>
      </c>
      <c r="AE105">
        <v>13460</v>
      </c>
      <c r="AF105">
        <v>1604165</v>
      </c>
      <c r="AG105">
        <v>0</v>
      </c>
      <c r="AH105">
        <v>0</v>
      </c>
      <c r="AI105">
        <v>536242</v>
      </c>
      <c r="AJ105">
        <v>0</v>
      </c>
      <c r="AK105">
        <v>193725</v>
      </c>
      <c r="AL105">
        <v>0</v>
      </c>
      <c r="AM105">
        <v>0</v>
      </c>
      <c r="AN105">
        <v>0</v>
      </c>
      <c r="AO105">
        <v>49399</v>
      </c>
      <c r="AP105">
        <v>0</v>
      </c>
      <c r="AQ105">
        <v>474264</v>
      </c>
      <c r="AR105">
        <v>0</v>
      </c>
      <c r="AS105">
        <v>0</v>
      </c>
      <c r="AT105">
        <v>365153</v>
      </c>
      <c r="AU105">
        <v>0</v>
      </c>
      <c r="AV105">
        <v>0</v>
      </c>
      <c r="AW105">
        <v>3212360</v>
      </c>
      <c r="AX105">
        <v>0</v>
      </c>
      <c r="AY105">
        <v>2876897</v>
      </c>
      <c r="AZ105">
        <v>49750</v>
      </c>
      <c r="BA105">
        <v>0</v>
      </c>
      <c r="BB105">
        <v>0</v>
      </c>
      <c r="BC105">
        <v>214310</v>
      </c>
      <c r="BD105">
        <v>0</v>
      </c>
      <c r="BE105">
        <v>885058</v>
      </c>
      <c r="BF105">
        <v>0</v>
      </c>
      <c r="BG105">
        <v>0</v>
      </c>
      <c r="BH105">
        <v>20405</v>
      </c>
      <c r="BI105">
        <v>244851</v>
      </c>
      <c r="BJ105">
        <v>0</v>
      </c>
      <c r="BK105">
        <v>0</v>
      </c>
      <c r="BL105">
        <v>30046</v>
      </c>
      <c r="BM105">
        <v>54758</v>
      </c>
      <c r="BN105">
        <v>1803526</v>
      </c>
      <c r="BO105">
        <v>956668</v>
      </c>
      <c r="BP105">
        <v>0</v>
      </c>
      <c r="BQ105">
        <v>0</v>
      </c>
      <c r="BR105">
        <v>0</v>
      </c>
      <c r="BS105">
        <v>0</v>
      </c>
      <c r="BU105">
        <v>36510</v>
      </c>
      <c r="BV105">
        <v>0</v>
      </c>
      <c r="BW105">
        <v>1033066</v>
      </c>
      <c r="BX105">
        <v>330738</v>
      </c>
      <c r="BY105">
        <v>1247180</v>
      </c>
      <c r="BZ105">
        <v>350418</v>
      </c>
      <c r="CA105">
        <v>19287</v>
      </c>
      <c r="CB105">
        <v>70704</v>
      </c>
      <c r="CC105">
        <v>0</v>
      </c>
      <c r="CD105">
        <v>62100</v>
      </c>
      <c r="CE105">
        <v>93870</v>
      </c>
      <c r="CF105">
        <v>99421</v>
      </c>
      <c r="CG105">
        <v>551991</v>
      </c>
      <c r="CH105">
        <v>63496</v>
      </c>
      <c r="CI105">
        <v>0</v>
      </c>
      <c r="CK105">
        <v>0</v>
      </c>
    </row>
    <row r="106" spans="1:89" x14ac:dyDescent="0.3">
      <c r="A106" s="155">
        <v>371</v>
      </c>
      <c r="B106" t="s">
        <v>248</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19065000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U106">
        <v>0</v>
      </c>
      <c r="BV106">
        <v>0</v>
      </c>
      <c r="BW106">
        <v>0</v>
      </c>
      <c r="BX106">
        <v>0</v>
      </c>
      <c r="BY106">
        <v>0</v>
      </c>
      <c r="BZ106">
        <v>0</v>
      </c>
      <c r="CA106">
        <v>0</v>
      </c>
      <c r="CB106">
        <v>0</v>
      </c>
      <c r="CC106">
        <v>0</v>
      </c>
      <c r="CD106">
        <v>0</v>
      </c>
      <c r="CE106">
        <v>0</v>
      </c>
      <c r="CF106">
        <v>0</v>
      </c>
      <c r="CG106">
        <v>0</v>
      </c>
      <c r="CH106">
        <v>0</v>
      </c>
      <c r="CI106">
        <v>0</v>
      </c>
      <c r="CK106">
        <v>0</v>
      </c>
    </row>
    <row r="107" spans="1:89" x14ac:dyDescent="0.3">
      <c r="A107" s="155">
        <v>373</v>
      </c>
      <c r="B107" t="s">
        <v>304</v>
      </c>
      <c r="D107">
        <v>316551</v>
      </c>
      <c r="E107">
        <v>567110</v>
      </c>
      <c r="F107">
        <v>394727</v>
      </c>
      <c r="G107">
        <v>165903</v>
      </c>
      <c r="H107">
        <v>1371646</v>
      </c>
      <c r="I107">
        <v>4607525</v>
      </c>
      <c r="J107">
        <v>1213440</v>
      </c>
      <c r="K107">
        <v>12544217</v>
      </c>
      <c r="L107">
        <v>4822994</v>
      </c>
      <c r="M107">
        <v>21712499</v>
      </c>
      <c r="N107">
        <v>2983422</v>
      </c>
      <c r="O107">
        <v>525915031</v>
      </c>
      <c r="P107">
        <v>199940</v>
      </c>
      <c r="Q107">
        <v>145183</v>
      </c>
      <c r="R107">
        <v>1041286</v>
      </c>
      <c r="S107">
        <v>757322</v>
      </c>
      <c r="T107">
        <v>271254</v>
      </c>
      <c r="U107">
        <v>72026</v>
      </c>
      <c r="V107">
        <v>93279</v>
      </c>
      <c r="W107">
        <v>1036519</v>
      </c>
      <c r="X107">
        <v>126092593</v>
      </c>
      <c r="Y107">
        <v>2117479000</v>
      </c>
      <c r="Z107">
        <v>8309116</v>
      </c>
      <c r="AA107">
        <v>215083</v>
      </c>
      <c r="AB107">
        <v>3217427</v>
      </c>
      <c r="AC107">
        <v>1292673</v>
      </c>
      <c r="AD107">
        <v>5786864</v>
      </c>
      <c r="AE107">
        <v>844538</v>
      </c>
      <c r="AF107">
        <v>24090813</v>
      </c>
      <c r="AG107">
        <v>3188615</v>
      </c>
      <c r="AH107">
        <v>1638874</v>
      </c>
      <c r="AI107">
        <v>16767493</v>
      </c>
      <c r="AJ107">
        <v>1320689</v>
      </c>
      <c r="AK107">
        <v>2108511</v>
      </c>
      <c r="AL107">
        <v>384093</v>
      </c>
      <c r="AM107">
        <v>417361</v>
      </c>
      <c r="AN107">
        <v>531699</v>
      </c>
      <c r="AO107">
        <v>1314171</v>
      </c>
      <c r="AP107">
        <v>80270</v>
      </c>
      <c r="AQ107">
        <v>486650825</v>
      </c>
      <c r="AR107">
        <v>182898</v>
      </c>
      <c r="AS107">
        <v>1061670</v>
      </c>
      <c r="AT107">
        <v>17821373</v>
      </c>
      <c r="AU107">
        <v>619819</v>
      </c>
      <c r="AV107">
        <v>391738</v>
      </c>
      <c r="AW107">
        <v>34556806</v>
      </c>
      <c r="AX107">
        <v>99367</v>
      </c>
      <c r="AY107">
        <v>5687118</v>
      </c>
      <c r="AZ107">
        <v>2924906</v>
      </c>
      <c r="BA107">
        <v>283645</v>
      </c>
      <c r="BB107">
        <v>319586</v>
      </c>
      <c r="BC107">
        <v>4134020</v>
      </c>
      <c r="BD107">
        <v>54516</v>
      </c>
      <c r="BE107">
        <v>9279271</v>
      </c>
      <c r="BF107">
        <v>3893713</v>
      </c>
      <c r="BG107">
        <v>486855</v>
      </c>
      <c r="BH107">
        <v>608233</v>
      </c>
      <c r="BI107">
        <v>2086181</v>
      </c>
      <c r="BJ107">
        <v>151699</v>
      </c>
      <c r="BK107">
        <v>154090</v>
      </c>
      <c r="BL107">
        <v>2307543</v>
      </c>
      <c r="BM107">
        <v>1696540</v>
      </c>
      <c r="BN107">
        <v>10596313</v>
      </c>
      <c r="BO107">
        <v>9458223</v>
      </c>
      <c r="BP107">
        <v>390130060</v>
      </c>
      <c r="BQ107">
        <v>103949</v>
      </c>
      <c r="BR107">
        <v>103109</v>
      </c>
      <c r="BS107">
        <v>367281</v>
      </c>
      <c r="BU107">
        <v>2615107</v>
      </c>
      <c r="BV107">
        <v>370243</v>
      </c>
      <c r="BW107">
        <v>22217841</v>
      </c>
      <c r="BX107">
        <v>4492097</v>
      </c>
      <c r="BY107">
        <v>21001871</v>
      </c>
      <c r="BZ107">
        <v>10105706</v>
      </c>
      <c r="CA107">
        <v>522340</v>
      </c>
      <c r="CB107">
        <v>10415751</v>
      </c>
      <c r="CC107">
        <v>125067</v>
      </c>
      <c r="CD107">
        <v>1579040</v>
      </c>
      <c r="CE107">
        <v>296528</v>
      </c>
      <c r="CF107">
        <v>8579719</v>
      </c>
      <c r="CG107">
        <v>8642552</v>
      </c>
      <c r="CH107">
        <v>3403665</v>
      </c>
      <c r="CI107">
        <v>3583899</v>
      </c>
      <c r="CK107">
        <v>74640</v>
      </c>
    </row>
    <row r="108" spans="1:89" x14ac:dyDescent="0.3">
      <c r="A108" s="155">
        <v>375</v>
      </c>
      <c r="B108" t="s">
        <v>213</v>
      </c>
      <c r="D108">
        <v>151029</v>
      </c>
      <c r="E108">
        <v>0</v>
      </c>
      <c r="F108">
        <v>1059361</v>
      </c>
      <c r="G108">
        <v>178393</v>
      </c>
      <c r="H108">
        <v>317773</v>
      </c>
      <c r="I108">
        <v>2363435</v>
      </c>
      <c r="J108">
        <v>0</v>
      </c>
      <c r="K108">
        <v>1089283</v>
      </c>
      <c r="L108">
        <v>0</v>
      </c>
      <c r="M108">
        <v>0</v>
      </c>
      <c r="N108">
        <v>486200</v>
      </c>
      <c r="O108">
        <v>240165858</v>
      </c>
      <c r="P108">
        <v>0</v>
      </c>
      <c r="Q108">
        <v>0</v>
      </c>
      <c r="R108">
        <v>0</v>
      </c>
      <c r="S108">
        <v>0</v>
      </c>
      <c r="T108">
        <v>0</v>
      </c>
      <c r="U108">
        <v>0</v>
      </c>
      <c r="V108">
        <v>129417</v>
      </c>
      <c r="W108">
        <v>1994462</v>
      </c>
      <c r="X108">
        <v>0</v>
      </c>
      <c r="Y108">
        <v>245045000</v>
      </c>
      <c r="Z108">
        <v>64100</v>
      </c>
      <c r="AA108">
        <v>226573</v>
      </c>
      <c r="AB108">
        <v>0</v>
      </c>
      <c r="AC108">
        <v>920460</v>
      </c>
      <c r="AD108">
        <v>3577494</v>
      </c>
      <c r="AE108">
        <v>654632</v>
      </c>
      <c r="AF108">
        <v>12232153</v>
      </c>
      <c r="AG108">
        <v>0</v>
      </c>
      <c r="AH108">
        <v>2793391</v>
      </c>
      <c r="AI108">
        <v>4303104</v>
      </c>
      <c r="AJ108">
        <v>901386</v>
      </c>
      <c r="AK108">
        <v>784095</v>
      </c>
      <c r="AL108">
        <v>453088</v>
      </c>
      <c r="AM108">
        <v>126132</v>
      </c>
      <c r="AN108">
        <v>2589075</v>
      </c>
      <c r="AO108">
        <v>909213</v>
      </c>
      <c r="AP108">
        <v>0</v>
      </c>
      <c r="AQ108">
        <v>96145317</v>
      </c>
      <c r="AR108">
        <v>0</v>
      </c>
      <c r="AS108">
        <v>49004</v>
      </c>
      <c r="AT108">
        <v>7681725</v>
      </c>
      <c r="AU108">
        <v>0</v>
      </c>
      <c r="AV108">
        <v>0</v>
      </c>
      <c r="AW108">
        <v>0</v>
      </c>
      <c r="AX108">
        <v>57023</v>
      </c>
      <c r="AY108">
        <v>0</v>
      </c>
      <c r="AZ108">
        <v>0</v>
      </c>
      <c r="BA108">
        <v>269053</v>
      </c>
      <c r="BB108">
        <v>74629</v>
      </c>
      <c r="BC108">
        <v>2265371</v>
      </c>
      <c r="BD108">
        <v>0</v>
      </c>
      <c r="BE108">
        <v>0</v>
      </c>
      <c r="BF108">
        <v>694466</v>
      </c>
      <c r="BG108">
        <v>0</v>
      </c>
      <c r="BH108">
        <v>0</v>
      </c>
      <c r="BI108">
        <v>1054586</v>
      </c>
      <c r="BJ108">
        <v>0</v>
      </c>
      <c r="BK108">
        <v>-83872</v>
      </c>
      <c r="BL108">
        <v>552792</v>
      </c>
      <c r="BM108">
        <v>319396</v>
      </c>
      <c r="BN108">
        <v>0</v>
      </c>
      <c r="BO108">
        <v>2892783</v>
      </c>
      <c r="BP108">
        <v>109225424</v>
      </c>
      <c r="BQ108">
        <v>0</v>
      </c>
      <c r="BR108">
        <v>50684</v>
      </c>
      <c r="BS108">
        <v>422822</v>
      </c>
      <c r="BU108">
        <v>-606791</v>
      </c>
      <c r="BV108">
        <v>0</v>
      </c>
      <c r="BW108">
        <v>5391242</v>
      </c>
      <c r="BX108">
        <v>677208</v>
      </c>
      <c r="BY108">
        <v>2409956</v>
      </c>
      <c r="BZ108">
        <v>3333519</v>
      </c>
      <c r="CA108">
        <v>-144681</v>
      </c>
      <c r="CB108">
        <v>2196206</v>
      </c>
      <c r="CC108">
        <v>1183682</v>
      </c>
      <c r="CD108">
        <v>-116070</v>
      </c>
      <c r="CE108">
        <v>-63429</v>
      </c>
      <c r="CF108">
        <v>3835936</v>
      </c>
      <c r="CG108">
        <v>0</v>
      </c>
      <c r="CH108">
        <v>931984</v>
      </c>
      <c r="CI108">
        <v>0</v>
      </c>
      <c r="CK108">
        <v>9258</v>
      </c>
    </row>
    <row r="109" spans="1:89" x14ac:dyDescent="0.3">
      <c r="A109" s="155">
        <v>376</v>
      </c>
      <c r="B109" t="s">
        <v>100</v>
      </c>
      <c r="D109">
        <v>0</v>
      </c>
      <c r="E109">
        <v>0</v>
      </c>
      <c r="F109">
        <v>0</v>
      </c>
      <c r="G109">
        <v>0</v>
      </c>
      <c r="H109">
        <v>0</v>
      </c>
      <c r="I109">
        <v>0</v>
      </c>
      <c r="J109">
        <v>0</v>
      </c>
      <c r="K109">
        <v>0</v>
      </c>
      <c r="L109">
        <v>0</v>
      </c>
      <c r="M109">
        <v>0</v>
      </c>
      <c r="N109">
        <v>0</v>
      </c>
      <c r="O109">
        <v>0</v>
      </c>
      <c r="P109">
        <v>0</v>
      </c>
      <c r="Q109">
        <v>865408</v>
      </c>
      <c r="R109">
        <v>0</v>
      </c>
      <c r="S109">
        <v>0</v>
      </c>
      <c r="T109">
        <v>0</v>
      </c>
      <c r="U109">
        <v>0</v>
      </c>
      <c r="V109">
        <v>0</v>
      </c>
      <c r="W109">
        <v>0</v>
      </c>
      <c r="X109">
        <v>0</v>
      </c>
      <c r="Y109">
        <v>0</v>
      </c>
      <c r="Z109">
        <v>0</v>
      </c>
      <c r="AA109">
        <v>0</v>
      </c>
      <c r="AB109">
        <v>0</v>
      </c>
      <c r="AC109">
        <v>-132343</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1</v>
      </c>
      <c r="BG109">
        <v>0</v>
      </c>
      <c r="BH109">
        <v>0</v>
      </c>
      <c r="BI109">
        <v>0</v>
      </c>
      <c r="BJ109">
        <v>0</v>
      </c>
      <c r="BK109">
        <v>0</v>
      </c>
      <c r="BL109">
        <v>0</v>
      </c>
      <c r="BM109">
        <v>0</v>
      </c>
      <c r="BN109">
        <v>115720</v>
      </c>
      <c r="BO109">
        <v>0</v>
      </c>
      <c r="BP109">
        <v>6</v>
      </c>
      <c r="BQ109">
        <v>0</v>
      </c>
      <c r="BR109">
        <v>0</v>
      </c>
      <c r="BS109">
        <v>0</v>
      </c>
      <c r="BU109">
        <v>-2</v>
      </c>
      <c r="BV109">
        <v>0</v>
      </c>
      <c r="BW109">
        <v>0</v>
      </c>
      <c r="BX109">
        <v>0</v>
      </c>
      <c r="BY109">
        <v>-2466735</v>
      </c>
      <c r="BZ109">
        <v>-62748</v>
      </c>
      <c r="CA109">
        <v>0</v>
      </c>
      <c r="CB109">
        <v>337379</v>
      </c>
      <c r="CC109">
        <v>0</v>
      </c>
      <c r="CD109">
        <v>0</v>
      </c>
      <c r="CE109">
        <v>0</v>
      </c>
      <c r="CF109">
        <v>0</v>
      </c>
      <c r="CG109">
        <v>0</v>
      </c>
      <c r="CH109">
        <v>0</v>
      </c>
      <c r="CI109">
        <v>0</v>
      </c>
      <c r="CK109">
        <v>0</v>
      </c>
    </row>
    <row r="110" spans="1:89" x14ac:dyDescent="0.3">
      <c r="A110" s="155">
        <v>377</v>
      </c>
      <c r="B110" t="s">
        <v>101</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-32143</v>
      </c>
      <c r="AD110">
        <v>0</v>
      </c>
      <c r="AE110">
        <v>0</v>
      </c>
      <c r="AF110">
        <v>0</v>
      </c>
      <c r="AG110">
        <v>0</v>
      </c>
      <c r="AH110">
        <v>-3</v>
      </c>
      <c r="AI110">
        <v>0</v>
      </c>
      <c r="AJ110">
        <v>0</v>
      </c>
      <c r="AK110">
        <v>0</v>
      </c>
      <c r="AL110">
        <v>0</v>
      </c>
      <c r="AM110">
        <v>0</v>
      </c>
      <c r="AN110">
        <v>0</v>
      </c>
      <c r="AO110">
        <v>72000</v>
      </c>
      <c r="AP110">
        <v>0</v>
      </c>
      <c r="AQ110">
        <v>0</v>
      </c>
      <c r="AR110">
        <v>0</v>
      </c>
      <c r="AS110">
        <v>0</v>
      </c>
      <c r="AT110">
        <v>0</v>
      </c>
      <c r="AU110">
        <v>-1</v>
      </c>
      <c r="AV110">
        <v>0</v>
      </c>
      <c r="AW110">
        <v>0</v>
      </c>
      <c r="AX110">
        <v>0</v>
      </c>
      <c r="AY110">
        <v>0</v>
      </c>
      <c r="AZ110">
        <v>0</v>
      </c>
      <c r="BA110">
        <v>0</v>
      </c>
      <c r="BB110">
        <v>0</v>
      </c>
      <c r="BC110">
        <v>-1</v>
      </c>
      <c r="BD110">
        <v>0</v>
      </c>
      <c r="BE110">
        <v>0</v>
      </c>
      <c r="BF110">
        <v>0</v>
      </c>
      <c r="BG110">
        <v>0</v>
      </c>
      <c r="BH110">
        <v>0</v>
      </c>
      <c r="BI110">
        <v>0</v>
      </c>
      <c r="BJ110">
        <v>0</v>
      </c>
      <c r="BK110">
        <v>0</v>
      </c>
      <c r="BL110">
        <v>0</v>
      </c>
      <c r="BM110">
        <v>0</v>
      </c>
      <c r="BN110">
        <v>0</v>
      </c>
      <c r="BO110">
        <v>0</v>
      </c>
      <c r="BP110">
        <v>1</v>
      </c>
      <c r="BQ110">
        <v>0</v>
      </c>
      <c r="BR110">
        <v>0</v>
      </c>
      <c r="BS110">
        <v>0</v>
      </c>
      <c r="BU110">
        <v>2</v>
      </c>
      <c r="BV110">
        <v>0</v>
      </c>
      <c r="BW110">
        <v>0</v>
      </c>
      <c r="BX110">
        <v>0</v>
      </c>
      <c r="BY110">
        <v>192035</v>
      </c>
      <c r="BZ110">
        <v>0</v>
      </c>
      <c r="CA110">
        <v>0</v>
      </c>
      <c r="CB110">
        <v>0</v>
      </c>
      <c r="CC110">
        <v>0</v>
      </c>
      <c r="CD110">
        <v>0</v>
      </c>
      <c r="CE110">
        <v>0</v>
      </c>
      <c r="CF110">
        <v>0</v>
      </c>
      <c r="CG110">
        <v>0</v>
      </c>
      <c r="CH110">
        <v>-3912</v>
      </c>
      <c r="CI110">
        <v>0</v>
      </c>
      <c r="CK110">
        <v>0</v>
      </c>
    </row>
    <row r="111" spans="1:89" x14ac:dyDescent="0.3">
      <c r="A111" s="155">
        <v>378</v>
      </c>
      <c r="B111" t="s">
        <v>102</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U111">
        <v>0</v>
      </c>
      <c r="BV111">
        <v>0</v>
      </c>
      <c r="BW111">
        <v>0</v>
      </c>
      <c r="BX111">
        <v>0</v>
      </c>
      <c r="BY111">
        <v>257088</v>
      </c>
      <c r="BZ111">
        <v>0</v>
      </c>
      <c r="CA111">
        <v>0</v>
      </c>
      <c r="CB111">
        <v>0</v>
      </c>
      <c r="CC111">
        <v>0</v>
      </c>
      <c r="CD111">
        <v>0</v>
      </c>
      <c r="CE111">
        <v>0</v>
      </c>
      <c r="CF111">
        <v>0</v>
      </c>
      <c r="CG111">
        <v>0</v>
      </c>
      <c r="CH111">
        <v>0</v>
      </c>
      <c r="CI111">
        <v>0</v>
      </c>
      <c r="CK111">
        <v>0</v>
      </c>
    </row>
    <row r="112" spans="1:89" x14ac:dyDescent="0.3">
      <c r="A112" s="155">
        <v>379</v>
      </c>
      <c r="B112" t="s">
        <v>110</v>
      </c>
      <c r="D112">
        <v>3181060</v>
      </c>
      <c r="E112">
        <v>2396174</v>
      </c>
      <c r="F112">
        <v>805147</v>
      </c>
      <c r="G112">
        <v>628025</v>
      </c>
      <c r="H112">
        <v>917819</v>
      </c>
      <c r="I112">
        <v>4301642</v>
      </c>
      <c r="J112">
        <v>2237133</v>
      </c>
      <c r="K112">
        <v>10893426</v>
      </c>
      <c r="L112">
        <v>3532463</v>
      </c>
      <c r="M112">
        <v>19199536</v>
      </c>
      <c r="N112">
        <v>2084425</v>
      </c>
      <c r="O112">
        <v>167647128</v>
      </c>
      <c r="P112">
        <v>92989</v>
      </c>
      <c r="Q112">
        <v>250569</v>
      </c>
      <c r="R112">
        <v>1416721</v>
      </c>
      <c r="S112">
        <v>1104915</v>
      </c>
      <c r="T112">
        <v>1262571</v>
      </c>
      <c r="U112">
        <v>330023</v>
      </c>
      <c r="V112">
        <v>487089</v>
      </c>
      <c r="W112">
        <v>2550761</v>
      </c>
      <c r="X112">
        <v>38522263</v>
      </c>
      <c r="Y112">
        <v>251728000</v>
      </c>
      <c r="Z112">
        <v>6205115</v>
      </c>
      <c r="AA112">
        <v>484194</v>
      </c>
      <c r="AB112">
        <v>4490846</v>
      </c>
      <c r="AC112">
        <v>207937</v>
      </c>
      <c r="AD112">
        <v>5142289</v>
      </c>
      <c r="AE112">
        <v>2576360</v>
      </c>
      <c r="AF112">
        <v>26449096</v>
      </c>
      <c r="AG112">
        <v>9764222</v>
      </c>
      <c r="AH112">
        <v>3942983</v>
      </c>
      <c r="AI112">
        <v>8193112</v>
      </c>
      <c r="AJ112">
        <v>1467379</v>
      </c>
      <c r="AK112">
        <v>1777606</v>
      </c>
      <c r="AL112">
        <v>1118481</v>
      </c>
      <c r="AM112">
        <v>362960</v>
      </c>
      <c r="AN112">
        <v>1104806</v>
      </c>
      <c r="AO112">
        <v>1065030</v>
      </c>
      <c r="AP112">
        <v>76876</v>
      </c>
      <c r="AQ112">
        <v>100423338</v>
      </c>
      <c r="AR112">
        <v>447051</v>
      </c>
      <c r="AS112">
        <v>1963565</v>
      </c>
      <c r="AT112">
        <v>10521781</v>
      </c>
      <c r="AU112">
        <v>661594</v>
      </c>
      <c r="AV112">
        <v>1057408</v>
      </c>
      <c r="AW112">
        <v>29157522</v>
      </c>
      <c r="AX112">
        <v>294463</v>
      </c>
      <c r="AY112">
        <v>4441358</v>
      </c>
      <c r="AZ112">
        <v>9420589</v>
      </c>
      <c r="BA112">
        <v>578992</v>
      </c>
      <c r="BB112">
        <v>245870</v>
      </c>
      <c r="BC112">
        <v>3784850</v>
      </c>
      <c r="BD112">
        <v>180332</v>
      </c>
      <c r="BE112">
        <v>14356192</v>
      </c>
      <c r="BF112">
        <v>1763799</v>
      </c>
      <c r="BG112">
        <v>1246719</v>
      </c>
      <c r="BH112">
        <v>524794</v>
      </c>
      <c r="BI112">
        <v>1747957</v>
      </c>
      <c r="BJ112">
        <v>3367111</v>
      </c>
      <c r="BK112">
        <v>421852</v>
      </c>
      <c r="BL112">
        <v>2027860</v>
      </c>
      <c r="BM112">
        <v>907286</v>
      </c>
      <c r="BN112">
        <v>10572030</v>
      </c>
      <c r="BO112">
        <v>9026714</v>
      </c>
      <c r="BP112">
        <v>129359209</v>
      </c>
      <c r="BQ112">
        <v>120329</v>
      </c>
      <c r="BR112">
        <v>285328</v>
      </c>
      <c r="BS112">
        <v>897534</v>
      </c>
      <c r="BU112">
        <v>1950814</v>
      </c>
      <c r="BV112">
        <v>6669362</v>
      </c>
      <c r="BW112">
        <v>13091274</v>
      </c>
      <c r="BX112">
        <v>3914998</v>
      </c>
      <c r="BY112">
        <v>9758757</v>
      </c>
      <c r="BZ112">
        <v>2591257</v>
      </c>
      <c r="CA112">
        <v>576161</v>
      </c>
      <c r="CB112">
        <v>5095097</v>
      </c>
      <c r="CC112">
        <v>1049792</v>
      </c>
      <c r="CD112">
        <v>558578</v>
      </c>
      <c r="CE112">
        <v>800444</v>
      </c>
      <c r="CF112">
        <v>9161685</v>
      </c>
      <c r="CG112">
        <v>4020888</v>
      </c>
      <c r="CH112">
        <v>855173</v>
      </c>
      <c r="CI112">
        <v>3688569</v>
      </c>
      <c r="CK112">
        <v>48210</v>
      </c>
    </row>
    <row r="113" spans="1:89" x14ac:dyDescent="0.3">
      <c r="A113" s="155">
        <v>380</v>
      </c>
      <c r="B113" t="s">
        <v>113</v>
      </c>
      <c r="D113">
        <v>0</v>
      </c>
      <c r="E113">
        <v>4945</v>
      </c>
      <c r="F113">
        <v>6356</v>
      </c>
      <c r="G113">
        <v>2464</v>
      </c>
      <c r="H113">
        <v>17214</v>
      </c>
      <c r="I113">
        <v>61705</v>
      </c>
      <c r="J113">
        <v>12429</v>
      </c>
      <c r="K113">
        <v>243221</v>
      </c>
      <c r="L113">
        <v>6434</v>
      </c>
      <c r="M113">
        <v>171516</v>
      </c>
      <c r="N113">
        <v>18952</v>
      </c>
      <c r="O113">
        <v>325094</v>
      </c>
      <c r="P113">
        <v>234</v>
      </c>
      <c r="Q113">
        <v>0</v>
      </c>
      <c r="R113">
        <v>3411</v>
      </c>
      <c r="S113">
        <v>9769</v>
      </c>
      <c r="T113">
        <v>16068</v>
      </c>
      <c r="U113">
        <v>81</v>
      </c>
      <c r="V113">
        <v>815</v>
      </c>
      <c r="W113">
        <v>73352</v>
      </c>
      <c r="X113">
        <v>327805</v>
      </c>
      <c r="Y113">
        <v>12383000</v>
      </c>
      <c r="Z113">
        <v>100739</v>
      </c>
      <c r="AA113">
        <v>3594</v>
      </c>
      <c r="AB113">
        <v>995921</v>
      </c>
      <c r="AC113">
        <v>16776</v>
      </c>
      <c r="AD113">
        <v>4529</v>
      </c>
      <c r="AE113">
        <v>52956</v>
      </c>
      <c r="AF113">
        <v>636244</v>
      </c>
      <c r="AG113">
        <v>9144</v>
      </c>
      <c r="AH113">
        <v>70163</v>
      </c>
      <c r="AI113">
        <v>185954</v>
      </c>
      <c r="AJ113">
        <v>32259</v>
      </c>
      <c r="AK113">
        <v>9146</v>
      </c>
      <c r="AL113">
        <v>14776</v>
      </c>
      <c r="AM113">
        <v>705</v>
      </c>
      <c r="AN113">
        <v>23935</v>
      </c>
      <c r="AO113">
        <v>4257</v>
      </c>
      <c r="AP113">
        <v>1207</v>
      </c>
      <c r="AQ113">
        <v>1100161</v>
      </c>
      <c r="AR113">
        <v>3926</v>
      </c>
      <c r="AS113">
        <v>4002</v>
      </c>
      <c r="AT113">
        <v>51038</v>
      </c>
      <c r="AU113">
        <v>50086</v>
      </c>
      <c r="AV113">
        <v>29745</v>
      </c>
      <c r="AW113">
        <v>228237</v>
      </c>
      <c r="AX113">
        <v>2574</v>
      </c>
      <c r="AY113">
        <v>20171</v>
      </c>
      <c r="AZ113">
        <v>34443</v>
      </c>
      <c r="BA113">
        <v>6164</v>
      </c>
      <c r="BB113">
        <v>3267</v>
      </c>
      <c r="BC113">
        <v>45100</v>
      </c>
      <c r="BD113">
        <v>772</v>
      </c>
      <c r="BE113">
        <v>81324</v>
      </c>
      <c r="BF113">
        <v>81010</v>
      </c>
      <c r="BG113">
        <v>4419</v>
      </c>
      <c r="BH113">
        <v>64628</v>
      </c>
      <c r="BI113">
        <v>9113</v>
      </c>
      <c r="BJ113">
        <v>0</v>
      </c>
      <c r="BK113">
        <v>8839</v>
      </c>
      <c r="BL113">
        <v>10958</v>
      </c>
      <c r="BM113">
        <v>9884</v>
      </c>
      <c r="BN113">
        <v>2481</v>
      </c>
      <c r="BO113">
        <v>36017</v>
      </c>
      <c r="BP113">
        <v>0</v>
      </c>
      <c r="BQ113">
        <v>333</v>
      </c>
      <c r="BR113">
        <v>8692</v>
      </c>
      <c r="BS113">
        <v>33863</v>
      </c>
      <c r="BU113">
        <v>183979</v>
      </c>
      <c r="BV113">
        <v>9550</v>
      </c>
      <c r="BW113">
        <v>121120</v>
      </c>
      <c r="BX113">
        <v>57669</v>
      </c>
      <c r="BY113">
        <v>836916</v>
      </c>
      <c r="BZ113">
        <v>135713</v>
      </c>
      <c r="CA113">
        <v>1196</v>
      </c>
      <c r="CB113">
        <v>125271</v>
      </c>
      <c r="CC113">
        <v>20670</v>
      </c>
      <c r="CD113">
        <v>39977</v>
      </c>
      <c r="CE113">
        <v>55692</v>
      </c>
      <c r="CF113">
        <v>2786</v>
      </c>
      <c r="CG113">
        <v>34028</v>
      </c>
      <c r="CH113">
        <v>137103</v>
      </c>
      <c r="CI113">
        <v>11500</v>
      </c>
      <c r="CK113">
        <v>5393</v>
      </c>
    </row>
    <row r="114" spans="1:89" x14ac:dyDescent="0.3">
      <c r="A114" s="155">
        <v>381</v>
      </c>
      <c r="B114" t="s">
        <v>105</v>
      </c>
      <c r="D114">
        <v>3207895</v>
      </c>
      <c r="E114">
        <v>0</v>
      </c>
      <c r="F114">
        <v>4335677</v>
      </c>
      <c r="G114">
        <v>688288</v>
      </c>
      <c r="H114">
        <v>3545292</v>
      </c>
      <c r="I114">
        <v>17152213</v>
      </c>
      <c r="J114">
        <v>0</v>
      </c>
      <c r="K114">
        <v>53071622</v>
      </c>
      <c r="L114">
        <v>0</v>
      </c>
      <c r="M114">
        <v>0</v>
      </c>
      <c r="N114">
        <v>12233860</v>
      </c>
      <c r="O114">
        <v>1190537678</v>
      </c>
      <c r="P114">
        <v>0</v>
      </c>
      <c r="Q114">
        <v>0</v>
      </c>
      <c r="R114">
        <v>0</v>
      </c>
      <c r="S114">
        <v>0</v>
      </c>
      <c r="T114">
        <v>0</v>
      </c>
      <c r="U114">
        <v>0</v>
      </c>
      <c r="V114">
        <v>2287604</v>
      </c>
      <c r="W114">
        <v>13863506</v>
      </c>
      <c r="X114">
        <v>0</v>
      </c>
      <c r="Y114">
        <v>4650557000</v>
      </c>
      <c r="Z114">
        <v>18333065</v>
      </c>
      <c r="AA114">
        <v>1980056</v>
      </c>
      <c r="AB114">
        <v>0</v>
      </c>
      <c r="AC114">
        <v>10372415</v>
      </c>
      <c r="AD114">
        <v>8375239</v>
      </c>
      <c r="AE114">
        <v>5380519</v>
      </c>
      <c r="AF114">
        <v>123833931</v>
      </c>
      <c r="AG114">
        <v>0</v>
      </c>
      <c r="AH114">
        <v>6399042</v>
      </c>
      <c r="AI114">
        <v>30290201</v>
      </c>
      <c r="AJ114">
        <v>3680944</v>
      </c>
      <c r="AK114">
        <v>1177459</v>
      </c>
      <c r="AL114">
        <v>2456731</v>
      </c>
      <c r="AM114">
        <v>908556</v>
      </c>
      <c r="AN114">
        <v>14182756</v>
      </c>
      <c r="AO114">
        <v>10677580</v>
      </c>
      <c r="AP114">
        <v>0</v>
      </c>
      <c r="AQ114">
        <v>294672169</v>
      </c>
      <c r="AR114">
        <v>0</v>
      </c>
      <c r="AS114">
        <v>2118039</v>
      </c>
      <c r="AT114">
        <v>38021618</v>
      </c>
      <c r="AU114">
        <v>4509678</v>
      </c>
      <c r="AV114">
        <v>0</v>
      </c>
      <c r="AW114">
        <v>0</v>
      </c>
      <c r="AX114">
        <v>5447842</v>
      </c>
      <c r="AY114">
        <v>0</v>
      </c>
      <c r="AZ114">
        <v>0</v>
      </c>
      <c r="BA114">
        <v>5569019</v>
      </c>
      <c r="BB114">
        <v>1158876</v>
      </c>
      <c r="BC114">
        <v>11370242</v>
      </c>
      <c r="BD114">
        <v>0</v>
      </c>
      <c r="BE114">
        <v>0</v>
      </c>
      <c r="BF114">
        <v>11492367</v>
      </c>
      <c r="BG114">
        <v>0</v>
      </c>
      <c r="BH114">
        <v>0</v>
      </c>
      <c r="BI114">
        <v>13785810</v>
      </c>
      <c r="BJ114">
        <v>0</v>
      </c>
      <c r="BK114">
        <v>8282455</v>
      </c>
      <c r="BL114">
        <v>1230416</v>
      </c>
      <c r="BM114">
        <v>2343037</v>
      </c>
      <c r="BN114">
        <v>0</v>
      </c>
      <c r="BO114">
        <v>34958187</v>
      </c>
      <c r="BP114">
        <v>1271921644</v>
      </c>
      <c r="BQ114">
        <v>0</v>
      </c>
      <c r="BR114">
        <v>337068</v>
      </c>
      <c r="BS114">
        <v>1080548</v>
      </c>
      <c r="BU114">
        <v>4295937</v>
      </c>
      <c r="BV114">
        <v>0</v>
      </c>
      <c r="BW114">
        <v>82812755</v>
      </c>
      <c r="BX114">
        <v>11804294</v>
      </c>
      <c r="BY114">
        <v>59647657</v>
      </c>
      <c r="BZ114">
        <v>17209085</v>
      </c>
      <c r="CA114">
        <v>2347431</v>
      </c>
      <c r="CB114">
        <v>8507520</v>
      </c>
      <c r="CC114">
        <v>4471242</v>
      </c>
      <c r="CD114">
        <v>6244845</v>
      </c>
      <c r="CE114">
        <v>10320509</v>
      </c>
      <c r="CF114">
        <v>9175445</v>
      </c>
      <c r="CG114">
        <v>0</v>
      </c>
      <c r="CH114">
        <v>7816267</v>
      </c>
      <c r="CI114">
        <v>0</v>
      </c>
      <c r="CK114">
        <v>1739170</v>
      </c>
    </row>
    <row r="115" spans="1:89" x14ac:dyDescent="0.3">
      <c r="A115" s="155">
        <v>382</v>
      </c>
      <c r="B115" t="s">
        <v>106</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6524208</v>
      </c>
      <c r="AA115">
        <v>0</v>
      </c>
      <c r="AB115">
        <v>0</v>
      </c>
      <c r="AC115">
        <v>0</v>
      </c>
      <c r="AD115">
        <v>0</v>
      </c>
      <c r="AE115">
        <v>0</v>
      </c>
      <c r="AF115">
        <v>24910776</v>
      </c>
      <c r="AG115">
        <v>0</v>
      </c>
      <c r="AH115">
        <v>0</v>
      </c>
      <c r="AI115">
        <v>0</v>
      </c>
      <c r="AJ115">
        <v>0</v>
      </c>
      <c r="AK115">
        <v>0</v>
      </c>
      <c r="AL115">
        <v>0</v>
      </c>
      <c r="AM115">
        <v>0</v>
      </c>
      <c r="AN115">
        <v>0</v>
      </c>
      <c r="AO115">
        <v>0</v>
      </c>
      <c r="AP115">
        <v>0</v>
      </c>
      <c r="AQ115">
        <v>218457461</v>
      </c>
      <c r="AR115">
        <v>0</v>
      </c>
      <c r="AS115">
        <v>0</v>
      </c>
      <c r="AT115">
        <v>0</v>
      </c>
      <c r="AU115">
        <v>0</v>
      </c>
      <c r="AV115">
        <v>0</v>
      </c>
      <c r="AW115">
        <v>11509956</v>
      </c>
      <c r="AX115">
        <v>0</v>
      </c>
      <c r="AY115">
        <v>0</v>
      </c>
      <c r="AZ115">
        <v>0</v>
      </c>
      <c r="BA115">
        <v>0</v>
      </c>
      <c r="BB115">
        <v>0</v>
      </c>
      <c r="BC115">
        <v>10704372</v>
      </c>
      <c r="BD115">
        <v>0</v>
      </c>
      <c r="BE115">
        <v>0</v>
      </c>
      <c r="BF115">
        <v>0</v>
      </c>
      <c r="BG115">
        <v>0</v>
      </c>
      <c r="BH115">
        <v>0</v>
      </c>
      <c r="BI115">
        <v>0</v>
      </c>
      <c r="BJ115">
        <v>0</v>
      </c>
      <c r="BK115">
        <v>0</v>
      </c>
      <c r="BL115">
        <v>4408622</v>
      </c>
      <c r="BM115">
        <v>0</v>
      </c>
      <c r="BN115">
        <v>0</v>
      </c>
      <c r="BO115">
        <v>0</v>
      </c>
      <c r="BP115">
        <v>0</v>
      </c>
      <c r="BQ115">
        <v>0</v>
      </c>
      <c r="BR115">
        <v>0</v>
      </c>
      <c r="BS115">
        <v>0</v>
      </c>
      <c r="BU115">
        <v>0</v>
      </c>
      <c r="BV115">
        <v>0</v>
      </c>
      <c r="BW115">
        <v>0</v>
      </c>
      <c r="BX115">
        <v>6628382</v>
      </c>
      <c r="BY115">
        <v>37366782</v>
      </c>
      <c r="BZ115">
        <v>0</v>
      </c>
      <c r="CA115">
        <v>0</v>
      </c>
      <c r="CB115">
        <v>0</v>
      </c>
      <c r="CC115">
        <v>0</v>
      </c>
      <c r="CD115">
        <v>0</v>
      </c>
      <c r="CE115">
        <v>0</v>
      </c>
      <c r="CF115">
        <v>0</v>
      </c>
      <c r="CG115">
        <v>0</v>
      </c>
      <c r="CH115">
        <v>8388650</v>
      </c>
      <c r="CI115">
        <v>0</v>
      </c>
      <c r="CK115">
        <v>0</v>
      </c>
    </row>
    <row r="116" spans="1:89" x14ac:dyDescent="0.3">
      <c r="A116" s="155">
        <v>383</v>
      </c>
      <c r="B116" t="s">
        <v>212</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8753</v>
      </c>
      <c r="AK116">
        <v>0</v>
      </c>
      <c r="AL116">
        <v>0</v>
      </c>
      <c r="AM116">
        <v>0</v>
      </c>
      <c r="AN116">
        <v>0</v>
      </c>
      <c r="AO116">
        <v>0</v>
      </c>
      <c r="AP116">
        <v>0</v>
      </c>
      <c r="AQ116">
        <v>0</v>
      </c>
      <c r="AR116">
        <v>0</v>
      </c>
      <c r="AS116">
        <v>0</v>
      </c>
      <c r="AT116">
        <v>139606</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U116">
        <v>0</v>
      </c>
      <c r="BV116">
        <v>0</v>
      </c>
      <c r="BW116">
        <v>0</v>
      </c>
      <c r="BX116">
        <v>13118</v>
      </c>
      <c r="BY116">
        <v>7679</v>
      </c>
      <c r="BZ116">
        <v>0</v>
      </c>
      <c r="CA116">
        <v>0</v>
      </c>
      <c r="CB116">
        <v>3658</v>
      </c>
      <c r="CC116">
        <v>0</v>
      </c>
      <c r="CD116">
        <v>0</v>
      </c>
      <c r="CE116">
        <v>0</v>
      </c>
      <c r="CF116">
        <v>0</v>
      </c>
      <c r="CG116">
        <v>0</v>
      </c>
      <c r="CH116">
        <v>0</v>
      </c>
      <c r="CI116">
        <v>0</v>
      </c>
      <c r="CK116">
        <v>0</v>
      </c>
    </row>
    <row r="117" spans="1:89" x14ac:dyDescent="0.3">
      <c r="A117" s="155">
        <v>384</v>
      </c>
      <c r="B117" t="s">
        <v>116</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U117">
        <v>0</v>
      </c>
      <c r="BV117">
        <v>0</v>
      </c>
      <c r="BW117">
        <v>0</v>
      </c>
      <c r="BX117">
        <v>274410</v>
      </c>
      <c r="BY117">
        <v>44530</v>
      </c>
      <c r="BZ117">
        <v>0</v>
      </c>
      <c r="CA117">
        <v>0</v>
      </c>
      <c r="CB117">
        <v>0</v>
      </c>
      <c r="CC117">
        <v>0</v>
      </c>
      <c r="CD117">
        <v>0</v>
      </c>
      <c r="CE117">
        <v>0</v>
      </c>
      <c r="CF117">
        <v>0</v>
      </c>
      <c r="CG117">
        <v>0</v>
      </c>
      <c r="CH117">
        <v>0</v>
      </c>
      <c r="CI117">
        <v>0</v>
      </c>
      <c r="CK117">
        <v>0</v>
      </c>
    </row>
    <row r="118" spans="1:89" x14ac:dyDescent="0.3">
      <c r="A118" s="155">
        <v>385</v>
      </c>
      <c r="B118" t="s">
        <v>107</v>
      </c>
      <c r="D118">
        <v>3490301</v>
      </c>
      <c r="E118">
        <v>4239505</v>
      </c>
      <c r="F118">
        <v>967357</v>
      </c>
      <c r="G118">
        <v>938928</v>
      </c>
      <c r="H118">
        <v>2061976</v>
      </c>
      <c r="I118">
        <v>18256016</v>
      </c>
      <c r="J118">
        <v>4544174</v>
      </c>
      <c r="K118">
        <v>39935144</v>
      </c>
      <c r="L118">
        <v>8042161</v>
      </c>
      <c r="M118">
        <v>70531044</v>
      </c>
      <c r="N118">
        <v>4859820</v>
      </c>
      <c r="O118">
        <v>1336907376</v>
      </c>
      <c r="P118">
        <v>152249</v>
      </c>
      <c r="Q118">
        <v>869510</v>
      </c>
      <c r="R118">
        <v>9438636</v>
      </c>
      <c r="S118">
        <v>2255650</v>
      </c>
      <c r="T118">
        <v>4496507</v>
      </c>
      <c r="U118">
        <v>597414</v>
      </c>
      <c r="V118">
        <v>1262969</v>
      </c>
      <c r="W118">
        <v>4969084</v>
      </c>
      <c r="X118">
        <v>205554512</v>
      </c>
      <c r="Y118">
        <v>8583453000</v>
      </c>
      <c r="Z118">
        <v>12298148</v>
      </c>
      <c r="AA118">
        <v>2049830</v>
      </c>
      <c r="AB118">
        <v>9322134</v>
      </c>
      <c r="AC118">
        <v>1617675</v>
      </c>
      <c r="AD118">
        <v>13683164</v>
      </c>
      <c r="AE118">
        <v>3414154</v>
      </c>
      <c r="AF118">
        <v>93004280</v>
      </c>
      <c r="AG118">
        <v>55451616</v>
      </c>
      <c r="AH118">
        <v>5939387</v>
      </c>
      <c r="AI118">
        <v>22377915</v>
      </c>
      <c r="AJ118">
        <v>2743911</v>
      </c>
      <c r="AK118">
        <v>3068801</v>
      </c>
      <c r="AL118">
        <v>2141131</v>
      </c>
      <c r="AM118">
        <v>592636</v>
      </c>
      <c r="AN118">
        <v>1788443</v>
      </c>
      <c r="AO118">
        <v>2504168</v>
      </c>
      <c r="AP118">
        <v>114086</v>
      </c>
      <c r="AQ118">
        <v>620603515</v>
      </c>
      <c r="AR118">
        <v>515183</v>
      </c>
      <c r="AS118">
        <v>3411038</v>
      </c>
      <c r="AT118">
        <v>54075302</v>
      </c>
      <c r="AU118">
        <v>1225821</v>
      </c>
      <c r="AV118">
        <v>1832250</v>
      </c>
      <c r="AW118">
        <v>115958795</v>
      </c>
      <c r="AX118">
        <v>639277</v>
      </c>
      <c r="AY118">
        <v>14787477</v>
      </c>
      <c r="AZ118">
        <v>34603044</v>
      </c>
      <c r="BA118">
        <v>643941</v>
      </c>
      <c r="BB118">
        <v>391493</v>
      </c>
      <c r="BC118">
        <v>12919753</v>
      </c>
      <c r="BD118">
        <v>305203</v>
      </c>
      <c r="BE118">
        <v>64401245</v>
      </c>
      <c r="BF118">
        <v>3853221</v>
      </c>
      <c r="BG118">
        <v>1844204</v>
      </c>
      <c r="BH118">
        <v>808228</v>
      </c>
      <c r="BI118">
        <v>4204455</v>
      </c>
      <c r="BJ118">
        <v>3497011</v>
      </c>
      <c r="BK118">
        <v>758893</v>
      </c>
      <c r="BL118">
        <v>3736676</v>
      </c>
      <c r="BM118">
        <v>1584916</v>
      </c>
      <c r="BN118">
        <v>30623162</v>
      </c>
      <c r="BO118">
        <v>28723864</v>
      </c>
      <c r="BP118">
        <v>1207286044</v>
      </c>
      <c r="BQ118">
        <v>141545</v>
      </c>
      <c r="BR118">
        <v>351404</v>
      </c>
      <c r="BS118">
        <v>1432766</v>
      </c>
      <c r="BU118">
        <v>3897485</v>
      </c>
      <c r="BV118">
        <v>9130070</v>
      </c>
      <c r="BW118">
        <v>45874278</v>
      </c>
      <c r="BX118">
        <v>11922217</v>
      </c>
      <c r="BY118">
        <v>45951154</v>
      </c>
      <c r="BZ118">
        <v>24846903</v>
      </c>
      <c r="CA118">
        <v>1242910</v>
      </c>
      <c r="CB118">
        <v>14084825</v>
      </c>
      <c r="CC118">
        <v>1095064</v>
      </c>
      <c r="CD118">
        <v>1722145</v>
      </c>
      <c r="CE118">
        <v>2004650</v>
      </c>
      <c r="CF118">
        <v>18657091</v>
      </c>
      <c r="CG118">
        <v>42059263</v>
      </c>
      <c r="CH118">
        <v>7145768</v>
      </c>
      <c r="CI118">
        <v>10910451</v>
      </c>
      <c r="CK118">
        <v>96419</v>
      </c>
    </row>
    <row r="119" spans="1:89" x14ac:dyDescent="0.3">
      <c r="A119" s="155">
        <v>386</v>
      </c>
      <c r="B119" t="s">
        <v>185</v>
      </c>
      <c r="D119">
        <v>0</v>
      </c>
      <c r="E119">
        <v>0</v>
      </c>
      <c r="F119">
        <v>0</v>
      </c>
      <c r="G119">
        <v>0</v>
      </c>
      <c r="H119">
        <v>0</v>
      </c>
      <c r="I119">
        <v>0</v>
      </c>
      <c r="J119">
        <v>0</v>
      </c>
      <c r="K119">
        <v>175000</v>
      </c>
      <c r="L119">
        <v>0</v>
      </c>
      <c r="M119">
        <v>0</v>
      </c>
      <c r="N119">
        <v>0</v>
      </c>
      <c r="O119">
        <v>5000000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3076</v>
      </c>
      <c r="AL119">
        <v>0</v>
      </c>
      <c r="AM119">
        <v>0</v>
      </c>
      <c r="AN119">
        <v>0</v>
      </c>
      <c r="AO119">
        <v>0</v>
      </c>
      <c r="AP119">
        <v>0</v>
      </c>
      <c r="AQ119">
        <v>0</v>
      </c>
      <c r="AR119">
        <v>0</v>
      </c>
      <c r="AS119">
        <v>0</v>
      </c>
      <c r="AT119">
        <v>0</v>
      </c>
      <c r="AU119">
        <v>0</v>
      </c>
      <c r="AV119">
        <v>0</v>
      </c>
      <c r="AW119">
        <v>0</v>
      </c>
      <c r="AX119">
        <v>0</v>
      </c>
      <c r="AY119">
        <v>0</v>
      </c>
      <c r="AZ119">
        <v>0</v>
      </c>
      <c r="BA119">
        <v>0</v>
      </c>
      <c r="BB119">
        <v>0</v>
      </c>
      <c r="BC119">
        <v>2015782</v>
      </c>
      <c r="BD119">
        <v>0</v>
      </c>
      <c r="BE119">
        <v>0</v>
      </c>
      <c r="BF119">
        <v>0</v>
      </c>
      <c r="BG119">
        <v>0</v>
      </c>
      <c r="BH119">
        <v>0</v>
      </c>
      <c r="BI119">
        <v>0</v>
      </c>
      <c r="BJ119">
        <v>0</v>
      </c>
      <c r="BK119">
        <v>0</v>
      </c>
      <c r="BL119">
        <v>0</v>
      </c>
      <c r="BM119">
        <v>0</v>
      </c>
      <c r="BN119">
        <v>0</v>
      </c>
      <c r="BO119">
        <v>0</v>
      </c>
      <c r="BP119">
        <v>0</v>
      </c>
      <c r="BQ119">
        <v>0</v>
      </c>
      <c r="BR119">
        <v>0</v>
      </c>
      <c r="BS119">
        <v>0</v>
      </c>
      <c r="BU119">
        <v>0</v>
      </c>
      <c r="BV119">
        <v>0</v>
      </c>
      <c r="BW119">
        <v>0</v>
      </c>
      <c r="BX119">
        <v>314218</v>
      </c>
      <c r="BY119">
        <v>925000</v>
      </c>
      <c r="BZ119">
        <v>0</v>
      </c>
      <c r="CA119">
        <v>0</v>
      </c>
      <c r="CB119">
        <v>0</v>
      </c>
      <c r="CC119">
        <v>0</v>
      </c>
      <c r="CD119">
        <v>0</v>
      </c>
      <c r="CE119">
        <v>0</v>
      </c>
      <c r="CF119">
        <v>0</v>
      </c>
      <c r="CG119">
        <v>0</v>
      </c>
      <c r="CH119">
        <v>0</v>
      </c>
      <c r="CI119">
        <v>0</v>
      </c>
      <c r="CK119">
        <v>0</v>
      </c>
    </row>
    <row r="120" spans="1:89" x14ac:dyDescent="0.3">
      <c r="A120" s="155">
        <v>387</v>
      </c>
      <c r="B120" t="s">
        <v>186</v>
      </c>
      <c r="D120">
        <v>0</v>
      </c>
      <c r="E120">
        <v>0</v>
      </c>
      <c r="F120">
        <v>0</v>
      </c>
      <c r="G120">
        <v>0</v>
      </c>
      <c r="H120">
        <v>0</v>
      </c>
      <c r="I120">
        <v>0</v>
      </c>
      <c r="J120">
        <v>0</v>
      </c>
      <c r="K120">
        <v>0</v>
      </c>
      <c r="L120">
        <v>0</v>
      </c>
      <c r="M120">
        <v>121775</v>
      </c>
      <c r="N120">
        <v>0</v>
      </c>
      <c r="O120">
        <v>70000</v>
      </c>
      <c r="P120">
        <v>0</v>
      </c>
      <c r="Q120">
        <v>0</v>
      </c>
      <c r="R120">
        <v>0</v>
      </c>
      <c r="S120">
        <v>0</v>
      </c>
      <c r="T120">
        <v>0</v>
      </c>
      <c r="U120">
        <v>0</v>
      </c>
      <c r="V120">
        <v>37557</v>
      </c>
      <c r="W120">
        <v>0</v>
      </c>
      <c r="X120">
        <v>9312</v>
      </c>
      <c r="Y120">
        <v>25458000</v>
      </c>
      <c r="Z120">
        <v>0</v>
      </c>
      <c r="AA120">
        <v>3892</v>
      </c>
      <c r="AB120">
        <v>0</v>
      </c>
      <c r="AC120">
        <v>0</v>
      </c>
      <c r="AD120">
        <v>36931</v>
      </c>
      <c r="AE120">
        <v>0</v>
      </c>
      <c r="AF120">
        <v>0</v>
      </c>
      <c r="AG120">
        <v>0</v>
      </c>
      <c r="AH120">
        <v>0</v>
      </c>
      <c r="AI120">
        <v>0</v>
      </c>
      <c r="AJ120">
        <v>0</v>
      </c>
      <c r="AK120">
        <v>0</v>
      </c>
      <c r="AL120">
        <v>0</v>
      </c>
      <c r="AM120">
        <v>0</v>
      </c>
      <c r="AN120">
        <v>0</v>
      </c>
      <c r="AO120">
        <v>0</v>
      </c>
      <c r="AP120">
        <v>0</v>
      </c>
      <c r="AQ120">
        <v>1254483</v>
      </c>
      <c r="AR120">
        <v>0</v>
      </c>
      <c r="AS120">
        <v>0</v>
      </c>
      <c r="AT120">
        <v>0</v>
      </c>
      <c r="AU120">
        <v>0</v>
      </c>
      <c r="AV120">
        <v>0</v>
      </c>
      <c r="AW120">
        <v>0</v>
      </c>
      <c r="AX120">
        <v>0</v>
      </c>
      <c r="AY120">
        <v>0</v>
      </c>
      <c r="AZ120">
        <v>0</v>
      </c>
      <c r="BA120">
        <v>0</v>
      </c>
      <c r="BB120">
        <v>0</v>
      </c>
      <c r="BC120">
        <v>0</v>
      </c>
      <c r="BD120">
        <v>0</v>
      </c>
      <c r="BE120">
        <v>75666</v>
      </c>
      <c r="BF120">
        <v>0</v>
      </c>
      <c r="BG120">
        <v>0</v>
      </c>
      <c r="BH120">
        <v>0</v>
      </c>
      <c r="BI120">
        <v>0</v>
      </c>
      <c r="BJ120">
        <v>0</v>
      </c>
      <c r="BK120">
        <v>0</v>
      </c>
      <c r="BL120">
        <v>0</v>
      </c>
      <c r="BM120">
        <v>0</v>
      </c>
      <c r="BN120">
        <v>0</v>
      </c>
      <c r="BO120">
        <v>0</v>
      </c>
      <c r="BP120">
        <v>431131</v>
      </c>
      <c r="BQ120">
        <v>0</v>
      </c>
      <c r="BR120">
        <v>0</v>
      </c>
      <c r="BS120">
        <v>0</v>
      </c>
      <c r="BU120">
        <v>0</v>
      </c>
      <c r="BV120">
        <v>0</v>
      </c>
      <c r="BW120">
        <v>0</v>
      </c>
      <c r="BX120">
        <v>0</v>
      </c>
      <c r="BY120">
        <v>0</v>
      </c>
      <c r="BZ120">
        <v>0</v>
      </c>
      <c r="CA120">
        <v>0</v>
      </c>
      <c r="CB120">
        <v>0</v>
      </c>
      <c r="CC120">
        <v>0</v>
      </c>
      <c r="CD120">
        <v>0</v>
      </c>
      <c r="CE120">
        <v>0</v>
      </c>
      <c r="CF120">
        <v>0</v>
      </c>
      <c r="CG120">
        <v>0</v>
      </c>
      <c r="CH120">
        <v>0</v>
      </c>
      <c r="CI120">
        <v>0</v>
      </c>
      <c r="CK120">
        <v>11250</v>
      </c>
    </row>
    <row r="121" spans="1:89" x14ac:dyDescent="0.3">
      <c r="A121" s="155">
        <v>388</v>
      </c>
      <c r="B121" t="s">
        <v>180</v>
      </c>
      <c r="D121">
        <v>589675</v>
      </c>
      <c r="E121">
        <v>1167591</v>
      </c>
      <c r="F121">
        <v>576600</v>
      </c>
      <c r="G121">
        <v>208514</v>
      </c>
      <c r="H121">
        <v>1440844</v>
      </c>
      <c r="I121">
        <v>6810228</v>
      </c>
      <c r="J121">
        <v>1945545</v>
      </c>
      <c r="K121">
        <v>15135515</v>
      </c>
      <c r="L121">
        <v>2601913</v>
      </c>
      <c r="M121">
        <v>25328598</v>
      </c>
      <c r="N121">
        <v>3143656</v>
      </c>
      <c r="O121">
        <v>224790766</v>
      </c>
      <c r="P121">
        <v>36362</v>
      </c>
      <c r="Q121">
        <v>205631</v>
      </c>
      <c r="R121">
        <v>1804691</v>
      </c>
      <c r="S121">
        <v>744124</v>
      </c>
      <c r="T121">
        <v>748545</v>
      </c>
      <c r="U121">
        <v>185822</v>
      </c>
      <c r="V121">
        <v>201716</v>
      </c>
      <c r="W121">
        <v>1572952</v>
      </c>
      <c r="X121">
        <v>74648094</v>
      </c>
      <c r="Y121">
        <v>1260615000</v>
      </c>
      <c r="Z121">
        <v>5246100</v>
      </c>
      <c r="AA121">
        <v>202181</v>
      </c>
      <c r="AB121">
        <v>3981522</v>
      </c>
      <c r="AC121">
        <v>739140</v>
      </c>
      <c r="AD121">
        <v>3803878</v>
      </c>
      <c r="AE121">
        <v>619600</v>
      </c>
      <c r="AF121">
        <v>26522049</v>
      </c>
      <c r="AG121">
        <v>6968144</v>
      </c>
      <c r="AH121">
        <v>1100912</v>
      </c>
      <c r="AI121">
        <v>10248222</v>
      </c>
      <c r="AJ121">
        <v>1059582</v>
      </c>
      <c r="AK121">
        <v>1472480</v>
      </c>
      <c r="AL121">
        <v>460906</v>
      </c>
      <c r="AM121">
        <v>224505</v>
      </c>
      <c r="AN121">
        <v>602461</v>
      </c>
      <c r="AO121">
        <v>1302505</v>
      </c>
      <c r="AP121">
        <v>28200</v>
      </c>
      <c r="AQ121">
        <v>117570004</v>
      </c>
      <c r="AR121">
        <v>112051</v>
      </c>
      <c r="AS121">
        <v>455934</v>
      </c>
      <c r="AT121">
        <v>10706428</v>
      </c>
      <c r="AU121">
        <v>709737</v>
      </c>
      <c r="AV121">
        <v>408229</v>
      </c>
      <c r="AW121">
        <v>22875496</v>
      </c>
      <c r="AX121">
        <v>121233</v>
      </c>
      <c r="AY121">
        <v>5702579</v>
      </c>
      <c r="AZ121">
        <v>4469196</v>
      </c>
      <c r="BA121">
        <v>158076</v>
      </c>
      <c r="BB121">
        <v>128783</v>
      </c>
      <c r="BC121">
        <v>3695608</v>
      </c>
      <c r="BD121">
        <v>74922</v>
      </c>
      <c r="BE121">
        <v>12420635</v>
      </c>
      <c r="BF121">
        <v>1695206</v>
      </c>
      <c r="BG121">
        <v>414403</v>
      </c>
      <c r="BH121">
        <v>371398</v>
      </c>
      <c r="BI121">
        <v>1750078</v>
      </c>
      <c r="BJ121">
        <v>218053</v>
      </c>
      <c r="BK121">
        <v>166964</v>
      </c>
      <c r="BL121">
        <v>1061854</v>
      </c>
      <c r="BM121">
        <v>459263</v>
      </c>
      <c r="BN121">
        <v>10223878</v>
      </c>
      <c r="BO121">
        <v>11001175</v>
      </c>
      <c r="BP121">
        <v>291374984</v>
      </c>
      <c r="BQ121">
        <v>53462</v>
      </c>
      <c r="BR121">
        <v>84898</v>
      </c>
      <c r="BS121">
        <v>389414</v>
      </c>
      <c r="BU121">
        <v>1606693</v>
      </c>
      <c r="BV121">
        <v>1048296</v>
      </c>
      <c r="BW121">
        <v>14659412</v>
      </c>
      <c r="BX121">
        <v>7366836</v>
      </c>
      <c r="BY121">
        <v>22310739</v>
      </c>
      <c r="BZ121">
        <v>6329536</v>
      </c>
      <c r="CA121">
        <v>198699</v>
      </c>
      <c r="CB121">
        <v>6017636</v>
      </c>
      <c r="CC121">
        <v>182801</v>
      </c>
      <c r="CD121">
        <v>990155</v>
      </c>
      <c r="CE121">
        <v>758145</v>
      </c>
      <c r="CF121">
        <v>7259472</v>
      </c>
      <c r="CG121">
        <v>43626196</v>
      </c>
      <c r="CH121">
        <v>1768039</v>
      </c>
      <c r="CI121">
        <v>3229256</v>
      </c>
      <c r="CK121">
        <v>61145</v>
      </c>
    </row>
    <row r="122" spans="1:89" x14ac:dyDescent="0.3">
      <c r="A122" s="155">
        <v>389</v>
      </c>
      <c r="B122" t="s">
        <v>187</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451988</v>
      </c>
      <c r="BH122">
        <v>0</v>
      </c>
      <c r="BI122">
        <v>0</v>
      </c>
      <c r="BJ122">
        <v>0</v>
      </c>
      <c r="BK122">
        <v>0</v>
      </c>
      <c r="BL122">
        <v>0</v>
      </c>
      <c r="BM122">
        <v>0</v>
      </c>
      <c r="BN122">
        <v>0</v>
      </c>
      <c r="BO122">
        <v>0</v>
      </c>
      <c r="BP122">
        <v>0</v>
      </c>
      <c r="BQ122">
        <v>0</v>
      </c>
      <c r="BR122">
        <v>0</v>
      </c>
      <c r="BS122">
        <v>0</v>
      </c>
      <c r="BU122">
        <v>0</v>
      </c>
      <c r="BV122">
        <v>0</v>
      </c>
      <c r="BW122">
        <v>0</v>
      </c>
      <c r="BX122">
        <v>0</v>
      </c>
      <c r="BY122">
        <v>0</v>
      </c>
      <c r="BZ122">
        <v>0</v>
      </c>
      <c r="CA122">
        <v>0</v>
      </c>
      <c r="CB122">
        <v>0</v>
      </c>
      <c r="CC122">
        <v>0</v>
      </c>
      <c r="CD122">
        <v>0</v>
      </c>
      <c r="CE122">
        <v>0</v>
      </c>
      <c r="CF122">
        <v>0</v>
      </c>
      <c r="CG122">
        <v>0</v>
      </c>
      <c r="CH122">
        <v>0</v>
      </c>
      <c r="CI122">
        <v>0</v>
      </c>
      <c r="CK122">
        <v>0</v>
      </c>
    </row>
    <row r="123" spans="1:89" x14ac:dyDescent="0.3">
      <c r="A123" s="155">
        <v>391</v>
      </c>
      <c r="B123" t="s">
        <v>192</v>
      </c>
      <c r="D123">
        <v>133467</v>
      </c>
      <c r="E123">
        <v>295572</v>
      </c>
      <c r="F123">
        <v>50622</v>
      </c>
      <c r="G123">
        <v>28558</v>
      </c>
      <c r="H123">
        <v>77285</v>
      </c>
      <c r="I123">
        <v>636111</v>
      </c>
      <c r="J123">
        <v>251810</v>
      </c>
      <c r="K123">
        <v>1650634</v>
      </c>
      <c r="L123">
        <v>258330</v>
      </c>
      <c r="M123">
        <v>2430918</v>
      </c>
      <c r="N123">
        <v>242627</v>
      </c>
      <c r="O123">
        <v>25933488</v>
      </c>
      <c r="P123">
        <v>4739</v>
      </c>
      <c r="Q123">
        <v>7093</v>
      </c>
      <c r="R123">
        <v>498086</v>
      </c>
      <c r="S123">
        <v>103410</v>
      </c>
      <c r="T123">
        <v>42435</v>
      </c>
      <c r="U123">
        <v>19799</v>
      </c>
      <c r="V123">
        <v>21695</v>
      </c>
      <c r="W123">
        <v>173556</v>
      </c>
      <c r="X123">
        <v>9643814</v>
      </c>
      <c r="Y123">
        <v>68577000</v>
      </c>
      <c r="Z123">
        <v>401042</v>
      </c>
      <c r="AA123">
        <v>56410</v>
      </c>
      <c r="AB123">
        <v>498063</v>
      </c>
      <c r="AC123">
        <v>62690</v>
      </c>
      <c r="AD123">
        <v>748791</v>
      </c>
      <c r="AE123">
        <v>102523</v>
      </c>
      <c r="AF123">
        <v>195039</v>
      </c>
      <c r="AG123">
        <v>693149</v>
      </c>
      <c r="AH123">
        <v>65317</v>
      </c>
      <c r="AI123">
        <v>1500273</v>
      </c>
      <c r="AJ123">
        <v>137983</v>
      </c>
      <c r="AK123">
        <v>84111</v>
      </c>
      <c r="AL123">
        <v>78437</v>
      </c>
      <c r="AM123">
        <v>18749</v>
      </c>
      <c r="AN123">
        <v>54158</v>
      </c>
      <c r="AO123">
        <v>142804</v>
      </c>
      <c r="AP123">
        <v>1235</v>
      </c>
      <c r="AQ123">
        <v>26464888</v>
      </c>
      <c r="AR123">
        <v>6814</v>
      </c>
      <c r="AS123">
        <v>95363</v>
      </c>
      <c r="AT123">
        <v>1526197</v>
      </c>
      <c r="AU123">
        <v>63677</v>
      </c>
      <c r="AV123">
        <v>35842</v>
      </c>
      <c r="AW123">
        <v>4219464</v>
      </c>
      <c r="AX123">
        <v>75378</v>
      </c>
      <c r="AY123">
        <v>648473</v>
      </c>
      <c r="AZ123">
        <v>489048</v>
      </c>
      <c r="BA123">
        <v>23068</v>
      </c>
      <c r="BB123">
        <v>20088</v>
      </c>
      <c r="BC123">
        <v>247845</v>
      </c>
      <c r="BD123">
        <v>4220</v>
      </c>
      <c r="BE123">
        <v>1945073</v>
      </c>
      <c r="BF123">
        <v>178153</v>
      </c>
      <c r="BG123">
        <v>36951</v>
      </c>
      <c r="BH123">
        <v>22023</v>
      </c>
      <c r="BI123">
        <v>226288</v>
      </c>
      <c r="BJ123">
        <v>56725</v>
      </c>
      <c r="BK123">
        <v>128763</v>
      </c>
      <c r="BL123">
        <v>124915</v>
      </c>
      <c r="BM123">
        <v>82344</v>
      </c>
      <c r="BN123">
        <v>1512908</v>
      </c>
      <c r="BO123">
        <v>1592946</v>
      </c>
      <c r="BP123">
        <v>40536526</v>
      </c>
      <c r="BQ123">
        <v>2024</v>
      </c>
      <c r="BR123">
        <v>74970</v>
      </c>
      <c r="BS123">
        <v>49741</v>
      </c>
      <c r="BU123">
        <v>1011408</v>
      </c>
      <c r="BV123">
        <v>208522</v>
      </c>
      <c r="BW123">
        <v>2122298</v>
      </c>
      <c r="BX123">
        <v>800209</v>
      </c>
      <c r="BY123">
        <v>3647854</v>
      </c>
      <c r="BZ123">
        <v>667950</v>
      </c>
      <c r="CA123">
        <v>46660</v>
      </c>
      <c r="CB123">
        <v>696968</v>
      </c>
      <c r="CC123">
        <v>296</v>
      </c>
      <c r="CD123">
        <v>75250</v>
      </c>
      <c r="CE123">
        <v>429459</v>
      </c>
      <c r="CF123">
        <v>924835</v>
      </c>
      <c r="CG123">
        <v>942141</v>
      </c>
      <c r="CH123">
        <v>250376</v>
      </c>
      <c r="CI123">
        <v>396034</v>
      </c>
      <c r="CK123">
        <v>4695</v>
      </c>
    </row>
    <row r="124" spans="1:89" x14ac:dyDescent="0.3">
      <c r="A124" s="155">
        <v>500</v>
      </c>
      <c r="B124" t="s">
        <v>175</v>
      </c>
      <c r="D124">
        <v>73009</v>
      </c>
      <c r="E124">
        <v>282387</v>
      </c>
      <c r="F124">
        <v>22192</v>
      </c>
      <c r="G124">
        <v>50851</v>
      </c>
      <c r="H124">
        <v>118700</v>
      </c>
      <c r="I124">
        <v>347786</v>
      </c>
      <c r="J124">
        <v>166656</v>
      </c>
      <c r="K124">
        <v>1330228</v>
      </c>
      <c r="L124">
        <v>0</v>
      </c>
      <c r="M124">
        <v>654851</v>
      </c>
      <c r="N124">
        <v>161546</v>
      </c>
      <c r="O124">
        <v>16259613</v>
      </c>
      <c r="P124">
        <v>0</v>
      </c>
      <c r="Q124">
        <v>15462</v>
      </c>
      <c r="R124">
        <v>655</v>
      </c>
      <c r="S124">
        <v>72706</v>
      </c>
      <c r="T124">
        <v>151318</v>
      </c>
      <c r="U124">
        <v>75342</v>
      </c>
      <c r="V124">
        <v>278137</v>
      </c>
      <c r="W124">
        <v>31454</v>
      </c>
      <c r="X124">
        <v>22387834</v>
      </c>
      <c r="Y124">
        <v>105120000</v>
      </c>
      <c r="Z124">
        <v>4328653</v>
      </c>
      <c r="AA124">
        <v>0</v>
      </c>
      <c r="AB124">
        <v>471646</v>
      </c>
      <c r="AC124">
        <v>44430</v>
      </c>
      <c r="AD124">
        <v>256012</v>
      </c>
      <c r="AE124">
        <v>92166</v>
      </c>
      <c r="AF124">
        <v>145554</v>
      </c>
      <c r="AG124">
        <v>1124783</v>
      </c>
      <c r="AH124">
        <v>150083</v>
      </c>
      <c r="AI124">
        <v>103299</v>
      </c>
      <c r="AJ124">
        <v>6417</v>
      </c>
      <c r="AK124">
        <v>189308</v>
      </c>
      <c r="AL124">
        <v>188520</v>
      </c>
      <c r="AM124">
        <v>4765</v>
      </c>
      <c r="AN124">
        <v>0</v>
      </c>
      <c r="AO124">
        <v>153916</v>
      </c>
      <c r="AP124">
        <v>0</v>
      </c>
      <c r="AQ124">
        <v>50789009</v>
      </c>
      <c r="AR124">
        <v>73611</v>
      </c>
      <c r="AS124">
        <v>313121</v>
      </c>
      <c r="AT124">
        <v>862752</v>
      </c>
      <c r="AU124">
        <v>29517</v>
      </c>
      <c r="AV124">
        <v>37602</v>
      </c>
      <c r="AW124">
        <v>8860442</v>
      </c>
      <c r="AX124">
        <v>54222</v>
      </c>
      <c r="AY124">
        <v>140133</v>
      </c>
      <c r="AZ124">
        <v>1521954</v>
      </c>
      <c r="BA124">
        <v>75818</v>
      </c>
      <c r="BB124">
        <v>17357</v>
      </c>
      <c r="BC124">
        <v>96181</v>
      </c>
      <c r="BD124">
        <v>10343</v>
      </c>
      <c r="BE124">
        <v>17564065</v>
      </c>
      <c r="BF124">
        <v>101081</v>
      </c>
      <c r="BG124">
        <v>9585</v>
      </c>
      <c r="BH124">
        <v>1102</v>
      </c>
      <c r="BI124">
        <v>83745</v>
      </c>
      <c r="BJ124">
        <v>0</v>
      </c>
      <c r="BK124">
        <v>52115</v>
      </c>
      <c r="BL124">
        <v>42652</v>
      </c>
      <c r="BM124">
        <v>104990</v>
      </c>
      <c r="BN124">
        <v>1694718</v>
      </c>
      <c r="BO124">
        <v>960679</v>
      </c>
      <c r="BP124">
        <v>518880</v>
      </c>
      <c r="BQ124">
        <v>51573</v>
      </c>
      <c r="BR124">
        <v>35539</v>
      </c>
      <c r="BS124">
        <v>1811</v>
      </c>
      <c r="BU124">
        <v>209740</v>
      </c>
      <c r="BV124">
        <v>660127</v>
      </c>
      <c r="BW124">
        <v>240038</v>
      </c>
      <c r="BX124">
        <v>216572</v>
      </c>
      <c r="BY124">
        <v>369325</v>
      </c>
      <c r="BZ124">
        <v>937056</v>
      </c>
      <c r="CA124">
        <v>5905</v>
      </c>
      <c r="CB124">
        <v>170123</v>
      </c>
      <c r="CC124">
        <v>73867</v>
      </c>
      <c r="CD124">
        <v>185932</v>
      </c>
      <c r="CE124">
        <v>77998</v>
      </c>
      <c r="CF124">
        <v>808285</v>
      </c>
      <c r="CG124">
        <v>136307</v>
      </c>
      <c r="CH124">
        <v>199570</v>
      </c>
      <c r="CI124">
        <v>284886</v>
      </c>
      <c r="CK124">
        <v>3251</v>
      </c>
    </row>
    <row r="125" spans="1:89" x14ac:dyDescent="0.3">
      <c r="A125" s="155">
        <v>502</v>
      </c>
      <c r="B125" t="s">
        <v>177</v>
      </c>
      <c r="D125">
        <v>148852</v>
      </c>
      <c r="E125">
        <v>0</v>
      </c>
      <c r="F125">
        <v>1063446</v>
      </c>
      <c r="G125">
        <v>185404</v>
      </c>
      <c r="H125">
        <v>435524</v>
      </c>
      <c r="I125">
        <v>3248351</v>
      </c>
      <c r="J125">
        <v>0</v>
      </c>
      <c r="K125">
        <v>3244745</v>
      </c>
      <c r="L125">
        <v>0</v>
      </c>
      <c r="M125">
        <v>1085718</v>
      </c>
      <c r="N125">
        <v>544278</v>
      </c>
      <c r="O125">
        <v>270581361</v>
      </c>
      <c r="P125">
        <v>0</v>
      </c>
      <c r="Q125">
        <v>0</v>
      </c>
      <c r="R125">
        <v>0</v>
      </c>
      <c r="S125">
        <v>0</v>
      </c>
      <c r="T125">
        <v>0</v>
      </c>
      <c r="U125">
        <v>0</v>
      </c>
      <c r="V125">
        <v>127200</v>
      </c>
      <c r="W125">
        <v>2125490</v>
      </c>
      <c r="X125">
        <v>38486350</v>
      </c>
      <c r="Y125">
        <v>1179605000</v>
      </c>
      <c r="Z125">
        <v>3779127</v>
      </c>
      <c r="AA125">
        <v>220134</v>
      </c>
      <c r="AB125">
        <v>0</v>
      </c>
      <c r="AC125">
        <v>465862</v>
      </c>
      <c r="AD125">
        <v>3426393</v>
      </c>
      <c r="AE125">
        <v>315598</v>
      </c>
      <c r="AF125">
        <v>16564783</v>
      </c>
      <c r="AG125">
        <v>1064972</v>
      </c>
      <c r="AH125">
        <v>2768224</v>
      </c>
      <c r="AI125">
        <v>5459041</v>
      </c>
      <c r="AJ125">
        <v>1137432</v>
      </c>
      <c r="AK125">
        <v>816670</v>
      </c>
      <c r="AL125">
        <v>500745</v>
      </c>
      <c r="AM125">
        <v>116268</v>
      </c>
      <c r="AN125">
        <v>2583419</v>
      </c>
      <c r="AO125">
        <v>888205</v>
      </c>
      <c r="AP125">
        <v>0</v>
      </c>
      <c r="AQ125">
        <v>239585168</v>
      </c>
      <c r="AR125">
        <v>0</v>
      </c>
      <c r="AS125">
        <v>47917</v>
      </c>
      <c r="AT125">
        <v>7966256</v>
      </c>
      <c r="AU125">
        <v>1146574</v>
      </c>
      <c r="AV125">
        <v>0</v>
      </c>
      <c r="AW125">
        <v>5476691</v>
      </c>
      <c r="AX125">
        <v>116226</v>
      </c>
      <c r="AY125">
        <v>0</v>
      </c>
      <c r="AZ125">
        <v>669588</v>
      </c>
      <c r="BA125">
        <v>224649</v>
      </c>
      <c r="BB125">
        <v>62564</v>
      </c>
      <c r="BC125">
        <v>5951285</v>
      </c>
      <c r="BD125">
        <v>0</v>
      </c>
      <c r="BE125">
        <v>0</v>
      </c>
      <c r="BF125">
        <v>474620</v>
      </c>
      <c r="BG125">
        <v>0</v>
      </c>
      <c r="BH125">
        <v>0</v>
      </c>
      <c r="BI125">
        <v>858287</v>
      </c>
      <c r="BJ125">
        <v>0</v>
      </c>
      <c r="BK125">
        <v>21623</v>
      </c>
      <c r="BL125">
        <v>4380551</v>
      </c>
      <c r="BM125">
        <v>338159</v>
      </c>
      <c r="BN125">
        <v>0</v>
      </c>
      <c r="BO125">
        <v>0</v>
      </c>
      <c r="BP125">
        <v>173167345</v>
      </c>
      <c r="BQ125">
        <v>0</v>
      </c>
      <c r="BR125">
        <v>103738</v>
      </c>
      <c r="BS125">
        <v>382290</v>
      </c>
      <c r="BU125">
        <v>18448</v>
      </c>
      <c r="BV125">
        <v>0</v>
      </c>
      <c r="BW125">
        <v>3837856</v>
      </c>
      <c r="BX125">
        <v>2931885</v>
      </c>
      <c r="BY125">
        <v>14252368</v>
      </c>
      <c r="BZ125">
        <v>2338569</v>
      </c>
      <c r="CA125">
        <v>166086</v>
      </c>
      <c r="CB125">
        <v>1984713</v>
      </c>
      <c r="CC125">
        <v>831096</v>
      </c>
      <c r="CD125">
        <v>33778</v>
      </c>
      <c r="CE125">
        <v>28629</v>
      </c>
      <c r="CF125">
        <v>11175432</v>
      </c>
      <c r="CG125">
        <v>0</v>
      </c>
      <c r="CH125">
        <v>7316506</v>
      </c>
      <c r="CI125">
        <v>0</v>
      </c>
      <c r="CK125">
        <v>0</v>
      </c>
    </row>
    <row r="126" spans="1:89" x14ac:dyDescent="0.3">
      <c r="A126" s="155">
        <v>503</v>
      </c>
      <c r="B126" t="s">
        <v>178</v>
      </c>
      <c r="D126">
        <v>0</v>
      </c>
      <c r="E126">
        <v>0</v>
      </c>
      <c r="F126">
        <v>27670</v>
      </c>
      <c r="G126">
        <v>4014</v>
      </c>
      <c r="H126">
        <v>2389</v>
      </c>
      <c r="I126">
        <v>347786</v>
      </c>
      <c r="J126">
        <v>0</v>
      </c>
      <c r="K126">
        <v>1544173</v>
      </c>
      <c r="L126">
        <v>0</v>
      </c>
      <c r="M126">
        <v>0</v>
      </c>
      <c r="N126">
        <v>968613</v>
      </c>
      <c r="O126">
        <v>2110147</v>
      </c>
      <c r="P126">
        <v>0</v>
      </c>
      <c r="Q126">
        <v>0</v>
      </c>
      <c r="R126">
        <v>0</v>
      </c>
      <c r="S126">
        <v>0</v>
      </c>
      <c r="T126">
        <v>0</v>
      </c>
      <c r="U126">
        <v>0</v>
      </c>
      <c r="V126">
        <v>3480</v>
      </c>
      <c r="W126">
        <v>82032</v>
      </c>
      <c r="X126">
        <v>112348</v>
      </c>
      <c r="Y126">
        <v>454496000</v>
      </c>
      <c r="Z126">
        <v>6065221</v>
      </c>
      <c r="AA126">
        <v>0</v>
      </c>
      <c r="AB126">
        <v>0</v>
      </c>
      <c r="AC126">
        <v>141594</v>
      </c>
      <c r="AD126">
        <v>39284</v>
      </c>
      <c r="AE126">
        <v>54631</v>
      </c>
      <c r="AF126">
        <v>8344043</v>
      </c>
      <c r="AG126">
        <v>0</v>
      </c>
      <c r="AH126">
        <v>12450</v>
      </c>
      <c r="AI126">
        <v>185400</v>
      </c>
      <c r="AJ126">
        <v>42000</v>
      </c>
      <c r="AK126">
        <v>62051</v>
      </c>
      <c r="AL126">
        <v>1850</v>
      </c>
      <c r="AM126">
        <v>0</v>
      </c>
      <c r="AN126">
        <v>103227</v>
      </c>
      <c r="AO126">
        <v>111462</v>
      </c>
      <c r="AP126">
        <v>0</v>
      </c>
      <c r="AQ126">
        <v>6323871</v>
      </c>
      <c r="AR126">
        <v>0</v>
      </c>
      <c r="AS126">
        <v>0</v>
      </c>
      <c r="AT126">
        <v>0</v>
      </c>
      <c r="AU126">
        <v>29517</v>
      </c>
      <c r="AV126">
        <v>0</v>
      </c>
      <c r="AW126">
        <v>165348</v>
      </c>
      <c r="AX126">
        <v>17229</v>
      </c>
      <c r="AY126">
        <v>0</v>
      </c>
      <c r="AZ126">
        <v>0</v>
      </c>
      <c r="BA126">
        <v>6800</v>
      </c>
      <c r="BB126">
        <v>4250</v>
      </c>
      <c r="BC126">
        <v>279649</v>
      </c>
      <c r="BD126">
        <v>0</v>
      </c>
      <c r="BE126">
        <v>0</v>
      </c>
      <c r="BF126">
        <v>98950</v>
      </c>
      <c r="BG126">
        <v>0</v>
      </c>
      <c r="BH126">
        <v>0</v>
      </c>
      <c r="BI126">
        <v>40660</v>
      </c>
      <c r="BJ126">
        <v>0</v>
      </c>
      <c r="BK126">
        <v>19661</v>
      </c>
      <c r="BL126">
        <v>0</v>
      </c>
      <c r="BM126">
        <v>24335</v>
      </c>
      <c r="BN126">
        <v>0</v>
      </c>
      <c r="BO126">
        <v>0</v>
      </c>
      <c r="BP126">
        <v>67555921</v>
      </c>
      <c r="BQ126">
        <v>0</v>
      </c>
      <c r="BR126">
        <v>3457</v>
      </c>
      <c r="BS126">
        <v>11115</v>
      </c>
      <c r="BU126">
        <v>23841</v>
      </c>
      <c r="BV126">
        <v>0</v>
      </c>
      <c r="BW126">
        <v>365420</v>
      </c>
      <c r="BX126">
        <v>287528</v>
      </c>
      <c r="BY126">
        <v>1800057</v>
      </c>
      <c r="BZ126">
        <v>183740</v>
      </c>
      <c r="CA126">
        <v>15940</v>
      </c>
      <c r="CB126">
        <v>48463</v>
      </c>
      <c r="CC126">
        <v>362340</v>
      </c>
      <c r="CD126">
        <v>0</v>
      </c>
      <c r="CE126">
        <v>0</v>
      </c>
      <c r="CF126">
        <v>1099480</v>
      </c>
      <c r="CG126">
        <v>0</v>
      </c>
      <c r="CH126">
        <v>126865</v>
      </c>
      <c r="CI126">
        <v>0</v>
      </c>
      <c r="CK126">
        <v>9881</v>
      </c>
    </row>
    <row r="127" spans="1:89" x14ac:dyDescent="0.3">
      <c r="A127" s="155">
        <v>504</v>
      </c>
      <c r="B127" t="s">
        <v>182</v>
      </c>
      <c r="D127">
        <v>0</v>
      </c>
      <c r="E127">
        <v>59046</v>
      </c>
      <c r="F127">
        <v>7730</v>
      </c>
      <c r="G127">
        <v>28191</v>
      </c>
      <c r="H127">
        <v>26256</v>
      </c>
      <c r="I127">
        <v>409698</v>
      </c>
      <c r="J127">
        <v>426883</v>
      </c>
      <c r="K127">
        <v>173673</v>
      </c>
      <c r="L127">
        <v>249880</v>
      </c>
      <c r="M127">
        <v>1273741</v>
      </c>
      <c r="N127">
        <v>93358</v>
      </c>
      <c r="O127">
        <v>10309920</v>
      </c>
      <c r="P127">
        <v>8975</v>
      </c>
      <c r="Q127">
        <v>31095</v>
      </c>
      <c r="R127">
        <v>9489</v>
      </c>
      <c r="S127">
        <v>78248</v>
      </c>
      <c r="T127">
        <v>50857</v>
      </c>
      <c r="U127">
        <v>14364</v>
      </c>
      <c r="V127">
        <v>13209</v>
      </c>
      <c r="W127">
        <v>229443</v>
      </c>
      <c r="X127">
        <v>6539239</v>
      </c>
      <c r="Y127">
        <v>219883000</v>
      </c>
      <c r="Z127">
        <v>172910</v>
      </c>
      <c r="AA127">
        <v>0</v>
      </c>
      <c r="AB127">
        <v>423213</v>
      </c>
      <c r="AC127">
        <v>25485</v>
      </c>
      <c r="AD127">
        <v>726281</v>
      </c>
      <c r="AE127">
        <v>30034</v>
      </c>
      <c r="AF127">
        <v>4985557</v>
      </c>
      <c r="AG127">
        <v>306127</v>
      </c>
      <c r="AH127">
        <v>27210</v>
      </c>
      <c r="AI127">
        <v>721373</v>
      </c>
      <c r="AJ127">
        <v>83292</v>
      </c>
      <c r="AK127">
        <v>65540</v>
      </c>
      <c r="AL127">
        <v>27018</v>
      </c>
      <c r="AM127">
        <v>4135</v>
      </c>
      <c r="AN127">
        <v>128432</v>
      </c>
      <c r="AO127">
        <v>121937</v>
      </c>
      <c r="AP127">
        <v>0</v>
      </c>
      <c r="AQ127">
        <v>10364942</v>
      </c>
      <c r="AR127">
        <v>8431</v>
      </c>
      <c r="AS127">
        <v>37501</v>
      </c>
      <c r="AT127">
        <v>1915946</v>
      </c>
      <c r="AU127">
        <v>82820</v>
      </c>
      <c r="AV127">
        <v>26015</v>
      </c>
      <c r="AW127">
        <v>1866626</v>
      </c>
      <c r="AX127">
        <v>11252</v>
      </c>
      <c r="AY127">
        <v>372932</v>
      </c>
      <c r="AZ127">
        <v>326508</v>
      </c>
      <c r="BA127">
        <v>7927</v>
      </c>
      <c r="BB127">
        <v>0</v>
      </c>
      <c r="BC127">
        <v>148401</v>
      </c>
      <c r="BD127">
        <v>5917</v>
      </c>
      <c r="BE127">
        <v>950693</v>
      </c>
      <c r="BF127">
        <v>333020</v>
      </c>
      <c r="BG127">
        <v>30128</v>
      </c>
      <c r="BH127">
        <v>112703</v>
      </c>
      <c r="BI127">
        <v>80169</v>
      </c>
      <c r="BJ127">
        <v>0</v>
      </c>
      <c r="BK127">
        <v>17564</v>
      </c>
      <c r="BL127">
        <v>77757</v>
      </c>
      <c r="BM127">
        <v>13335</v>
      </c>
      <c r="BN127">
        <v>72118</v>
      </c>
      <c r="BO127">
        <v>1417895</v>
      </c>
      <c r="BP127">
        <v>40058537</v>
      </c>
      <c r="BQ127">
        <v>10854</v>
      </c>
      <c r="BR127">
        <v>39957</v>
      </c>
      <c r="BS127">
        <v>20458</v>
      </c>
      <c r="BU127">
        <v>128857</v>
      </c>
      <c r="BV127">
        <v>71355</v>
      </c>
      <c r="BW127">
        <v>632787</v>
      </c>
      <c r="BX127">
        <v>125050</v>
      </c>
      <c r="BY127">
        <v>3165628</v>
      </c>
      <c r="BZ127">
        <v>181960</v>
      </c>
      <c r="CA127">
        <v>12314</v>
      </c>
      <c r="CB127">
        <v>722791</v>
      </c>
      <c r="CC127">
        <v>24688</v>
      </c>
      <c r="CD127">
        <v>13913</v>
      </c>
      <c r="CE127">
        <v>36306</v>
      </c>
      <c r="CF127">
        <v>587533</v>
      </c>
      <c r="CG127">
        <v>136299</v>
      </c>
      <c r="CH127">
        <v>194540</v>
      </c>
      <c r="CI127">
        <v>388092</v>
      </c>
      <c r="CK127">
        <v>4929</v>
      </c>
    </row>
    <row r="128" spans="1:89" x14ac:dyDescent="0.3">
      <c r="A128" s="155">
        <v>505</v>
      </c>
      <c r="B128" t="s">
        <v>183</v>
      </c>
      <c r="D128">
        <v>0</v>
      </c>
      <c r="E128">
        <v>0</v>
      </c>
      <c r="F128">
        <v>29012</v>
      </c>
      <c r="G128">
        <v>0</v>
      </c>
      <c r="H128">
        <v>0</v>
      </c>
      <c r="I128">
        <v>153983</v>
      </c>
      <c r="J128">
        <v>0</v>
      </c>
      <c r="K128">
        <v>24421</v>
      </c>
      <c r="L128">
        <v>0</v>
      </c>
      <c r="M128">
        <v>432923</v>
      </c>
      <c r="N128">
        <v>0</v>
      </c>
      <c r="O128">
        <v>31191666</v>
      </c>
      <c r="P128">
        <v>0</v>
      </c>
      <c r="Q128">
        <v>0</v>
      </c>
      <c r="R128">
        <v>613461</v>
      </c>
      <c r="S128">
        <v>0</v>
      </c>
      <c r="T128">
        <v>500000</v>
      </c>
      <c r="U128">
        <v>0</v>
      </c>
      <c r="V128">
        <v>78200</v>
      </c>
      <c r="W128">
        <v>0</v>
      </c>
      <c r="X128">
        <v>1800911</v>
      </c>
      <c r="Y128">
        <v>26623000</v>
      </c>
      <c r="Z128">
        <v>22240</v>
      </c>
      <c r="AA128">
        <v>85106</v>
      </c>
      <c r="AB128">
        <v>0</v>
      </c>
      <c r="AC128">
        <v>0</v>
      </c>
      <c r="AD128">
        <v>390636</v>
      </c>
      <c r="AE128">
        <v>0</v>
      </c>
      <c r="AF128">
        <v>2763349</v>
      </c>
      <c r="AG128">
        <v>829428</v>
      </c>
      <c r="AH128">
        <v>0</v>
      </c>
      <c r="AI128">
        <v>54</v>
      </c>
      <c r="AJ128">
        <v>0</v>
      </c>
      <c r="AK128">
        <v>0</v>
      </c>
      <c r="AL128">
        <v>0</v>
      </c>
      <c r="AM128">
        <v>0</v>
      </c>
      <c r="AN128">
        <v>0</v>
      </c>
      <c r="AO128">
        <v>0</v>
      </c>
      <c r="AP128">
        <v>0</v>
      </c>
      <c r="AQ128">
        <v>79993284</v>
      </c>
      <c r="AR128">
        <v>0</v>
      </c>
      <c r="AS128">
        <v>0</v>
      </c>
      <c r="AT128">
        <v>11200</v>
      </c>
      <c r="AU128">
        <v>0</v>
      </c>
      <c r="AV128">
        <v>0</v>
      </c>
      <c r="AW128">
        <v>1841981</v>
      </c>
      <c r="AX128">
        <v>5188</v>
      </c>
      <c r="AY128">
        <v>5524</v>
      </c>
      <c r="AZ128">
        <v>10000</v>
      </c>
      <c r="BA128">
        <v>0</v>
      </c>
      <c r="BB128">
        <v>9537</v>
      </c>
      <c r="BC128">
        <v>24924</v>
      </c>
      <c r="BD128">
        <v>0</v>
      </c>
      <c r="BE128">
        <v>0</v>
      </c>
      <c r="BF128">
        <v>0</v>
      </c>
      <c r="BG128">
        <v>0</v>
      </c>
      <c r="BH128">
        <v>0</v>
      </c>
      <c r="BI128">
        <v>7381</v>
      </c>
      <c r="BJ128">
        <v>33158</v>
      </c>
      <c r="BK128">
        <v>0</v>
      </c>
      <c r="BL128">
        <v>0</v>
      </c>
      <c r="BM128">
        <v>22311</v>
      </c>
      <c r="BN128">
        <v>234173</v>
      </c>
      <c r="BO128">
        <v>134851</v>
      </c>
      <c r="BP128">
        <v>22882489</v>
      </c>
      <c r="BQ128">
        <v>0</v>
      </c>
      <c r="BR128">
        <v>0</v>
      </c>
      <c r="BS128">
        <v>0</v>
      </c>
      <c r="BU128">
        <v>15677</v>
      </c>
      <c r="BV128">
        <v>20694</v>
      </c>
      <c r="BW128">
        <v>1030446</v>
      </c>
      <c r="BX128">
        <v>0</v>
      </c>
      <c r="BY128">
        <v>0</v>
      </c>
      <c r="BZ128">
        <v>2512047</v>
      </c>
      <c r="CA128">
        <v>5581</v>
      </c>
      <c r="CB128">
        <v>892774</v>
      </c>
      <c r="CC128">
        <v>0</v>
      </c>
      <c r="CD128">
        <v>179251</v>
      </c>
      <c r="CE128">
        <v>0</v>
      </c>
      <c r="CF128">
        <v>56000</v>
      </c>
      <c r="CG128">
        <v>32863411</v>
      </c>
      <c r="CH128">
        <v>704456</v>
      </c>
      <c r="CI128">
        <v>60694</v>
      </c>
      <c r="CK128">
        <v>0</v>
      </c>
    </row>
    <row r="129" spans="1:89" x14ac:dyDescent="0.3">
      <c r="A129" s="155">
        <v>506</v>
      </c>
      <c r="B129" t="s">
        <v>189</v>
      </c>
      <c r="D129">
        <v>2972556</v>
      </c>
      <c r="E129">
        <v>1813270</v>
      </c>
      <c r="F129">
        <v>725977</v>
      </c>
      <c r="G129">
        <v>546102</v>
      </c>
      <c r="H129">
        <v>704620</v>
      </c>
      <c r="I129">
        <v>3248351</v>
      </c>
      <c r="J129">
        <v>1851174</v>
      </c>
      <c r="K129">
        <v>8430129</v>
      </c>
      <c r="L129">
        <v>3267699</v>
      </c>
      <c r="M129">
        <v>16082475</v>
      </c>
      <c r="N129">
        <v>1661300</v>
      </c>
      <c r="O129">
        <v>130854947</v>
      </c>
      <c r="P129">
        <v>88016</v>
      </c>
      <c r="Q129">
        <v>222232</v>
      </c>
      <c r="R129">
        <v>915224</v>
      </c>
      <c r="S129">
        <v>910416</v>
      </c>
      <c r="T129">
        <v>1052750</v>
      </c>
      <c r="U129">
        <v>234801</v>
      </c>
      <c r="V129">
        <v>231070</v>
      </c>
      <c r="W129">
        <v>2272399</v>
      </c>
      <c r="X129">
        <v>28609880</v>
      </c>
      <c r="Y129">
        <v>186288000</v>
      </c>
      <c r="Z129">
        <v>1374681</v>
      </c>
      <c r="AA129">
        <v>424190</v>
      </c>
      <c r="AB129">
        <v>2572918</v>
      </c>
      <c r="AC129">
        <v>84041</v>
      </c>
      <c r="AD129">
        <v>4312386</v>
      </c>
      <c r="AE129">
        <v>2328715</v>
      </c>
      <c r="AF129">
        <v>23834022</v>
      </c>
      <c r="AG129">
        <v>7844063</v>
      </c>
      <c r="AH129">
        <v>3657420</v>
      </c>
      <c r="AI129">
        <v>6377326</v>
      </c>
      <c r="AJ129">
        <v>1290720</v>
      </c>
      <c r="AK129">
        <v>1495041</v>
      </c>
      <c r="AL129">
        <v>836748</v>
      </c>
      <c r="AM129">
        <v>338741</v>
      </c>
      <c r="AN129">
        <v>1026713</v>
      </c>
      <c r="AO129">
        <v>764053</v>
      </c>
      <c r="AP129">
        <v>74434</v>
      </c>
      <c r="AQ129">
        <v>75330531</v>
      </c>
      <c r="AR129">
        <v>362700</v>
      </c>
      <c r="AS129">
        <v>1555081</v>
      </c>
      <c r="AT129">
        <v>8699085</v>
      </c>
      <c r="AU129">
        <v>518314</v>
      </c>
      <c r="AV129">
        <v>954219</v>
      </c>
      <c r="AW129">
        <v>23119547</v>
      </c>
      <c r="AX129">
        <v>162289</v>
      </c>
      <c r="AY129">
        <v>3152426</v>
      </c>
      <c r="AZ129">
        <v>8510898</v>
      </c>
      <c r="BA129">
        <v>473942</v>
      </c>
      <c r="BB129">
        <v>202889</v>
      </c>
      <c r="BC129">
        <v>3395412</v>
      </c>
      <c r="BD129">
        <v>165333</v>
      </c>
      <c r="BE129">
        <v>13299206</v>
      </c>
      <c r="BF129">
        <v>1403555</v>
      </c>
      <c r="BG129">
        <v>1195764</v>
      </c>
      <c r="BH129">
        <v>437041</v>
      </c>
      <c r="BI129">
        <v>1424320</v>
      </c>
      <c r="BJ129">
        <v>3310386</v>
      </c>
      <c r="BK129">
        <v>232135</v>
      </c>
      <c r="BL129">
        <v>1860293</v>
      </c>
      <c r="BM129">
        <v>710068</v>
      </c>
      <c r="BN129">
        <v>7669531</v>
      </c>
      <c r="BO129">
        <v>6395956</v>
      </c>
      <c r="BP129">
        <v>97000585</v>
      </c>
      <c r="BQ129">
        <v>67449</v>
      </c>
      <c r="BR129">
        <v>166127</v>
      </c>
      <c r="BS129">
        <v>812119</v>
      </c>
      <c r="BU129">
        <v>545688</v>
      </c>
      <c r="BV129">
        <v>5791163</v>
      </c>
      <c r="BW129">
        <v>10340759</v>
      </c>
      <c r="BX129">
        <v>2819084</v>
      </c>
      <c r="BY129">
        <v>4773790</v>
      </c>
      <c r="BZ129">
        <v>880770</v>
      </c>
      <c r="CA129">
        <v>522400</v>
      </c>
      <c r="CB129">
        <v>4069903</v>
      </c>
      <c r="CC129">
        <v>954959</v>
      </c>
      <c r="CD129">
        <v>243920</v>
      </c>
      <c r="CE129">
        <v>237295</v>
      </c>
      <c r="CF129">
        <v>7425779</v>
      </c>
      <c r="CG129">
        <v>2733673</v>
      </c>
      <c r="CH129">
        <v>268124</v>
      </c>
      <c r="CI129">
        <v>2996149</v>
      </c>
      <c r="CK129">
        <v>31931</v>
      </c>
    </row>
    <row r="130" spans="1:89" x14ac:dyDescent="0.3">
      <c r="A130" s="155">
        <v>507</v>
      </c>
      <c r="B130" t="s">
        <v>925</v>
      </c>
      <c r="D130">
        <v>0</v>
      </c>
      <c r="E130">
        <v>0</v>
      </c>
      <c r="F130">
        <v>0</v>
      </c>
      <c r="G130">
        <v>0</v>
      </c>
      <c r="H130">
        <v>0</v>
      </c>
      <c r="I130">
        <v>0</v>
      </c>
      <c r="J130">
        <v>0</v>
      </c>
      <c r="K130">
        <v>0</v>
      </c>
      <c r="L130">
        <v>0</v>
      </c>
      <c r="M130">
        <v>0</v>
      </c>
      <c r="N130">
        <v>0</v>
      </c>
      <c r="O130">
        <v>0</v>
      </c>
      <c r="P130">
        <v>0</v>
      </c>
      <c r="Q130">
        <v>240402</v>
      </c>
      <c r="R130">
        <v>0</v>
      </c>
      <c r="S130">
        <v>0</v>
      </c>
      <c r="T130">
        <v>0</v>
      </c>
      <c r="U130">
        <v>0</v>
      </c>
      <c r="V130">
        <v>0</v>
      </c>
      <c r="W130">
        <v>0</v>
      </c>
      <c r="X130">
        <v>0</v>
      </c>
      <c r="Y130">
        <v>0</v>
      </c>
      <c r="Z130">
        <v>0</v>
      </c>
      <c r="AA130">
        <v>0</v>
      </c>
      <c r="AB130">
        <v>0</v>
      </c>
      <c r="AC130">
        <v>-21687</v>
      </c>
      <c r="AD130">
        <v>0</v>
      </c>
      <c r="AE130">
        <v>0</v>
      </c>
      <c r="AF130">
        <v>0</v>
      </c>
      <c r="AG130">
        <v>-599</v>
      </c>
      <c r="AH130">
        <v>-1</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-1</v>
      </c>
      <c r="BG130">
        <v>0</v>
      </c>
      <c r="BH130">
        <v>0</v>
      </c>
      <c r="BI130">
        <v>0</v>
      </c>
      <c r="BJ130">
        <v>0</v>
      </c>
      <c r="BK130">
        <v>0</v>
      </c>
      <c r="BL130">
        <v>0</v>
      </c>
      <c r="BM130">
        <v>0</v>
      </c>
      <c r="BN130">
        <v>115720</v>
      </c>
      <c r="BO130">
        <v>0</v>
      </c>
      <c r="BP130">
        <v>0</v>
      </c>
      <c r="BQ130">
        <v>0</v>
      </c>
      <c r="BR130">
        <v>0</v>
      </c>
      <c r="BS130">
        <v>0</v>
      </c>
      <c r="BU130">
        <v>-2</v>
      </c>
      <c r="BV130">
        <v>0</v>
      </c>
      <c r="BW130">
        <v>-2</v>
      </c>
      <c r="BX130">
        <v>0</v>
      </c>
      <c r="BY130">
        <v>0</v>
      </c>
      <c r="BZ130">
        <v>-310820</v>
      </c>
      <c r="CA130">
        <v>0</v>
      </c>
      <c r="CB130">
        <v>250000</v>
      </c>
      <c r="CC130">
        <v>0</v>
      </c>
      <c r="CD130">
        <v>0</v>
      </c>
      <c r="CE130">
        <v>0</v>
      </c>
      <c r="CF130">
        <v>0</v>
      </c>
      <c r="CG130">
        <v>0</v>
      </c>
      <c r="CH130">
        <v>0</v>
      </c>
      <c r="CI130">
        <v>0</v>
      </c>
      <c r="CK130">
        <v>0</v>
      </c>
    </row>
    <row r="131" spans="1:89" x14ac:dyDescent="0.3">
      <c r="A131" s="155">
        <v>508</v>
      </c>
      <c r="B131" t="s">
        <v>204</v>
      </c>
      <c r="D131">
        <v>0</v>
      </c>
      <c r="E131">
        <v>0</v>
      </c>
      <c r="F131">
        <v>0</v>
      </c>
      <c r="G131">
        <v>0</v>
      </c>
      <c r="H131">
        <v>0</v>
      </c>
      <c r="I131">
        <v>0</v>
      </c>
      <c r="J131">
        <v>0</v>
      </c>
      <c r="K131">
        <v>0</v>
      </c>
      <c r="L131">
        <v>0</v>
      </c>
      <c r="M131">
        <v>0</v>
      </c>
      <c r="N131">
        <v>0</v>
      </c>
      <c r="O131">
        <v>149331</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7289</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U131">
        <v>0</v>
      </c>
      <c r="BV131">
        <v>0</v>
      </c>
      <c r="BW131">
        <v>0</v>
      </c>
      <c r="BX131">
        <v>0</v>
      </c>
      <c r="BY131">
        <v>0</v>
      </c>
      <c r="BZ131">
        <v>0</v>
      </c>
      <c r="CA131">
        <v>0</v>
      </c>
      <c r="CB131">
        <v>0</v>
      </c>
      <c r="CC131">
        <v>0</v>
      </c>
      <c r="CD131">
        <v>0</v>
      </c>
      <c r="CE131">
        <v>0</v>
      </c>
      <c r="CF131">
        <v>0</v>
      </c>
      <c r="CG131">
        <v>0</v>
      </c>
      <c r="CH131">
        <v>0</v>
      </c>
      <c r="CI131">
        <v>0</v>
      </c>
      <c r="CK131">
        <v>0</v>
      </c>
    </row>
    <row r="132" spans="1:89" x14ac:dyDescent="0.3">
      <c r="A132" s="155">
        <v>509</v>
      </c>
      <c r="B132" t="s">
        <v>205</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U132">
        <v>0</v>
      </c>
      <c r="BV132">
        <v>0</v>
      </c>
      <c r="BW132">
        <v>0</v>
      </c>
      <c r="BX132">
        <v>0</v>
      </c>
      <c r="BY132">
        <v>0</v>
      </c>
      <c r="BZ132">
        <v>0</v>
      </c>
      <c r="CA132">
        <v>0</v>
      </c>
      <c r="CB132">
        <v>0</v>
      </c>
      <c r="CC132">
        <v>0</v>
      </c>
      <c r="CD132">
        <v>0</v>
      </c>
      <c r="CE132">
        <v>0</v>
      </c>
      <c r="CF132">
        <v>0</v>
      </c>
      <c r="CG132">
        <v>0</v>
      </c>
      <c r="CH132">
        <v>0</v>
      </c>
      <c r="CI132">
        <v>0</v>
      </c>
      <c r="CK132">
        <v>0</v>
      </c>
    </row>
    <row r="133" spans="1:89" x14ac:dyDescent="0.3">
      <c r="A133" s="155">
        <v>510</v>
      </c>
      <c r="B133" t="s">
        <v>211</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1926000</v>
      </c>
      <c r="Z133">
        <v>71949</v>
      </c>
      <c r="AA133">
        <v>0</v>
      </c>
      <c r="AB133">
        <v>0</v>
      </c>
      <c r="AC133">
        <v>0</v>
      </c>
      <c r="AD133">
        <v>98524</v>
      </c>
      <c r="AE133">
        <v>0</v>
      </c>
      <c r="AF133">
        <v>362960</v>
      </c>
      <c r="AG133">
        <v>0</v>
      </c>
      <c r="AH133">
        <v>0</v>
      </c>
      <c r="AI133">
        <v>20648</v>
      </c>
      <c r="AJ133">
        <v>0</v>
      </c>
      <c r="AK133">
        <v>21082</v>
      </c>
      <c r="AL133">
        <v>0</v>
      </c>
      <c r="AM133">
        <v>2400</v>
      </c>
      <c r="AN133">
        <v>0</v>
      </c>
      <c r="AO133">
        <v>0</v>
      </c>
      <c r="AP133">
        <v>0</v>
      </c>
      <c r="AQ133">
        <v>847784</v>
      </c>
      <c r="AR133">
        <v>0</v>
      </c>
      <c r="AS133">
        <v>0</v>
      </c>
      <c r="AT133">
        <v>1247</v>
      </c>
      <c r="AU133">
        <v>0</v>
      </c>
      <c r="AV133">
        <v>0</v>
      </c>
      <c r="AW133">
        <v>0</v>
      </c>
      <c r="AX133">
        <v>413</v>
      </c>
      <c r="AY133">
        <v>0</v>
      </c>
      <c r="AZ133">
        <v>0</v>
      </c>
      <c r="BA133">
        <v>9285</v>
      </c>
      <c r="BB133">
        <v>2400</v>
      </c>
      <c r="BC133">
        <v>106093</v>
      </c>
      <c r="BD133">
        <v>0</v>
      </c>
      <c r="BE133">
        <v>0</v>
      </c>
      <c r="BF133">
        <v>82313</v>
      </c>
      <c r="BG133">
        <v>0</v>
      </c>
      <c r="BH133">
        <v>0</v>
      </c>
      <c r="BI133">
        <v>163328</v>
      </c>
      <c r="BJ133">
        <v>0</v>
      </c>
      <c r="BK133">
        <v>0</v>
      </c>
      <c r="BL133">
        <v>52152</v>
      </c>
      <c r="BM133">
        <v>3382</v>
      </c>
      <c r="BN133">
        <v>0</v>
      </c>
      <c r="BO133">
        <v>41471</v>
      </c>
      <c r="BP133">
        <v>3428444</v>
      </c>
      <c r="BQ133">
        <v>0</v>
      </c>
      <c r="BR133">
        <v>0</v>
      </c>
      <c r="BS133">
        <v>0</v>
      </c>
      <c r="BU133">
        <v>0</v>
      </c>
      <c r="BV133">
        <v>0</v>
      </c>
      <c r="BW133">
        <v>305092</v>
      </c>
      <c r="BX133">
        <v>104370</v>
      </c>
      <c r="BY133">
        <v>305407</v>
      </c>
      <c r="BZ133">
        <v>27735</v>
      </c>
      <c r="CA133">
        <v>0</v>
      </c>
      <c r="CB133">
        <v>136179</v>
      </c>
      <c r="CC133">
        <v>0</v>
      </c>
      <c r="CD133">
        <v>11827</v>
      </c>
      <c r="CE133">
        <v>0</v>
      </c>
      <c r="CF133">
        <v>0</v>
      </c>
      <c r="CG133">
        <v>0</v>
      </c>
      <c r="CH133">
        <v>0</v>
      </c>
      <c r="CI133">
        <v>0</v>
      </c>
      <c r="CK133">
        <v>0</v>
      </c>
    </row>
    <row r="134" spans="1:89" x14ac:dyDescent="0.3">
      <c r="A134" s="155">
        <v>511</v>
      </c>
      <c r="B134" t="s">
        <v>216</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317423</v>
      </c>
      <c r="AA134">
        <v>0</v>
      </c>
      <c r="AB134">
        <v>0</v>
      </c>
      <c r="AC134">
        <v>0</v>
      </c>
      <c r="AD134">
        <v>0</v>
      </c>
      <c r="AE134">
        <v>0</v>
      </c>
      <c r="AF134">
        <v>1020342</v>
      </c>
      <c r="AG134">
        <v>0</v>
      </c>
      <c r="AH134">
        <v>0</v>
      </c>
      <c r="AI134">
        <v>0</v>
      </c>
      <c r="AJ134">
        <v>0</v>
      </c>
      <c r="AK134">
        <v>0</v>
      </c>
      <c r="AL134">
        <v>0</v>
      </c>
      <c r="AM134">
        <v>0</v>
      </c>
      <c r="AN134">
        <v>0</v>
      </c>
      <c r="AO134">
        <v>0</v>
      </c>
      <c r="AP134">
        <v>0</v>
      </c>
      <c r="AQ134">
        <v>4604632</v>
      </c>
      <c r="AR134">
        <v>0</v>
      </c>
      <c r="AS134">
        <v>0</v>
      </c>
      <c r="AT134">
        <v>0</v>
      </c>
      <c r="AU134">
        <v>0</v>
      </c>
      <c r="AV134">
        <v>0</v>
      </c>
      <c r="AW134">
        <v>127786</v>
      </c>
      <c r="AX134">
        <v>0</v>
      </c>
      <c r="AY134">
        <v>0</v>
      </c>
      <c r="AZ134">
        <v>0</v>
      </c>
      <c r="BA134">
        <v>0</v>
      </c>
      <c r="BB134">
        <v>0</v>
      </c>
      <c r="BC134">
        <v>221459</v>
      </c>
      <c r="BD134">
        <v>0</v>
      </c>
      <c r="BE134">
        <v>0</v>
      </c>
      <c r="BF134">
        <v>0</v>
      </c>
      <c r="BG134">
        <v>0</v>
      </c>
      <c r="BH134">
        <v>0</v>
      </c>
      <c r="BI134">
        <v>0</v>
      </c>
      <c r="BJ134">
        <v>0</v>
      </c>
      <c r="BK134">
        <v>0</v>
      </c>
      <c r="BL134">
        <v>88600</v>
      </c>
      <c r="BM134">
        <v>0</v>
      </c>
      <c r="BN134">
        <v>0</v>
      </c>
      <c r="BO134">
        <v>0</v>
      </c>
      <c r="BP134">
        <v>0</v>
      </c>
      <c r="BQ134">
        <v>0</v>
      </c>
      <c r="BR134">
        <v>0</v>
      </c>
      <c r="BS134">
        <v>0</v>
      </c>
      <c r="BU134">
        <v>0</v>
      </c>
      <c r="BV134">
        <v>0</v>
      </c>
      <c r="BW134">
        <v>0</v>
      </c>
      <c r="BX134">
        <v>496753</v>
      </c>
      <c r="BY134">
        <v>1974657</v>
      </c>
      <c r="BZ134">
        <v>0</v>
      </c>
      <c r="CA134">
        <v>0</v>
      </c>
      <c r="CB134">
        <v>0</v>
      </c>
      <c r="CC134">
        <v>0</v>
      </c>
      <c r="CD134">
        <v>0</v>
      </c>
      <c r="CE134">
        <v>0</v>
      </c>
      <c r="CF134">
        <v>0</v>
      </c>
      <c r="CG134">
        <v>0</v>
      </c>
      <c r="CH134">
        <v>49783</v>
      </c>
      <c r="CI134">
        <v>0</v>
      </c>
      <c r="CK134">
        <v>0</v>
      </c>
    </row>
    <row r="135" spans="1:89" x14ac:dyDescent="0.3">
      <c r="A135" s="155">
        <v>512</v>
      </c>
      <c r="B135" t="s">
        <v>243</v>
      </c>
      <c r="D135">
        <v>0</v>
      </c>
      <c r="E135">
        <v>0</v>
      </c>
      <c r="F135">
        <v>0</v>
      </c>
      <c r="G135">
        <v>0</v>
      </c>
      <c r="H135">
        <v>66600</v>
      </c>
      <c r="I135">
        <v>10610</v>
      </c>
      <c r="J135">
        <v>0</v>
      </c>
      <c r="K135">
        <v>0</v>
      </c>
      <c r="L135">
        <v>0</v>
      </c>
      <c r="M135">
        <v>0</v>
      </c>
      <c r="N135">
        <v>0</v>
      </c>
      <c r="O135">
        <v>0</v>
      </c>
      <c r="P135">
        <v>0</v>
      </c>
      <c r="Q135">
        <v>0</v>
      </c>
      <c r="R135">
        <v>0</v>
      </c>
      <c r="S135">
        <v>0</v>
      </c>
      <c r="T135">
        <v>0</v>
      </c>
      <c r="U135">
        <v>0</v>
      </c>
      <c r="V135">
        <v>0</v>
      </c>
      <c r="W135">
        <v>0</v>
      </c>
      <c r="X135">
        <v>6564151</v>
      </c>
      <c r="Y135">
        <v>837312000</v>
      </c>
      <c r="Z135">
        <v>0</v>
      </c>
      <c r="AA135">
        <v>0</v>
      </c>
      <c r="AB135">
        <v>0</v>
      </c>
      <c r="AC135">
        <v>751259</v>
      </c>
      <c r="AD135">
        <v>0</v>
      </c>
      <c r="AE135">
        <v>0</v>
      </c>
      <c r="AF135">
        <v>1004332</v>
      </c>
      <c r="AG135">
        <v>0</v>
      </c>
      <c r="AH135">
        <v>0</v>
      </c>
      <c r="AI135">
        <v>0</v>
      </c>
      <c r="AJ135">
        <v>0</v>
      </c>
      <c r="AK135">
        <v>0</v>
      </c>
      <c r="AL135">
        <v>0</v>
      </c>
      <c r="AM135">
        <v>0</v>
      </c>
      <c r="AN135">
        <v>0</v>
      </c>
      <c r="AO135">
        <v>0</v>
      </c>
      <c r="AP135">
        <v>0</v>
      </c>
      <c r="AQ135">
        <v>14565926</v>
      </c>
      <c r="AR135">
        <v>0</v>
      </c>
      <c r="AS135">
        <v>0</v>
      </c>
      <c r="AT135">
        <v>0</v>
      </c>
      <c r="AU135">
        <v>0</v>
      </c>
      <c r="AV135">
        <v>0</v>
      </c>
      <c r="AW135">
        <v>419497</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U135">
        <v>0</v>
      </c>
      <c r="BV135">
        <v>0</v>
      </c>
      <c r="BW135">
        <v>0</v>
      </c>
      <c r="BX135">
        <v>0</v>
      </c>
      <c r="BY135">
        <v>0</v>
      </c>
      <c r="BZ135">
        <v>0</v>
      </c>
      <c r="CA135">
        <v>0</v>
      </c>
      <c r="CB135">
        <v>25873</v>
      </c>
      <c r="CC135">
        <v>0</v>
      </c>
      <c r="CD135">
        <v>0</v>
      </c>
      <c r="CE135">
        <v>0</v>
      </c>
      <c r="CF135">
        <v>0</v>
      </c>
      <c r="CG135">
        <v>0</v>
      </c>
      <c r="CH135">
        <v>0</v>
      </c>
      <c r="CI135">
        <v>0</v>
      </c>
      <c r="CK135">
        <v>0</v>
      </c>
    </row>
    <row r="136" spans="1:89" x14ac:dyDescent="0.3">
      <c r="A136" s="155">
        <v>513</v>
      </c>
      <c r="B136" t="s">
        <v>249</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U136">
        <v>0</v>
      </c>
      <c r="BV136">
        <v>0</v>
      </c>
      <c r="BW136">
        <v>0</v>
      </c>
      <c r="BX136">
        <v>0</v>
      </c>
      <c r="BY136">
        <v>0</v>
      </c>
      <c r="BZ136">
        <v>0</v>
      </c>
      <c r="CA136">
        <v>0</v>
      </c>
      <c r="CB136">
        <v>0</v>
      </c>
      <c r="CC136">
        <v>0</v>
      </c>
      <c r="CD136">
        <v>0</v>
      </c>
      <c r="CE136">
        <v>0</v>
      </c>
      <c r="CF136">
        <v>0</v>
      </c>
      <c r="CG136">
        <v>0</v>
      </c>
      <c r="CH136">
        <v>0</v>
      </c>
      <c r="CI136">
        <v>0</v>
      </c>
      <c r="CK136">
        <v>0</v>
      </c>
    </row>
    <row r="137" spans="1:89" x14ac:dyDescent="0.3">
      <c r="A137" s="155">
        <v>514</v>
      </c>
      <c r="B137" t="s">
        <v>250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618035</v>
      </c>
      <c r="AR137">
        <v>0</v>
      </c>
      <c r="AS137">
        <v>0</v>
      </c>
      <c r="AT137">
        <v>0</v>
      </c>
      <c r="AU137">
        <v>0</v>
      </c>
      <c r="AV137">
        <v>0</v>
      </c>
      <c r="AW137">
        <v>0</v>
      </c>
      <c r="AX137">
        <v>0</v>
      </c>
      <c r="AY137">
        <v>0</v>
      </c>
      <c r="AZ137">
        <v>0</v>
      </c>
      <c r="BA137">
        <v>0</v>
      </c>
      <c r="BB137">
        <v>0</v>
      </c>
      <c r="BC137">
        <v>895733</v>
      </c>
      <c r="BD137">
        <v>0</v>
      </c>
      <c r="BE137">
        <v>0</v>
      </c>
      <c r="BF137">
        <v>0</v>
      </c>
      <c r="BG137">
        <v>0</v>
      </c>
      <c r="BH137">
        <v>0</v>
      </c>
      <c r="BI137">
        <v>0</v>
      </c>
      <c r="BJ137">
        <v>0</v>
      </c>
      <c r="BK137">
        <v>0</v>
      </c>
      <c r="BL137">
        <v>0</v>
      </c>
      <c r="BM137">
        <v>0</v>
      </c>
      <c r="BN137">
        <v>0</v>
      </c>
      <c r="BO137">
        <v>0</v>
      </c>
      <c r="BP137">
        <v>0</v>
      </c>
      <c r="BQ137">
        <v>0</v>
      </c>
      <c r="BR137">
        <v>0</v>
      </c>
      <c r="BS137">
        <v>0</v>
      </c>
      <c r="BU137">
        <v>0</v>
      </c>
      <c r="BV137">
        <v>0</v>
      </c>
      <c r="BW137">
        <v>0</v>
      </c>
      <c r="BX137">
        <v>332218</v>
      </c>
      <c r="BY137">
        <v>1525000</v>
      </c>
      <c r="BZ137">
        <v>0</v>
      </c>
      <c r="CA137">
        <v>0</v>
      </c>
      <c r="CB137">
        <v>0</v>
      </c>
      <c r="CC137">
        <v>0</v>
      </c>
      <c r="CD137">
        <v>0</v>
      </c>
      <c r="CE137">
        <v>0</v>
      </c>
      <c r="CF137">
        <v>0</v>
      </c>
      <c r="CG137">
        <v>0</v>
      </c>
      <c r="CH137">
        <v>0</v>
      </c>
      <c r="CI137">
        <v>0</v>
      </c>
      <c r="CK137">
        <v>0</v>
      </c>
    </row>
    <row r="138" spans="1:89" x14ac:dyDescent="0.3">
      <c r="A138" s="155">
        <v>515</v>
      </c>
      <c r="B138" t="s">
        <v>262</v>
      </c>
      <c r="D138">
        <v>0</v>
      </c>
      <c r="E138">
        <v>0</v>
      </c>
      <c r="F138">
        <v>0</v>
      </c>
      <c r="G138">
        <v>0</v>
      </c>
      <c r="H138">
        <v>65470</v>
      </c>
      <c r="I138">
        <v>0</v>
      </c>
      <c r="J138">
        <v>0</v>
      </c>
      <c r="K138">
        <v>0</v>
      </c>
      <c r="L138">
        <v>0</v>
      </c>
      <c r="M138">
        <v>0</v>
      </c>
      <c r="N138">
        <v>2095691</v>
      </c>
      <c r="O138">
        <v>173147129</v>
      </c>
      <c r="P138">
        <v>0</v>
      </c>
      <c r="Q138">
        <v>0</v>
      </c>
      <c r="R138">
        <v>0</v>
      </c>
      <c r="S138">
        <v>0</v>
      </c>
      <c r="T138">
        <v>0</v>
      </c>
      <c r="U138">
        <v>0</v>
      </c>
      <c r="V138">
        <v>0</v>
      </c>
      <c r="W138">
        <v>0</v>
      </c>
      <c r="X138">
        <v>0</v>
      </c>
      <c r="Y138">
        <v>48804000</v>
      </c>
      <c r="Z138">
        <v>0</v>
      </c>
      <c r="AA138">
        <v>0</v>
      </c>
      <c r="AB138">
        <v>0</v>
      </c>
      <c r="AC138">
        <v>0</v>
      </c>
      <c r="AD138">
        <v>0</v>
      </c>
      <c r="AE138">
        <v>726257</v>
      </c>
      <c r="AF138">
        <v>2478745</v>
      </c>
      <c r="AG138">
        <v>0</v>
      </c>
      <c r="AH138">
        <v>0</v>
      </c>
      <c r="AI138">
        <v>7428395</v>
      </c>
      <c r="AJ138">
        <v>0</v>
      </c>
      <c r="AK138">
        <v>0</v>
      </c>
      <c r="AL138">
        <v>0</v>
      </c>
      <c r="AM138">
        <v>0</v>
      </c>
      <c r="AN138">
        <v>0</v>
      </c>
      <c r="AO138">
        <v>278457</v>
      </c>
      <c r="AP138">
        <v>0</v>
      </c>
      <c r="AQ138">
        <v>17180749</v>
      </c>
      <c r="AR138">
        <v>0</v>
      </c>
      <c r="AS138">
        <v>0</v>
      </c>
      <c r="AT138">
        <v>8226752</v>
      </c>
      <c r="AU138">
        <v>0</v>
      </c>
      <c r="AV138">
        <v>0</v>
      </c>
      <c r="AW138">
        <v>0</v>
      </c>
      <c r="AX138">
        <v>0</v>
      </c>
      <c r="AY138">
        <v>0</v>
      </c>
      <c r="AZ138">
        <v>0</v>
      </c>
      <c r="BA138">
        <v>70354</v>
      </c>
      <c r="BB138">
        <v>0</v>
      </c>
      <c r="BC138">
        <v>300869</v>
      </c>
      <c r="BD138">
        <v>0</v>
      </c>
      <c r="BE138">
        <v>0</v>
      </c>
      <c r="BF138">
        <v>0</v>
      </c>
      <c r="BG138">
        <v>0</v>
      </c>
      <c r="BH138">
        <v>0</v>
      </c>
      <c r="BI138">
        <v>0</v>
      </c>
      <c r="BJ138">
        <v>0</v>
      </c>
      <c r="BK138">
        <v>0</v>
      </c>
      <c r="BL138">
        <v>0</v>
      </c>
      <c r="BM138">
        <v>77024</v>
      </c>
      <c r="BN138">
        <v>0</v>
      </c>
      <c r="BO138">
        <v>876488</v>
      </c>
      <c r="BP138">
        <v>219840526</v>
      </c>
      <c r="BQ138">
        <v>0</v>
      </c>
      <c r="BR138">
        <v>0</v>
      </c>
      <c r="BS138">
        <v>97836</v>
      </c>
      <c r="BU138">
        <v>0</v>
      </c>
      <c r="BV138">
        <v>0</v>
      </c>
      <c r="BW138">
        <v>0</v>
      </c>
      <c r="BX138">
        <v>0</v>
      </c>
      <c r="BY138">
        <v>0</v>
      </c>
      <c r="BZ138">
        <v>197832</v>
      </c>
      <c r="CA138">
        <v>75439</v>
      </c>
      <c r="CB138">
        <v>9493616</v>
      </c>
      <c r="CC138">
        <v>0</v>
      </c>
      <c r="CD138">
        <v>455326</v>
      </c>
      <c r="CE138">
        <v>0</v>
      </c>
      <c r="CF138">
        <v>0</v>
      </c>
      <c r="CG138">
        <v>0</v>
      </c>
      <c r="CH138">
        <v>8560</v>
      </c>
      <c r="CI138">
        <v>0</v>
      </c>
      <c r="CK138">
        <v>0</v>
      </c>
    </row>
    <row r="139" spans="1:89" x14ac:dyDescent="0.3">
      <c r="A139" s="155">
        <v>516</v>
      </c>
      <c r="B139" t="s">
        <v>263</v>
      </c>
      <c r="D139">
        <v>4493376</v>
      </c>
      <c r="E139">
        <v>0</v>
      </c>
      <c r="F139">
        <v>4715492</v>
      </c>
      <c r="G139">
        <v>1258700</v>
      </c>
      <c r="H139">
        <v>4273913</v>
      </c>
      <c r="I139">
        <v>16530983</v>
      </c>
      <c r="J139">
        <v>0</v>
      </c>
      <c r="K139">
        <v>59093509</v>
      </c>
      <c r="L139">
        <v>0</v>
      </c>
      <c r="M139">
        <v>0</v>
      </c>
      <c r="N139">
        <v>11481574</v>
      </c>
      <c r="O139">
        <v>722884957</v>
      </c>
      <c r="P139">
        <v>0</v>
      </c>
      <c r="Q139">
        <v>0</v>
      </c>
      <c r="R139">
        <v>0</v>
      </c>
      <c r="S139">
        <v>0</v>
      </c>
      <c r="T139">
        <v>0</v>
      </c>
      <c r="U139">
        <v>0</v>
      </c>
      <c r="V139">
        <v>3229007</v>
      </c>
      <c r="W139">
        <v>0</v>
      </c>
      <c r="X139">
        <v>0</v>
      </c>
      <c r="Y139">
        <v>5750408000</v>
      </c>
      <c r="Z139">
        <v>21435465</v>
      </c>
      <c r="AA139">
        <v>2973578</v>
      </c>
      <c r="AB139">
        <v>0</v>
      </c>
      <c r="AC139">
        <v>10042238</v>
      </c>
      <c r="AD139">
        <v>9163874</v>
      </c>
      <c r="AE139">
        <v>6053848</v>
      </c>
      <c r="AF139">
        <v>87960071</v>
      </c>
      <c r="AG139">
        <v>0</v>
      </c>
      <c r="AH139">
        <v>7206683</v>
      </c>
      <c r="AI139">
        <v>14478227</v>
      </c>
      <c r="AJ139">
        <v>3769866</v>
      </c>
      <c r="AK139">
        <v>867037</v>
      </c>
      <c r="AL139">
        <v>3530524</v>
      </c>
      <c r="AM139">
        <v>2848970</v>
      </c>
      <c r="AN139">
        <v>14001566</v>
      </c>
      <c r="AO139">
        <v>8055572</v>
      </c>
      <c r="AP139">
        <v>0</v>
      </c>
      <c r="AQ139">
        <v>285362640</v>
      </c>
      <c r="AR139">
        <v>0</v>
      </c>
      <c r="AS139">
        <v>4050098</v>
      </c>
      <c r="AT139">
        <v>0</v>
      </c>
      <c r="AU139">
        <v>5510144</v>
      </c>
      <c r="AV139">
        <v>0</v>
      </c>
      <c r="AW139">
        <v>0</v>
      </c>
      <c r="AX139">
        <v>7100841</v>
      </c>
      <c r="AY139">
        <v>0</v>
      </c>
      <c r="AZ139">
        <v>0</v>
      </c>
      <c r="BA139">
        <v>7294432</v>
      </c>
      <c r="BB139">
        <v>1585335</v>
      </c>
      <c r="BC139">
        <v>15137323</v>
      </c>
      <c r="BD139">
        <v>0</v>
      </c>
      <c r="BE139">
        <v>0</v>
      </c>
      <c r="BF139">
        <v>17560986</v>
      </c>
      <c r="BG139">
        <v>0</v>
      </c>
      <c r="BH139">
        <v>0</v>
      </c>
      <c r="BI139">
        <v>16843134</v>
      </c>
      <c r="BJ139">
        <v>0</v>
      </c>
      <c r="BK139">
        <v>10487851</v>
      </c>
      <c r="BL139">
        <v>4731231</v>
      </c>
      <c r="BM139">
        <v>2999055</v>
      </c>
      <c r="BN139">
        <v>0</v>
      </c>
      <c r="BO139">
        <v>48819091</v>
      </c>
      <c r="BP139">
        <v>26806843</v>
      </c>
      <c r="BQ139">
        <v>0</v>
      </c>
      <c r="BR139">
        <v>700081</v>
      </c>
      <c r="BS139">
        <v>1449271</v>
      </c>
      <c r="BU139">
        <v>5760501</v>
      </c>
      <c r="BV139">
        <v>0</v>
      </c>
      <c r="BW139">
        <v>91296643</v>
      </c>
      <c r="BX139">
        <v>14796082</v>
      </c>
      <c r="BY139">
        <v>84619787</v>
      </c>
      <c r="BZ139">
        <v>23556134</v>
      </c>
      <c r="CA139">
        <v>4183045</v>
      </c>
      <c r="CB139">
        <v>0</v>
      </c>
      <c r="CC139">
        <v>5259921</v>
      </c>
      <c r="CD139">
        <v>5636934</v>
      </c>
      <c r="CE139">
        <v>12832290</v>
      </c>
      <c r="CF139">
        <v>9604746</v>
      </c>
      <c r="CG139">
        <v>0</v>
      </c>
      <c r="CH139">
        <v>13021392</v>
      </c>
      <c r="CI139">
        <v>0</v>
      </c>
      <c r="CK139">
        <v>2913202</v>
      </c>
    </row>
    <row r="140" spans="1:89" x14ac:dyDescent="0.3">
      <c r="A140" s="155">
        <v>517</v>
      </c>
      <c r="B140" t="s">
        <v>264</v>
      </c>
      <c r="D140">
        <v>0</v>
      </c>
      <c r="E140">
        <v>0</v>
      </c>
      <c r="F140">
        <v>0</v>
      </c>
      <c r="G140">
        <v>0</v>
      </c>
      <c r="H140">
        <v>0</v>
      </c>
      <c r="I140">
        <v>0</v>
      </c>
      <c r="J140">
        <v>0</v>
      </c>
      <c r="K140">
        <v>0</v>
      </c>
      <c r="L140">
        <v>0</v>
      </c>
      <c r="M140">
        <v>0</v>
      </c>
      <c r="N140">
        <v>0</v>
      </c>
      <c r="O140">
        <v>0</v>
      </c>
      <c r="P140">
        <v>0</v>
      </c>
      <c r="Q140">
        <v>0</v>
      </c>
      <c r="R140">
        <v>0</v>
      </c>
      <c r="S140">
        <v>0</v>
      </c>
      <c r="T140">
        <v>0</v>
      </c>
      <c r="U140">
        <v>0</v>
      </c>
      <c r="V140">
        <v>0</v>
      </c>
      <c r="W140">
        <v>16016753</v>
      </c>
      <c r="X140">
        <v>0</v>
      </c>
      <c r="Y140">
        <v>0</v>
      </c>
      <c r="Z140">
        <v>0</v>
      </c>
      <c r="AA140">
        <v>0</v>
      </c>
      <c r="AB140">
        <v>0</v>
      </c>
      <c r="AC140">
        <v>0</v>
      </c>
      <c r="AD140">
        <v>0</v>
      </c>
      <c r="AE140">
        <v>0</v>
      </c>
      <c r="AF140">
        <v>0</v>
      </c>
      <c r="AG140">
        <v>0</v>
      </c>
      <c r="AH140">
        <v>0</v>
      </c>
      <c r="AI140">
        <v>26334016</v>
      </c>
      <c r="AJ140">
        <v>0</v>
      </c>
      <c r="AK140">
        <v>0</v>
      </c>
      <c r="AL140">
        <v>0</v>
      </c>
      <c r="AM140">
        <v>0</v>
      </c>
      <c r="AN140">
        <v>0</v>
      </c>
      <c r="AO140">
        <v>0</v>
      </c>
      <c r="AP140">
        <v>0</v>
      </c>
      <c r="AQ140">
        <v>0</v>
      </c>
      <c r="AR140">
        <v>0</v>
      </c>
      <c r="AS140">
        <v>0</v>
      </c>
      <c r="AT140">
        <v>37967524</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919461004</v>
      </c>
      <c r="BQ140">
        <v>0</v>
      </c>
      <c r="BR140">
        <v>0</v>
      </c>
      <c r="BS140">
        <v>0</v>
      </c>
      <c r="BU140">
        <v>0</v>
      </c>
      <c r="BV140">
        <v>0</v>
      </c>
      <c r="BW140">
        <v>0</v>
      </c>
      <c r="BX140">
        <v>0</v>
      </c>
      <c r="BY140">
        <v>0</v>
      </c>
      <c r="BZ140">
        <v>0</v>
      </c>
      <c r="CA140">
        <v>0</v>
      </c>
      <c r="CB140">
        <v>0</v>
      </c>
      <c r="CC140">
        <v>0</v>
      </c>
      <c r="CD140">
        <v>0</v>
      </c>
      <c r="CE140">
        <v>0</v>
      </c>
      <c r="CF140">
        <v>0</v>
      </c>
      <c r="CG140">
        <v>0</v>
      </c>
      <c r="CH140">
        <v>0</v>
      </c>
      <c r="CI140">
        <v>0</v>
      </c>
      <c r="CK140">
        <v>0</v>
      </c>
    </row>
    <row r="141" spans="1:89" x14ac:dyDescent="0.3">
      <c r="A141" s="155">
        <v>518</v>
      </c>
      <c r="B141" t="s">
        <v>265</v>
      </c>
      <c r="D141">
        <v>354000</v>
      </c>
      <c r="E141">
        <v>0</v>
      </c>
      <c r="F141">
        <v>42596</v>
      </c>
      <c r="G141">
        <v>7455</v>
      </c>
      <c r="H141">
        <v>314662</v>
      </c>
      <c r="I141">
        <v>400231</v>
      </c>
      <c r="J141">
        <v>0</v>
      </c>
      <c r="K141">
        <v>5515637</v>
      </c>
      <c r="L141">
        <v>0</v>
      </c>
      <c r="M141">
        <v>0</v>
      </c>
      <c r="N141">
        <v>2631151</v>
      </c>
      <c r="O141">
        <v>23330998</v>
      </c>
      <c r="P141">
        <v>0</v>
      </c>
      <c r="Q141">
        <v>0</v>
      </c>
      <c r="R141">
        <v>0</v>
      </c>
      <c r="S141">
        <v>0</v>
      </c>
      <c r="T141">
        <v>0</v>
      </c>
      <c r="U141">
        <v>0</v>
      </c>
      <c r="V141">
        <v>6738</v>
      </c>
      <c r="W141">
        <v>510458</v>
      </c>
      <c r="X141">
        <v>0</v>
      </c>
      <c r="Y141">
        <v>99092000</v>
      </c>
      <c r="Z141">
        <v>1029005</v>
      </c>
      <c r="AA141">
        <v>0</v>
      </c>
      <c r="AB141">
        <v>0</v>
      </c>
      <c r="AC141">
        <v>5300512</v>
      </c>
      <c r="AD141">
        <v>626446</v>
      </c>
      <c r="AE141">
        <v>381785</v>
      </c>
      <c r="AF141">
        <v>11347469</v>
      </c>
      <c r="AG141">
        <v>0</v>
      </c>
      <c r="AH141">
        <v>84141</v>
      </c>
      <c r="AI141">
        <v>3943991</v>
      </c>
      <c r="AJ141">
        <v>314935</v>
      </c>
      <c r="AK141">
        <v>187652</v>
      </c>
      <c r="AL141">
        <v>0</v>
      </c>
      <c r="AM141">
        <v>55938</v>
      </c>
      <c r="AN141">
        <v>211920</v>
      </c>
      <c r="AO141">
        <v>972712</v>
      </c>
      <c r="AP141">
        <v>0</v>
      </c>
      <c r="AQ141">
        <v>8312440</v>
      </c>
      <c r="AR141">
        <v>0</v>
      </c>
      <c r="AS141">
        <v>66519</v>
      </c>
      <c r="AT141">
        <v>4851786</v>
      </c>
      <c r="AU141">
        <v>347985</v>
      </c>
      <c r="AV141">
        <v>0</v>
      </c>
      <c r="AW141">
        <v>0</v>
      </c>
      <c r="AX141">
        <v>31366</v>
      </c>
      <c r="AY141">
        <v>0</v>
      </c>
      <c r="AZ141">
        <v>0</v>
      </c>
      <c r="BA141">
        <v>111697</v>
      </c>
      <c r="BB141">
        <v>74869</v>
      </c>
      <c r="BC141">
        <v>1106391</v>
      </c>
      <c r="BD141">
        <v>0</v>
      </c>
      <c r="BE141">
        <v>0</v>
      </c>
      <c r="BF141">
        <v>1403746</v>
      </c>
      <c r="BG141">
        <v>0</v>
      </c>
      <c r="BH141">
        <v>0</v>
      </c>
      <c r="BI141">
        <v>1259445</v>
      </c>
      <c r="BJ141">
        <v>0</v>
      </c>
      <c r="BK141">
        <v>26408</v>
      </c>
      <c r="BL141">
        <v>225420</v>
      </c>
      <c r="BM141">
        <v>173006</v>
      </c>
      <c r="BN141">
        <v>0</v>
      </c>
      <c r="BO141">
        <v>3244630</v>
      </c>
      <c r="BP141">
        <v>3255734</v>
      </c>
      <c r="BQ141">
        <v>0</v>
      </c>
      <c r="BR141">
        <v>8475</v>
      </c>
      <c r="BS141">
        <v>90419</v>
      </c>
      <c r="BU141">
        <v>46433</v>
      </c>
      <c r="BV141">
        <v>0</v>
      </c>
      <c r="BW141">
        <v>17009116</v>
      </c>
      <c r="BX141">
        <v>1069589</v>
      </c>
      <c r="BY141">
        <v>3724428</v>
      </c>
      <c r="BZ141">
        <v>992257</v>
      </c>
      <c r="CA141">
        <v>160542</v>
      </c>
      <c r="CB141">
        <v>0</v>
      </c>
      <c r="CC141">
        <v>13293</v>
      </c>
      <c r="CD141">
        <v>182062</v>
      </c>
      <c r="CE141">
        <v>0</v>
      </c>
      <c r="CF141">
        <v>763067</v>
      </c>
      <c r="CG141">
        <v>0</v>
      </c>
      <c r="CH141">
        <v>433263</v>
      </c>
      <c r="CI141">
        <v>0</v>
      </c>
      <c r="CK141">
        <v>0</v>
      </c>
    </row>
    <row r="142" spans="1:89" x14ac:dyDescent="0.3">
      <c r="A142" s="155">
        <v>519</v>
      </c>
      <c r="B142" t="s">
        <v>266</v>
      </c>
      <c r="D142">
        <v>0</v>
      </c>
      <c r="E142">
        <v>0</v>
      </c>
      <c r="F142">
        <v>0</v>
      </c>
      <c r="G142">
        <v>0</v>
      </c>
      <c r="H142">
        <v>1637</v>
      </c>
      <c r="I142">
        <v>0</v>
      </c>
      <c r="J142">
        <v>0</v>
      </c>
      <c r="K142">
        <v>0</v>
      </c>
      <c r="L142">
        <v>0</v>
      </c>
      <c r="M142">
        <v>0</v>
      </c>
      <c r="N142">
        <v>50108</v>
      </c>
      <c r="O142">
        <v>3463377</v>
      </c>
      <c r="P142">
        <v>0</v>
      </c>
      <c r="Q142">
        <v>0</v>
      </c>
      <c r="R142">
        <v>0</v>
      </c>
      <c r="S142">
        <v>0</v>
      </c>
      <c r="T142">
        <v>0</v>
      </c>
      <c r="U142">
        <v>0</v>
      </c>
      <c r="V142">
        <v>0</v>
      </c>
      <c r="W142">
        <v>0</v>
      </c>
      <c r="X142">
        <v>0</v>
      </c>
      <c r="Y142">
        <v>1156000</v>
      </c>
      <c r="Z142">
        <v>0</v>
      </c>
      <c r="AA142">
        <v>0</v>
      </c>
      <c r="AB142">
        <v>0</v>
      </c>
      <c r="AC142">
        <v>0</v>
      </c>
      <c r="AD142">
        <v>0</v>
      </c>
      <c r="AE142">
        <v>18199</v>
      </c>
      <c r="AF142">
        <v>54068</v>
      </c>
      <c r="AG142">
        <v>0</v>
      </c>
      <c r="AH142">
        <v>0</v>
      </c>
      <c r="AI142">
        <v>13123</v>
      </c>
      <c r="AJ142">
        <v>0</v>
      </c>
      <c r="AK142">
        <v>0</v>
      </c>
      <c r="AL142">
        <v>0</v>
      </c>
      <c r="AM142">
        <v>0</v>
      </c>
      <c r="AN142">
        <v>0</v>
      </c>
      <c r="AO142">
        <v>11962</v>
      </c>
      <c r="AP142">
        <v>0</v>
      </c>
      <c r="AQ142">
        <v>548437</v>
      </c>
      <c r="AR142">
        <v>0</v>
      </c>
      <c r="AS142">
        <v>0</v>
      </c>
      <c r="AT142">
        <v>168438</v>
      </c>
      <c r="AU142">
        <v>0</v>
      </c>
      <c r="AV142">
        <v>0</v>
      </c>
      <c r="AW142">
        <v>0</v>
      </c>
      <c r="AX142">
        <v>0</v>
      </c>
      <c r="AY142">
        <v>0</v>
      </c>
      <c r="AZ142">
        <v>0</v>
      </c>
      <c r="BA142">
        <v>7111</v>
      </c>
      <c r="BB142">
        <v>0</v>
      </c>
      <c r="BC142">
        <v>8427</v>
      </c>
      <c r="BD142">
        <v>0</v>
      </c>
      <c r="BE142">
        <v>0</v>
      </c>
      <c r="BF142">
        <v>0</v>
      </c>
      <c r="BG142">
        <v>0</v>
      </c>
      <c r="BH142">
        <v>0</v>
      </c>
      <c r="BI142">
        <v>0</v>
      </c>
      <c r="BJ142">
        <v>0</v>
      </c>
      <c r="BK142">
        <v>0</v>
      </c>
      <c r="BL142">
        <v>0</v>
      </c>
      <c r="BM142">
        <v>1563</v>
      </c>
      <c r="BN142">
        <v>0</v>
      </c>
      <c r="BO142">
        <v>7026</v>
      </c>
      <c r="BP142">
        <v>4690881</v>
      </c>
      <c r="BQ142">
        <v>0</v>
      </c>
      <c r="BR142">
        <v>0</v>
      </c>
      <c r="BS142">
        <v>1145</v>
      </c>
      <c r="BU142">
        <v>0</v>
      </c>
      <c r="BV142">
        <v>0</v>
      </c>
      <c r="BW142">
        <v>0</v>
      </c>
      <c r="BX142">
        <v>0</v>
      </c>
      <c r="BY142">
        <v>0</v>
      </c>
      <c r="BZ142">
        <v>0</v>
      </c>
      <c r="CA142">
        <v>1965</v>
      </c>
      <c r="CB142">
        <v>255033</v>
      </c>
      <c r="CC142">
        <v>0</v>
      </c>
      <c r="CD142">
        <v>0</v>
      </c>
      <c r="CE142">
        <v>0</v>
      </c>
      <c r="CF142">
        <v>0</v>
      </c>
      <c r="CG142">
        <v>0</v>
      </c>
      <c r="CH142">
        <v>0</v>
      </c>
      <c r="CI142">
        <v>0</v>
      </c>
      <c r="CK142">
        <v>0</v>
      </c>
    </row>
    <row r="143" spans="1:89" x14ac:dyDescent="0.3">
      <c r="A143" s="155">
        <v>520</v>
      </c>
      <c r="B143" t="s">
        <v>267</v>
      </c>
      <c r="D143">
        <v>123118</v>
      </c>
      <c r="E143">
        <v>0</v>
      </c>
      <c r="F143">
        <v>94310</v>
      </c>
      <c r="G143">
        <v>29763</v>
      </c>
      <c r="H143">
        <v>85496</v>
      </c>
      <c r="I143">
        <v>363631</v>
      </c>
      <c r="J143">
        <v>0</v>
      </c>
      <c r="K143">
        <v>1540182</v>
      </c>
      <c r="L143">
        <v>0</v>
      </c>
      <c r="M143">
        <v>0</v>
      </c>
      <c r="N143">
        <v>843381</v>
      </c>
      <c r="O143">
        <v>14785791</v>
      </c>
      <c r="P143">
        <v>0</v>
      </c>
      <c r="Q143">
        <v>0</v>
      </c>
      <c r="R143">
        <v>0</v>
      </c>
      <c r="S143">
        <v>0</v>
      </c>
      <c r="T143">
        <v>0</v>
      </c>
      <c r="U143">
        <v>0</v>
      </c>
      <c r="V143">
        <v>79030</v>
      </c>
      <c r="W143">
        <v>0</v>
      </c>
      <c r="X143">
        <v>0</v>
      </c>
      <c r="Y143">
        <v>134697000</v>
      </c>
      <c r="Z143">
        <v>456973</v>
      </c>
      <c r="AA143">
        <v>74339</v>
      </c>
      <c r="AB143">
        <v>0</v>
      </c>
      <c r="AC143">
        <v>251369</v>
      </c>
      <c r="AD143">
        <v>210064</v>
      </c>
      <c r="AE143">
        <v>125045</v>
      </c>
      <c r="AF143">
        <v>2716702</v>
      </c>
      <c r="AG143">
        <v>0</v>
      </c>
      <c r="AH143">
        <v>177293</v>
      </c>
      <c r="AI143">
        <v>421431</v>
      </c>
      <c r="AJ143">
        <v>79441</v>
      </c>
      <c r="AK143">
        <v>16212</v>
      </c>
      <c r="AL143">
        <v>99951</v>
      </c>
      <c r="AM143">
        <v>60395</v>
      </c>
      <c r="AN143">
        <v>378384</v>
      </c>
      <c r="AO143">
        <v>196312</v>
      </c>
      <c r="AP143">
        <v>0</v>
      </c>
      <c r="AQ143">
        <v>6975768</v>
      </c>
      <c r="AR143">
        <v>0</v>
      </c>
      <c r="AS143">
        <v>101539</v>
      </c>
      <c r="AT143">
        <v>0</v>
      </c>
      <c r="AU143">
        <v>126487</v>
      </c>
      <c r="AV143">
        <v>0</v>
      </c>
      <c r="AW143">
        <v>0</v>
      </c>
      <c r="AX143">
        <v>176855</v>
      </c>
      <c r="AY143">
        <v>0</v>
      </c>
      <c r="AZ143">
        <v>0</v>
      </c>
      <c r="BA143">
        <v>169638</v>
      </c>
      <c r="BB143">
        <v>35575</v>
      </c>
      <c r="BC143">
        <v>348809</v>
      </c>
      <c r="BD143">
        <v>0</v>
      </c>
      <c r="BE143">
        <v>0</v>
      </c>
      <c r="BF143">
        <v>269267</v>
      </c>
      <c r="BG143">
        <v>0</v>
      </c>
      <c r="BH143">
        <v>0</v>
      </c>
      <c r="BI143">
        <v>334380</v>
      </c>
      <c r="BJ143">
        <v>0</v>
      </c>
      <c r="BK143">
        <v>251912</v>
      </c>
      <c r="BL143">
        <v>33520</v>
      </c>
      <c r="BM143">
        <v>34750</v>
      </c>
      <c r="BN143">
        <v>0</v>
      </c>
      <c r="BO143">
        <v>739985</v>
      </c>
      <c r="BP143">
        <v>2205096</v>
      </c>
      <c r="BQ143">
        <v>0</v>
      </c>
      <c r="BR143">
        <v>13256</v>
      </c>
      <c r="BS143">
        <v>43788</v>
      </c>
      <c r="BU143">
        <v>130287</v>
      </c>
      <c r="BV143">
        <v>0</v>
      </c>
      <c r="BW143">
        <v>1639922</v>
      </c>
      <c r="BX143">
        <v>278936</v>
      </c>
      <c r="BY143">
        <v>1755038</v>
      </c>
      <c r="BZ143">
        <v>585295</v>
      </c>
      <c r="CA143">
        <v>103922</v>
      </c>
      <c r="CB143">
        <v>0</v>
      </c>
      <c r="CC143">
        <v>0</v>
      </c>
      <c r="CD143">
        <v>139628</v>
      </c>
      <c r="CE143">
        <v>277552</v>
      </c>
      <c r="CF143">
        <v>197105</v>
      </c>
      <c r="CG143">
        <v>0</v>
      </c>
      <c r="CH143">
        <v>266733</v>
      </c>
      <c r="CI143">
        <v>0</v>
      </c>
      <c r="CK143">
        <v>0</v>
      </c>
    </row>
    <row r="144" spans="1:89" x14ac:dyDescent="0.3">
      <c r="A144" s="155">
        <v>521</v>
      </c>
      <c r="B144" t="s">
        <v>268</v>
      </c>
      <c r="D144">
        <v>0</v>
      </c>
      <c r="E144">
        <v>0</v>
      </c>
      <c r="F144">
        <v>0</v>
      </c>
      <c r="G144">
        <v>0</v>
      </c>
      <c r="H144">
        <v>0</v>
      </c>
      <c r="I144">
        <v>0</v>
      </c>
      <c r="J144">
        <v>0</v>
      </c>
      <c r="K144">
        <v>0</v>
      </c>
      <c r="L144">
        <v>0</v>
      </c>
      <c r="M144">
        <v>0</v>
      </c>
      <c r="N144">
        <v>0</v>
      </c>
      <c r="O144">
        <v>0</v>
      </c>
      <c r="P144">
        <v>0</v>
      </c>
      <c r="Q144">
        <v>0</v>
      </c>
      <c r="R144">
        <v>0</v>
      </c>
      <c r="S144">
        <v>0</v>
      </c>
      <c r="T144">
        <v>0</v>
      </c>
      <c r="U144">
        <v>0</v>
      </c>
      <c r="V144">
        <v>0</v>
      </c>
      <c r="W144">
        <v>320335</v>
      </c>
      <c r="X144">
        <v>0</v>
      </c>
      <c r="Y144">
        <v>0</v>
      </c>
      <c r="Z144">
        <v>0</v>
      </c>
      <c r="AA144">
        <v>0</v>
      </c>
      <c r="AB144">
        <v>0</v>
      </c>
      <c r="AC144">
        <v>0</v>
      </c>
      <c r="AD144">
        <v>0</v>
      </c>
      <c r="AE144">
        <v>0</v>
      </c>
      <c r="AF144">
        <v>0</v>
      </c>
      <c r="AG144">
        <v>0</v>
      </c>
      <c r="AH144">
        <v>0</v>
      </c>
      <c r="AI144">
        <v>486300</v>
      </c>
      <c r="AJ144">
        <v>0</v>
      </c>
      <c r="AK144">
        <v>0</v>
      </c>
      <c r="AL144">
        <v>0</v>
      </c>
      <c r="AM144">
        <v>0</v>
      </c>
      <c r="AN144">
        <v>0</v>
      </c>
      <c r="AO144">
        <v>0</v>
      </c>
      <c r="AP144">
        <v>0</v>
      </c>
      <c r="AQ144">
        <v>0</v>
      </c>
      <c r="AR144">
        <v>0</v>
      </c>
      <c r="AS144">
        <v>0</v>
      </c>
      <c r="AT144">
        <v>865488</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17978039</v>
      </c>
      <c r="BQ144">
        <v>0</v>
      </c>
      <c r="BR144">
        <v>0</v>
      </c>
      <c r="BS144">
        <v>0</v>
      </c>
      <c r="BU144">
        <v>0</v>
      </c>
      <c r="BV144">
        <v>0</v>
      </c>
      <c r="BW144">
        <v>0</v>
      </c>
      <c r="BX144">
        <v>0</v>
      </c>
      <c r="BY144">
        <v>0</v>
      </c>
      <c r="BZ144">
        <v>0</v>
      </c>
      <c r="CA144">
        <v>0</v>
      </c>
      <c r="CB144">
        <v>0</v>
      </c>
      <c r="CC144">
        <v>0</v>
      </c>
      <c r="CD144">
        <v>0</v>
      </c>
      <c r="CE144">
        <v>0</v>
      </c>
      <c r="CF144">
        <v>0</v>
      </c>
      <c r="CG144">
        <v>0</v>
      </c>
      <c r="CH144">
        <v>0</v>
      </c>
      <c r="CI144">
        <v>0</v>
      </c>
      <c r="CK144">
        <v>0</v>
      </c>
    </row>
    <row r="145" spans="1:89" x14ac:dyDescent="0.3">
      <c r="A145" s="155">
        <v>522</v>
      </c>
      <c r="B145" t="s">
        <v>269</v>
      </c>
      <c r="D145">
        <v>7080</v>
      </c>
      <c r="E145">
        <v>0</v>
      </c>
      <c r="F145">
        <v>8519</v>
      </c>
      <c r="G145">
        <v>1100</v>
      </c>
      <c r="H145">
        <v>16722</v>
      </c>
      <c r="I145">
        <v>30961</v>
      </c>
      <c r="J145">
        <v>0</v>
      </c>
      <c r="K145">
        <v>597915</v>
      </c>
      <c r="L145">
        <v>0</v>
      </c>
      <c r="M145">
        <v>0</v>
      </c>
      <c r="N145">
        <v>96485</v>
      </c>
      <c r="O145">
        <v>1495179</v>
      </c>
      <c r="P145">
        <v>0</v>
      </c>
      <c r="Q145">
        <v>0</v>
      </c>
      <c r="R145">
        <v>0</v>
      </c>
      <c r="S145">
        <v>0</v>
      </c>
      <c r="T145">
        <v>0</v>
      </c>
      <c r="U145">
        <v>0</v>
      </c>
      <c r="V145">
        <v>498</v>
      </c>
      <c r="W145">
        <v>53251</v>
      </c>
      <c r="X145">
        <v>0</v>
      </c>
      <c r="Y145">
        <v>8351000</v>
      </c>
      <c r="Z145">
        <v>125825</v>
      </c>
      <c r="AA145">
        <v>0</v>
      </c>
      <c r="AB145">
        <v>0</v>
      </c>
      <c r="AC145">
        <v>249103</v>
      </c>
      <c r="AD145">
        <v>34129</v>
      </c>
      <c r="AE145">
        <v>24798</v>
      </c>
      <c r="AF145">
        <v>539594</v>
      </c>
      <c r="AG145">
        <v>0</v>
      </c>
      <c r="AH145">
        <v>0</v>
      </c>
      <c r="AI145">
        <v>187068</v>
      </c>
      <c r="AJ145">
        <v>30725</v>
      </c>
      <c r="AK145">
        <v>9593</v>
      </c>
      <c r="AL145">
        <v>0</v>
      </c>
      <c r="AM145">
        <v>0</v>
      </c>
      <c r="AN145">
        <v>4861</v>
      </c>
      <c r="AO145">
        <v>36756</v>
      </c>
      <c r="AP145">
        <v>0</v>
      </c>
      <c r="AQ145">
        <v>789597</v>
      </c>
      <c r="AR145">
        <v>0</v>
      </c>
      <c r="AS145">
        <v>0</v>
      </c>
      <c r="AT145">
        <v>133326</v>
      </c>
      <c r="AU145">
        <v>9192</v>
      </c>
      <c r="AV145">
        <v>0</v>
      </c>
      <c r="AW145">
        <v>0</v>
      </c>
      <c r="AX145">
        <v>1896</v>
      </c>
      <c r="AY145">
        <v>0</v>
      </c>
      <c r="AZ145">
        <v>0</v>
      </c>
      <c r="BA145">
        <v>1500</v>
      </c>
      <c r="BB145">
        <v>5264</v>
      </c>
      <c r="BC145">
        <v>45512</v>
      </c>
      <c r="BD145">
        <v>0</v>
      </c>
      <c r="BE145">
        <v>0</v>
      </c>
      <c r="BF145">
        <v>47132</v>
      </c>
      <c r="BG145">
        <v>0</v>
      </c>
      <c r="BH145">
        <v>0</v>
      </c>
      <c r="BI145">
        <v>68138</v>
      </c>
      <c r="BJ145">
        <v>0</v>
      </c>
      <c r="BK145">
        <v>1085</v>
      </c>
      <c r="BL145">
        <v>10388</v>
      </c>
      <c r="BM145">
        <v>18486</v>
      </c>
      <c r="BN145">
        <v>0</v>
      </c>
      <c r="BO145">
        <v>141712</v>
      </c>
      <c r="BP145">
        <v>162787</v>
      </c>
      <c r="BQ145">
        <v>0</v>
      </c>
      <c r="BR145">
        <v>357</v>
      </c>
      <c r="BS145">
        <v>2029</v>
      </c>
      <c r="BU145">
        <v>0</v>
      </c>
      <c r="BV145">
        <v>0</v>
      </c>
      <c r="BW145">
        <v>844326</v>
      </c>
      <c r="BX145">
        <v>46050</v>
      </c>
      <c r="BY145">
        <v>296440</v>
      </c>
      <c r="BZ145">
        <v>38925</v>
      </c>
      <c r="CA145">
        <v>10857</v>
      </c>
      <c r="CB145">
        <v>0</v>
      </c>
      <c r="CC145">
        <v>0</v>
      </c>
      <c r="CD145">
        <v>7082</v>
      </c>
      <c r="CE145">
        <v>0</v>
      </c>
      <c r="CF145">
        <v>44171</v>
      </c>
      <c r="CG145">
        <v>0</v>
      </c>
      <c r="CH145">
        <v>12271</v>
      </c>
      <c r="CI145">
        <v>0</v>
      </c>
      <c r="CK145">
        <v>0</v>
      </c>
    </row>
    <row r="146" spans="1:89" x14ac:dyDescent="0.3">
      <c r="A146" s="155">
        <v>523</v>
      </c>
      <c r="B146" t="s">
        <v>270</v>
      </c>
      <c r="D146">
        <v>0</v>
      </c>
      <c r="E146">
        <v>0</v>
      </c>
      <c r="F146">
        <v>0</v>
      </c>
      <c r="G146">
        <v>0</v>
      </c>
      <c r="H146">
        <v>25101</v>
      </c>
      <c r="I146">
        <v>0</v>
      </c>
      <c r="J146">
        <v>0</v>
      </c>
      <c r="K146">
        <v>0</v>
      </c>
      <c r="L146">
        <v>0</v>
      </c>
      <c r="M146">
        <v>0</v>
      </c>
      <c r="N146">
        <v>1052179</v>
      </c>
      <c r="O146">
        <v>48425192</v>
      </c>
      <c r="P146">
        <v>0</v>
      </c>
      <c r="Q146">
        <v>0</v>
      </c>
      <c r="R146">
        <v>0</v>
      </c>
      <c r="S146">
        <v>0</v>
      </c>
      <c r="T146">
        <v>0</v>
      </c>
      <c r="U146">
        <v>0</v>
      </c>
      <c r="V146">
        <v>0</v>
      </c>
      <c r="W146">
        <v>0</v>
      </c>
      <c r="X146">
        <v>0</v>
      </c>
      <c r="Y146">
        <v>14074000</v>
      </c>
      <c r="Z146">
        <v>0</v>
      </c>
      <c r="AA146">
        <v>0</v>
      </c>
      <c r="AB146">
        <v>0</v>
      </c>
      <c r="AC146">
        <v>0</v>
      </c>
      <c r="AD146">
        <v>0</v>
      </c>
      <c r="AE146">
        <v>100760</v>
      </c>
      <c r="AF146">
        <v>735546</v>
      </c>
      <c r="AG146">
        <v>0</v>
      </c>
      <c r="AH146">
        <v>0</v>
      </c>
      <c r="AI146">
        <v>7372538</v>
      </c>
      <c r="AJ146">
        <v>0</v>
      </c>
      <c r="AK146">
        <v>0</v>
      </c>
      <c r="AL146">
        <v>0</v>
      </c>
      <c r="AM146">
        <v>0</v>
      </c>
      <c r="AN146">
        <v>0</v>
      </c>
      <c r="AO146">
        <v>181592</v>
      </c>
      <c r="AP146">
        <v>0</v>
      </c>
      <c r="AQ146">
        <v>8274976</v>
      </c>
      <c r="AR146">
        <v>0</v>
      </c>
      <c r="AS146">
        <v>0</v>
      </c>
      <c r="AT146">
        <v>3476624</v>
      </c>
      <c r="AU146">
        <v>0</v>
      </c>
      <c r="AV146">
        <v>0</v>
      </c>
      <c r="AW146">
        <v>0</v>
      </c>
      <c r="AX146">
        <v>0</v>
      </c>
      <c r="AY146">
        <v>0</v>
      </c>
      <c r="AZ146">
        <v>0</v>
      </c>
      <c r="BA146">
        <v>49359</v>
      </c>
      <c r="BB146">
        <v>0</v>
      </c>
      <c r="BC146">
        <v>138822</v>
      </c>
      <c r="BD146">
        <v>0</v>
      </c>
      <c r="BE146">
        <v>0</v>
      </c>
      <c r="BF146">
        <v>0</v>
      </c>
      <c r="BG146">
        <v>0</v>
      </c>
      <c r="BH146">
        <v>0</v>
      </c>
      <c r="BI146">
        <v>0</v>
      </c>
      <c r="BJ146">
        <v>0</v>
      </c>
      <c r="BK146">
        <v>0</v>
      </c>
      <c r="BL146">
        <v>0</v>
      </c>
      <c r="BM146">
        <v>54053</v>
      </c>
      <c r="BN146">
        <v>0</v>
      </c>
      <c r="BO146">
        <v>751134</v>
      </c>
      <c r="BP146">
        <v>145928578</v>
      </c>
      <c r="BQ146">
        <v>0</v>
      </c>
      <c r="BR146">
        <v>0</v>
      </c>
      <c r="BS146">
        <v>91503</v>
      </c>
      <c r="BU146">
        <v>0</v>
      </c>
      <c r="BV146">
        <v>0</v>
      </c>
      <c r="BW146">
        <v>0</v>
      </c>
      <c r="BX146">
        <v>0</v>
      </c>
      <c r="BY146">
        <v>0</v>
      </c>
      <c r="BZ146">
        <v>199038</v>
      </c>
      <c r="CA146">
        <v>24723</v>
      </c>
      <c r="CB146">
        <v>4256524</v>
      </c>
      <c r="CC146">
        <v>0</v>
      </c>
      <c r="CD146">
        <v>455326</v>
      </c>
      <c r="CE146">
        <v>0</v>
      </c>
      <c r="CF146">
        <v>0</v>
      </c>
      <c r="CG146">
        <v>0</v>
      </c>
      <c r="CH146">
        <v>5980</v>
      </c>
      <c r="CI146">
        <v>0</v>
      </c>
      <c r="CK146">
        <v>0</v>
      </c>
    </row>
    <row r="147" spans="1:89" x14ac:dyDescent="0.3">
      <c r="A147" s="155">
        <v>524</v>
      </c>
      <c r="B147" t="s">
        <v>271</v>
      </c>
      <c r="D147">
        <v>1632220</v>
      </c>
      <c r="E147">
        <v>0</v>
      </c>
      <c r="F147">
        <v>1498127</v>
      </c>
      <c r="G147">
        <v>888153</v>
      </c>
      <c r="H147">
        <v>2705188</v>
      </c>
      <c r="I147">
        <v>5272888</v>
      </c>
      <c r="J147">
        <v>0</v>
      </c>
      <c r="K147">
        <v>18220208</v>
      </c>
      <c r="L147">
        <v>0</v>
      </c>
      <c r="M147">
        <v>0</v>
      </c>
      <c r="N147">
        <v>3822125</v>
      </c>
      <c r="O147">
        <v>221597734</v>
      </c>
      <c r="P147">
        <v>0</v>
      </c>
      <c r="Q147">
        <v>0</v>
      </c>
      <c r="R147">
        <v>0</v>
      </c>
      <c r="S147">
        <v>0</v>
      </c>
      <c r="T147">
        <v>0</v>
      </c>
      <c r="U147">
        <v>0</v>
      </c>
      <c r="V147">
        <v>1091654</v>
      </c>
      <c r="W147">
        <v>0</v>
      </c>
      <c r="X147">
        <v>0</v>
      </c>
      <c r="Y147">
        <v>2051929000</v>
      </c>
      <c r="Z147">
        <v>11131947</v>
      </c>
      <c r="AA147">
        <v>1233459</v>
      </c>
      <c r="AB147">
        <v>0</v>
      </c>
      <c r="AC147">
        <v>4752280</v>
      </c>
      <c r="AD147">
        <v>5423531</v>
      </c>
      <c r="AE147">
        <v>2413184</v>
      </c>
      <c r="AF147">
        <v>16511920</v>
      </c>
      <c r="AG147">
        <v>0</v>
      </c>
      <c r="AH147">
        <v>3732566</v>
      </c>
      <c r="AI147">
        <v>9190336</v>
      </c>
      <c r="AJ147">
        <v>1468125</v>
      </c>
      <c r="AK147">
        <v>692123</v>
      </c>
      <c r="AL147">
        <v>1606384</v>
      </c>
      <c r="AM147">
        <v>2331457</v>
      </c>
      <c r="AN147">
        <v>5069599</v>
      </c>
      <c r="AO147">
        <v>2396922</v>
      </c>
      <c r="AP147">
        <v>0</v>
      </c>
      <c r="AQ147">
        <v>131956859</v>
      </c>
      <c r="AR147">
        <v>0</v>
      </c>
      <c r="AS147">
        <v>1982563</v>
      </c>
      <c r="AT147">
        <v>0</v>
      </c>
      <c r="AU147">
        <v>2425718</v>
      </c>
      <c r="AV147">
        <v>0</v>
      </c>
      <c r="AW147">
        <v>0</v>
      </c>
      <c r="AX147">
        <v>1968903</v>
      </c>
      <c r="AY147">
        <v>0</v>
      </c>
      <c r="AZ147">
        <v>0</v>
      </c>
      <c r="BA147">
        <v>2856404</v>
      </c>
      <c r="BB147">
        <v>625579</v>
      </c>
      <c r="BC147">
        <v>7330417</v>
      </c>
      <c r="BD147">
        <v>0</v>
      </c>
      <c r="BE147">
        <v>0</v>
      </c>
      <c r="BF147">
        <v>7556991</v>
      </c>
      <c r="BG147">
        <v>0</v>
      </c>
      <c r="BH147">
        <v>0</v>
      </c>
      <c r="BI147">
        <v>5038316</v>
      </c>
      <c r="BJ147">
        <v>0</v>
      </c>
      <c r="BK147">
        <v>2442904</v>
      </c>
      <c r="BL147">
        <v>4219428</v>
      </c>
      <c r="BM147">
        <v>1117354</v>
      </c>
      <c r="BN147">
        <v>0</v>
      </c>
      <c r="BO147">
        <v>22436984</v>
      </c>
      <c r="BP147">
        <v>13210888</v>
      </c>
      <c r="BQ147">
        <v>0</v>
      </c>
      <c r="BR147">
        <v>501291</v>
      </c>
      <c r="BS147">
        <v>871088</v>
      </c>
      <c r="BU147">
        <v>2102020</v>
      </c>
      <c r="BV147">
        <v>0</v>
      </c>
      <c r="BW147">
        <v>40851841</v>
      </c>
      <c r="BX147">
        <v>10163551</v>
      </c>
      <c r="BY147">
        <v>37495950</v>
      </c>
      <c r="BZ147">
        <v>11745471</v>
      </c>
      <c r="CA147">
        <v>2262380</v>
      </c>
      <c r="CB147">
        <v>0</v>
      </c>
      <c r="CC147">
        <v>2058453</v>
      </c>
      <c r="CD147">
        <v>1023687</v>
      </c>
      <c r="CE147">
        <v>4171536</v>
      </c>
      <c r="CF147">
        <v>5341648</v>
      </c>
      <c r="CG147">
        <v>0</v>
      </c>
      <c r="CH147">
        <v>6926691</v>
      </c>
      <c r="CI147">
        <v>0</v>
      </c>
      <c r="CK147">
        <v>1206052</v>
      </c>
    </row>
    <row r="148" spans="1:89" x14ac:dyDescent="0.3">
      <c r="A148" s="155">
        <v>525</v>
      </c>
      <c r="B148" t="s">
        <v>272</v>
      </c>
      <c r="D148">
        <v>0</v>
      </c>
      <c r="E148">
        <v>0</v>
      </c>
      <c r="F148">
        <v>0</v>
      </c>
      <c r="G148">
        <v>0</v>
      </c>
      <c r="H148">
        <v>0</v>
      </c>
      <c r="I148">
        <v>0</v>
      </c>
      <c r="J148">
        <v>0</v>
      </c>
      <c r="K148">
        <v>0</v>
      </c>
      <c r="L148">
        <v>0</v>
      </c>
      <c r="M148">
        <v>0</v>
      </c>
      <c r="N148">
        <v>0</v>
      </c>
      <c r="O148">
        <v>0</v>
      </c>
      <c r="P148">
        <v>0</v>
      </c>
      <c r="Q148">
        <v>0</v>
      </c>
      <c r="R148">
        <v>0</v>
      </c>
      <c r="S148">
        <v>0</v>
      </c>
      <c r="T148">
        <v>0</v>
      </c>
      <c r="U148">
        <v>0</v>
      </c>
      <c r="V148">
        <v>0</v>
      </c>
      <c r="W148">
        <v>4549600</v>
      </c>
      <c r="X148">
        <v>0</v>
      </c>
      <c r="Y148">
        <v>0</v>
      </c>
      <c r="Z148">
        <v>0</v>
      </c>
      <c r="AA148">
        <v>0</v>
      </c>
      <c r="AB148">
        <v>0</v>
      </c>
      <c r="AC148">
        <v>0</v>
      </c>
      <c r="AD148">
        <v>0</v>
      </c>
      <c r="AE148">
        <v>0</v>
      </c>
      <c r="AF148">
        <v>0</v>
      </c>
      <c r="AG148">
        <v>0</v>
      </c>
      <c r="AH148">
        <v>0</v>
      </c>
      <c r="AI148">
        <v>10273493</v>
      </c>
      <c r="AJ148">
        <v>0</v>
      </c>
      <c r="AK148">
        <v>0</v>
      </c>
      <c r="AL148">
        <v>0</v>
      </c>
      <c r="AM148">
        <v>0</v>
      </c>
      <c r="AN148">
        <v>0</v>
      </c>
      <c r="AO148">
        <v>0</v>
      </c>
      <c r="AP148">
        <v>0</v>
      </c>
      <c r="AQ148">
        <v>0</v>
      </c>
      <c r="AR148">
        <v>0</v>
      </c>
      <c r="AS148">
        <v>0</v>
      </c>
      <c r="AT148">
        <v>15440279</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378614938</v>
      </c>
      <c r="BQ148">
        <v>0</v>
      </c>
      <c r="BR148">
        <v>0</v>
      </c>
      <c r="BS148">
        <v>0</v>
      </c>
      <c r="BU148">
        <v>0</v>
      </c>
      <c r="BV148">
        <v>0</v>
      </c>
      <c r="BW148">
        <v>0</v>
      </c>
      <c r="BX148">
        <v>0</v>
      </c>
      <c r="BY148">
        <v>0</v>
      </c>
      <c r="BZ148">
        <v>0</v>
      </c>
      <c r="CA148">
        <v>0</v>
      </c>
      <c r="CB148">
        <v>0</v>
      </c>
      <c r="CC148">
        <v>0</v>
      </c>
      <c r="CD148">
        <v>0</v>
      </c>
      <c r="CE148">
        <v>0</v>
      </c>
      <c r="CF148">
        <v>0</v>
      </c>
      <c r="CG148">
        <v>0</v>
      </c>
      <c r="CH148">
        <v>0</v>
      </c>
      <c r="CI148">
        <v>0</v>
      </c>
      <c r="CK148">
        <v>0</v>
      </c>
    </row>
    <row r="149" spans="1:89" x14ac:dyDescent="0.3">
      <c r="A149" s="155">
        <v>526</v>
      </c>
      <c r="B149" t="s">
        <v>273</v>
      </c>
      <c r="D149">
        <v>169920</v>
      </c>
      <c r="E149">
        <v>0</v>
      </c>
      <c r="F149">
        <v>39913</v>
      </c>
      <c r="G149">
        <v>4308</v>
      </c>
      <c r="H149">
        <v>247126</v>
      </c>
      <c r="I149">
        <v>215278</v>
      </c>
      <c r="J149">
        <v>0</v>
      </c>
      <c r="K149">
        <v>3297664</v>
      </c>
      <c r="L149">
        <v>0</v>
      </c>
      <c r="M149">
        <v>0</v>
      </c>
      <c r="N149">
        <v>1565543</v>
      </c>
      <c r="O149">
        <v>14850175</v>
      </c>
      <c r="P149">
        <v>0</v>
      </c>
      <c r="Q149">
        <v>0</v>
      </c>
      <c r="R149">
        <v>0</v>
      </c>
      <c r="S149">
        <v>0</v>
      </c>
      <c r="T149">
        <v>0</v>
      </c>
      <c r="U149">
        <v>0</v>
      </c>
      <c r="V149">
        <v>2419</v>
      </c>
      <c r="W149">
        <v>333049</v>
      </c>
      <c r="X149">
        <v>0</v>
      </c>
      <c r="Y149">
        <v>65798000</v>
      </c>
      <c r="Z149">
        <v>564018</v>
      </c>
      <c r="AA149">
        <v>0</v>
      </c>
      <c r="AB149">
        <v>0</v>
      </c>
      <c r="AC149">
        <v>1422121</v>
      </c>
      <c r="AD149">
        <v>377206</v>
      </c>
      <c r="AE149">
        <v>317649</v>
      </c>
      <c r="AF149">
        <v>5623170</v>
      </c>
      <c r="AG149">
        <v>0</v>
      </c>
      <c r="AH149">
        <v>75176</v>
      </c>
      <c r="AI149">
        <v>2573630</v>
      </c>
      <c r="AJ149">
        <v>262784</v>
      </c>
      <c r="AK149">
        <v>172897</v>
      </c>
      <c r="AL149">
        <v>0</v>
      </c>
      <c r="AM149">
        <v>55938</v>
      </c>
      <c r="AN149">
        <v>178960</v>
      </c>
      <c r="AO149">
        <v>764850</v>
      </c>
      <c r="AP149">
        <v>0</v>
      </c>
      <c r="AQ149">
        <v>5780775</v>
      </c>
      <c r="AR149">
        <v>0</v>
      </c>
      <c r="AS149">
        <v>66519</v>
      </c>
      <c r="AT149">
        <v>4072562</v>
      </c>
      <c r="AU149">
        <v>281798</v>
      </c>
      <c r="AV149">
        <v>0</v>
      </c>
      <c r="AW149">
        <v>0</v>
      </c>
      <c r="AX149">
        <v>22302</v>
      </c>
      <c r="AY149">
        <v>0</v>
      </c>
      <c r="AZ149">
        <v>0</v>
      </c>
      <c r="BA149">
        <v>107771</v>
      </c>
      <c r="BB149">
        <v>61627</v>
      </c>
      <c r="BC149">
        <v>896667</v>
      </c>
      <c r="BD149">
        <v>0</v>
      </c>
      <c r="BE149">
        <v>0</v>
      </c>
      <c r="BF149">
        <v>1164498</v>
      </c>
      <c r="BG149">
        <v>0</v>
      </c>
      <c r="BH149">
        <v>0</v>
      </c>
      <c r="BI149">
        <v>914361</v>
      </c>
      <c r="BJ149">
        <v>0</v>
      </c>
      <c r="BK149">
        <v>19987</v>
      </c>
      <c r="BL149">
        <v>182542</v>
      </c>
      <c r="BM149">
        <v>169054</v>
      </c>
      <c r="BN149">
        <v>0</v>
      </c>
      <c r="BO149">
        <v>1553651</v>
      </c>
      <c r="BP149">
        <v>803520</v>
      </c>
      <c r="BQ149">
        <v>0</v>
      </c>
      <c r="BR149">
        <v>5879</v>
      </c>
      <c r="BS149">
        <v>76600</v>
      </c>
      <c r="BU149">
        <v>59978</v>
      </c>
      <c r="BV149">
        <v>0</v>
      </c>
      <c r="BW149">
        <v>14548255</v>
      </c>
      <c r="BX149">
        <v>789303</v>
      </c>
      <c r="BY149">
        <v>1894283</v>
      </c>
      <c r="BZ149">
        <v>747966</v>
      </c>
      <c r="CA149">
        <v>100233</v>
      </c>
      <c r="CB149">
        <v>0</v>
      </c>
      <c r="CC149">
        <v>13293</v>
      </c>
      <c r="CD149">
        <v>149999</v>
      </c>
      <c r="CE149">
        <v>0</v>
      </c>
      <c r="CF149">
        <v>437275</v>
      </c>
      <c r="CG149">
        <v>0</v>
      </c>
      <c r="CH149">
        <v>377739</v>
      </c>
      <c r="CI149">
        <v>0</v>
      </c>
      <c r="CK149">
        <v>0</v>
      </c>
    </row>
    <row r="150" spans="1:89" x14ac:dyDescent="0.3">
      <c r="A150" s="155">
        <v>527</v>
      </c>
      <c r="B150" t="s">
        <v>274</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960596</v>
      </c>
      <c r="AG150">
        <v>0</v>
      </c>
      <c r="AH150">
        <v>0</v>
      </c>
      <c r="AI150">
        <v>0</v>
      </c>
      <c r="AJ150">
        <v>0</v>
      </c>
      <c r="AK150">
        <v>0</v>
      </c>
      <c r="AL150">
        <v>0</v>
      </c>
      <c r="AM150">
        <v>0</v>
      </c>
      <c r="AN150">
        <v>0</v>
      </c>
      <c r="AO150">
        <v>0</v>
      </c>
      <c r="AP150">
        <v>0</v>
      </c>
      <c r="AQ150">
        <v>12345195</v>
      </c>
      <c r="AR150">
        <v>0</v>
      </c>
      <c r="AS150">
        <v>0</v>
      </c>
      <c r="AT150">
        <v>0</v>
      </c>
      <c r="AU150">
        <v>0</v>
      </c>
      <c r="AV150">
        <v>0</v>
      </c>
      <c r="AW150">
        <v>0</v>
      </c>
      <c r="AX150">
        <v>0</v>
      </c>
      <c r="AY150">
        <v>0</v>
      </c>
      <c r="AZ150">
        <v>0</v>
      </c>
      <c r="BA150">
        <v>0</v>
      </c>
      <c r="BB150">
        <v>0</v>
      </c>
      <c r="BC150">
        <v>71808</v>
      </c>
      <c r="BD150">
        <v>0</v>
      </c>
      <c r="BE150">
        <v>0</v>
      </c>
      <c r="BF150">
        <v>0</v>
      </c>
      <c r="BG150">
        <v>0</v>
      </c>
      <c r="BH150">
        <v>0</v>
      </c>
      <c r="BI150">
        <v>0</v>
      </c>
      <c r="BJ150">
        <v>0</v>
      </c>
      <c r="BK150">
        <v>0</v>
      </c>
      <c r="BL150">
        <v>0</v>
      </c>
      <c r="BM150">
        <v>0</v>
      </c>
      <c r="BN150">
        <v>0</v>
      </c>
      <c r="BO150">
        <v>0</v>
      </c>
      <c r="BP150">
        <v>0</v>
      </c>
      <c r="BQ150">
        <v>0</v>
      </c>
      <c r="BR150">
        <v>0</v>
      </c>
      <c r="BS150">
        <v>0</v>
      </c>
      <c r="BU150">
        <v>0</v>
      </c>
      <c r="BV150">
        <v>0</v>
      </c>
      <c r="BW150">
        <v>0</v>
      </c>
      <c r="BX150">
        <v>84147</v>
      </c>
      <c r="BY150">
        <v>3507509</v>
      </c>
      <c r="BZ150">
        <v>0</v>
      </c>
      <c r="CA150">
        <v>0</v>
      </c>
      <c r="CB150">
        <v>0</v>
      </c>
      <c r="CC150">
        <v>0</v>
      </c>
      <c r="CD150">
        <v>0</v>
      </c>
      <c r="CE150">
        <v>0</v>
      </c>
      <c r="CF150">
        <v>0</v>
      </c>
      <c r="CG150">
        <v>0</v>
      </c>
      <c r="CH150">
        <v>8800</v>
      </c>
      <c r="CI150">
        <v>0</v>
      </c>
      <c r="CK150">
        <v>0</v>
      </c>
    </row>
    <row r="151" spans="1:89" x14ac:dyDescent="0.3">
      <c r="A151" s="155">
        <v>528</v>
      </c>
      <c r="B151" t="s">
        <v>257</v>
      </c>
      <c r="D151">
        <v>0</v>
      </c>
      <c r="E151">
        <v>270556</v>
      </c>
      <c r="F151">
        <v>89760</v>
      </c>
      <c r="G151">
        <v>102536</v>
      </c>
      <c r="H151">
        <v>520692</v>
      </c>
      <c r="I151">
        <v>2957368</v>
      </c>
      <c r="J151">
        <v>865245</v>
      </c>
      <c r="K151">
        <v>4759295</v>
      </c>
      <c r="L151">
        <v>540799</v>
      </c>
      <c r="M151">
        <v>13671158</v>
      </c>
      <c r="N151">
        <v>1592757</v>
      </c>
      <c r="O151">
        <v>109316876</v>
      </c>
      <c r="P151">
        <v>6158</v>
      </c>
      <c r="Q151">
        <v>28585</v>
      </c>
      <c r="R151">
        <v>756171</v>
      </c>
      <c r="S151">
        <v>386982</v>
      </c>
      <c r="T151">
        <v>478726</v>
      </c>
      <c r="U151">
        <v>71665</v>
      </c>
      <c r="V151">
        <v>14170</v>
      </c>
      <c r="W151">
        <v>436746</v>
      </c>
      <c r="X151">
        <v>42384479</v>
      </c>
      <c r="Y151">
        <v>467441000</v>
      </c>
      <c r="Z151">
        <v>2138548</v>
      </c>
      <c r="AA151">
        <v>77480</v>
      </c>
      <c r="AB151">
        <v>1755903</v>
      </c>
      <c r="AC151">
        <v>428201</v>
      </c>
      <c r="AD151">
        <v>2648682</v>
      </c>
      <c r="AE151">
        <v>397166</v>
      </c>
      <c r="AF151">
        <v>14736694</v>
      </c>
      <c r="AG151">
        <v>2427349</v>
      </c>
      <c r="AH151">
        <v>616931</v>
      </c>
      <c r="AI151">
        <v>3464150</v>
      </c>
      <c r="AJ151">
        <v>345951</v>
      </c>
      <c r="AK151">
        <v>594270</v>
      </c>
      <c r="AL151">
        <v>101917</v>
      </c>
      <c r="AM151">
        <v>53391</v>
      </c>
      <c r="AN151">
        <v>309904</v>
      </c>
      <c r="AO151">
        <v>638050</v>
      </c>
      <c r="AP151">
        <v>0</v>
      </c>
      <c r="AQ151">
        <v>63538134</v>
      </c>
      <c r="AR151">
        <v>19565</v>
      </c>
      <c r="AS151">
        <v>59451</v>
      </c>
      <c r="AT151">
        <v>5695172</v>
      </c>
      <c r="AU151">
        <v>224972</v>
      </c>
      <c r="AV151">
        <v>125946</v>
      </c>
      <c r="AW151">
        <v>15540764</v>
      </c>
      <c r="AX151">
        <v>38616</v>
      </c>
      <c r="AY151">
        <v>2694528</v>
      </c>
      <c r="AZ151">
        <v>1815343</v>
      </c>
      <c r="BA151">
        <v>86496</v>
      </c>
      <c r="BB151">
        <v>26734</v>
      </c>
      <c r="BC151">
        <v>1258437</v>
      </c>
      <c r="BD151">
        <v>27313</v>
      </c>
      <c r="BE151">
        <v>7556173</v>
      </c>
      <c r="BF151">
        <v>697868</v>
      </c>
      <c r="BG151">
        <v>120755</v>
      </c>
      <c r="BH151">
        <v>102737</v>
      </c>
      <c r="BI151">
        <v>644265</v>
      </c>
      <c r="BJ151">
        <v>0</v>
      </c>
      <c r="BK151">
        <v>51797</v>
      </c>
      <c r="BL151">
        <v>343397</v>
      </c>
      <c r="BM151">
        <v>78204</v>
      </c>
      <c r="BN151">
        <v>3615937</v>
      </c>
      <c r="BO151">
        <v>3969647</v>
      </c>
      <c r="BP151">
        <v>188388414</v>
      </c>
      <c r="BQ151">
        <v>16973</v>
      </c>
      <c r="BR151">
        <v>43303</v>
      </c>
      <c r="BS151">
        <v>204481</v>
      </c>
      <c r="BU151">
        <v>762803</v>
      </c>
      <c r="BV151">
        <v>595862</v>
      </c>
      <c r="BW151">
        <v>5714352</v>
      </c>
      <c r="BX151">
        <v>2021098</v>
      </c>
      <c r="BY151">
        <v>7711733</v>
      </c>
      <c r="BZ151">
        <v>1522973</v>
      </c>
      <c r="CA151">
        <v>57796</v>
      </c>
      <c r="CB151">
        <v>2601659</v>
      </c>
      <c r="CC151">
        <v>62436</v>
      </c>
      <c r="CD151">
        <v>253930</v>
      </c>
      <c r="CE151">
        <v>424657</v>
      </c>
      <c r="CF151">
        <v>2647048</v>
      </c>
      <c r="CG151">
        <v>4985560</v>
      </c>
      <c r="CH151">
        <v>546419</v>
      </c>
      <c r="CI151">
        <v>1395364</v>
      </c>
      <c r="CK151">
        <v>25272</v>
      </c>
    </row>
    <row r="152" spans="1:89" x14ac:dyDescent="0.3">
      <c r="A152" s="155">
        <v>529</v>
      </c>
      <c r="B152" t="s">
        <v>258</v>
      </c>
      <c r="D152">
        <v>0</v>
      </c>
      <c r="E152">
        <v>20579</v>
      </c>
      <c r="F152">
        <v>13798</v>
      </c>
      <c r="G152">
        <v>10810</v>
      </c>
      <c r="H152">
        <v>39730</v>
      </c>
      <c r="I152">
        <v>220925</v>
      </c>
      <c r="J152">
        <v>86136</v>
      </c>
      <c r="K152">
        <v>234535</v>
      </c>
      <c r="L152">
        <v>55669</v>
      </c>
      <c r="M152">
        <v>1642472</v>
      </c>
      <c r="N152">
        <v>123199</v>
      </c>
      <c r="O152">
        <v>7222016</v>
      </c>
      <c r="P152">
        <v>1222</v>
      </c>
      <c r="Q152">
        <v>5925</v>
      </c>
      <c r="R152">
        <v>19487</v>
      </c>
      <c r="S152">
        <v>46807</v>
      </c>
      <c r="T152">
        <v>30561</v>
      </c>
      <c r="U152">
        <v>8110</v>
      </c>
      <c r="V152">
        <v>3009</v>
      </c>
      <c r="W152">
        <v>62702</v>
      </c>
      <c r="X152">
        <v>3666292</v>
      </c>
      <c r="Y152">
        <v>18971000</v>
      </c>
      <c r="Z152">
        <v>262575</v>
      </c>
      <c r="AA152">
        <v>1551</v>
      </c>
      <c r="AB152">
        <v>183560</v>
      </c>
      <c r="AC152">
        <v>24991</v>
      </c>
      <c r="AD152">
        <v>97860</v>
      </c>
      <c r="AE152">
        <v>25101</v>
      </c>
      <c r="AF152">
        <v>1531505</v>
      </c>
      <c r="AG152">
        <v>284622</v>
      </c>
      <c r="AH152">
        <v>20452</v>
      </c>
      <c r="AI152">
        <v>314494</v>
      </c>
      <c r="AJ152">
        <v>61083</v>
      </c>
      <c r="AK152">
        <v>89407</v>
      </c>
      <c r="AL152">
        <v>11608</v>
      </c>
      <c r="AM152">
        <v>12511</v>
      </c>
      <c r="AN152">
        <v>24471</v>
      </c>
      <c r="AO152">
        <v>48382</v>
      </c>
      <c r="AP152">
        <v>0</v>
      </c>
      <c r="AQ152">
        <v>5312545</v>
      </c>
      <c r="AR152">
        <v>3501</v>
      </c>
      <c r="AS152">
        <v>6662</v>
      </c>
      <c r="AT152">
        <v>508749</v>
      </c>
      <c r="AU152">
        <v>26518</v>
      </c>
      <c r="AV152">
        <v>24457</v>
      </c>
      <c r="AW152">
        <v>1081528</v>
      </c>
      <c r="AX152">
        <v>13190</v>
      </c>
      <c r="AY152">
        <v>302156</v>
      </c>
      <c r="AZ152">
        <v>280324</v>
      </c>
      <c r="BA152">
        <v>9658</v>
      </c>
      <c r="BB152">
        <v>4694</v>
      </c>
      <c r="BC152">
        <v>163455</v>
      </c>
      <c r="BD152">
        <v>3312</v>
      </c>
      <c r="BE152">
        <v>574393</v>
      </c>
      <c r="BF152">
        <v>79787</v>
      </c>
      <c r="BG152">
        <v>5571</v>
      </c>
      <c r="BH152">
        <v>20954</v>
      </c>
      <c r="BI152">
        <v>59257</v>
      </c>
      <c r="BJ152">
        <v>0</v>
      </c>
      <c r="BK152">
        <v>11489</v>
      </c>
      <c r="BL152">
        <v>50364</v>
      </c>
      <c r="BM152">
        <v>13597</v>
      </c>
      <c r="BN152">
        <v>33404</v>
      </c>
      <c r="BO152">
        <v>395304</v>
      </c>
      <c r="BP152">
        <v>12945016</v>
      </c>
      <c r="BQ152">
        <v>2515</v>
      </c>
      <c r="BR152">
        <v>11399</v>
      </c>
      <c r="BS152">
        <v>29163</v>
      </c>
      <c r="BU152">
        <v>44731</v>
      </c>
      <c r="BV152">
        <v>108986</v>
      </c>
      <c r="BW152">
        <v>857907</v>
      </c>
      <c r="BX152">
        <v>283823</v>
      </c>
      <c r="BY152">
        <v>842556</v>
      </c>
      <c r="BZ152">
        <v>202643</v>
      </c>
      <c r="CA152">
        <v>11527</v>
      </c>
      <c r="CB152">
        <v>201967</v>
      </c>
      <c r="CC152">
        <v>7049</v>
      </c>
      <c r="CD152">
        <v>38478</v>
      </c>
      <c r="CE152">
        <v>69956</v>
      </c>
      <c r="CF152">
        <v>330592</v>
      </c>
      <c r="CG152">
        <v>140501</v>
      </c>
      <c r="CH152">
        <v>82612</v>
      </c>
      <c r="CI152">
        <v>230209</v>
      </c>
      <c r="CK152">
        <v>4824</v>
      </c>
    </row>
    <row r="153" spans="1:89" x14ac:dyDescent="0.3">
      <c r="A153" s="155">
        <v>530</v>
      </c>
      <c r="B153" t="s">
        <v>259</v>
      </c>
      <c r="D153">
        <v>0</v>
      </c>
      <c r="E153">
        <v>4125</v>
      </c>
      <c r="F153">
        <v>4140</v>
      </c>
      <c r="G153">
        <v>1723</v>
      </c>
      <c r="H153">
        <v>8604</v>
      </c>
      <c r="I153">
        <v>55879</v>
      </c>
      <c r="J153">
        <v>7432</v>
      </c>
      <c r="K153">
        <v>25653</v>
      </c>
      <c r="L153">
        <v>4738</v>
      </c>
      <c r="M153">
        <v>66564</v>
      </c>
      <c r="N153">
        <v>8313</v>
      </c>
      <c r="O153">
        <v>179585</v>
      </c>
      <c r="P153">
        <v>226</v>
      </c>
      <c r="Q153">
        <v>1289</v>
      </c>
      <c r="R153">
        <v>2019</v>
      </c>
      <c r="S153">
        <v>7623</v>
      </c>
      <c r="T153">
        <v>11906</v>
      </c>
      <c r="U153">
        <v>54</v>
      </c>
      <c r="V153">
        <v>693</v>
      </c>
      <c r="W153">
        <v>24922</v>
      </c>
      <c r="X153">
        <v>119288</v>
      </c>
      <c r="Y153">
        <v>3968000</v>
      </c>
      <c r="Z153">
        <v>30361</v>
      </c>
      <c r="AA153">
        <v>1234</v>
      </c>
      <c r="AB153">
        <v>35822</v>
      </c>
      <c r="AC153">
        <v>6406</v>
      </c>
      <c r="AD153">
        <v>4530</v>
      </c>
      <c r="AE153">
        <v>26744</v>
      </c>
      <c r="AF153">
        <v>10020</v>
      </c>
      <c r="AG153">
        <v>9144</v>
      </c>
      <c r="AH153">
        <v>9170</v>
      </c>
      <c r="AI153">
        <v>51193</v>
      </c>
      <c r="AJ153">
        <v>8167</v>
      </c>
      <c r="AK153">
        <v>4606</v>
      </c>
      <c r="AL153">
        <v>5256</v>
      </c>
      <c r="AM153">
        <v>511</v>
      </c>
      <c r="AN153">
        <v>9495</v>
      </c>
      <c r="AO153">
        <v>5934</v>
      </c>
      <c r="AP153">
        <v>0</v>
      </c>
      <c r="AQ153">
        <v>526214</v>
      </c>
      <c r="AR153">
        <v>996</v>
      </c>
      <c r="AS153">
        <v>4002</v>
      </c>
      <c r="AT153">
        <v>49384</v>
      </c>
      <c r="AU153">
        <v>6784</v>
      </c>
      <c r="AV153">
        <v>8070</v>
      </c>
      <c r="AW153">
        <v>104758</v>
      </c>
      <c r="AX153">
        <v>2574</v>
      </c>
      <c r="AY153">
        <v>12816</v>
      </c>
      <c r="AZ153">
        <v>8931</v>
      </c>
      <c r="BA153">
        <v>3587</v>
      </c>
      <c r="BB153">
        <v>2976</v>
      </c>
      <c r="BC153">
        <v>10695</v>
      </c>
      <c r="BD153">
        <v>477</v>
      </c>
      <c r="BE153">
        <v>30706</v>
      </c>
      <c r="BF153">
        <v>19920</v>
      </c>
      <c r="BG153">
        <v>1490</v>
      </c>
      <c r="BH153">
        <v>23136</v>
      </c>
      <c r="BI153">
        <v>6490</v>
      </c>
      <c r="BJ153">
        <v>0</v>
      </c>
      <c r="BK153">
        <v>3927</v>
      </c>
      <c r="BL153">
        <v>5969</v>
      </c>
      <c r="BM153">
        <v>3963</v>
      </c>
      <c r="BN153">
        <v>460</v>
      </c>
      <c r="BO153">
        <v>36018</v>
      </c>
      <c r="BP153">
        <v>2289739</v>
      </c>
      <c r="BQ153">
        <v>273</v>
      </c>
      <c r="BR153">
        <v>5128</v>
      </c>
      <c r="BS153">
        <v>8656</v>
      </c>
      <c r="BU153">
        <v>40742</v>
      </c>
      <c r="BV153">
        <v>9885</v>
      </c>
      <c r="BW153">
        <v>81189</v>
      </c>
      <c r="BX153">
        <v>22359</v>
      </c>
      <c r="BY153">
        <v>344511</v>
      </c>
      <c r="BZ153">
        <v>50603</v>
      </c>
      <c r="CA153">
        <v>455</v>
      </c>
      <c r="CB153">
        <v>44617</v>
      </c>
      <c r="CC153">
        <v>2187</v>
      </c>
      <c r="CD153">
        <v>14703</v>
      </c>
      <c r="CE153">
        <v>15799</v>
      </c>
      <c r="CF153">
        <v>906</v>
      </c>
      <c r="CG153">
        <v>30303</v>
      </c>
      <c r="CH153">
        <v>25931</v>
      </c>
      <c r="CI153">
        <v>15431</v>
      </c>
      <c r="CK153">
        <v>2208</v>
      </c>
    </row>
    <row r="154" spans="1:89" x14ac:dyDescent="0.3">
      <c r="A154" s="155">
        <v>531</v>
      </c>
      <c r="B154" t="s">
        <v>260</v>
      </c>
      <c r="D154">
        <v>0</v>
      </c>
      <c r="E154">
        <v>0</v>
      </c>
      <c r="F154">
        <v>0</v>
      </c>
      <c r="G154">
        <v>0</v>
      </c>
      <c r="H154">
        <v>0</v>
      </c>
      <c r="I154">
        <v>0</v>
      </c>
      <c r="J154">
        <v>0</v>
      </c>
      <c r="K154">
        <v>0</v>
      </c>
      <c r="L154">
        <v>0</v>
      </c>
      <c r="M154">
        <v>0</v>
      </c>
      <c r="N154">
        <v>0</v>
      </c>
      <c r="O154">
        <v>0</v>
      </c>
      <c r="P154">
        <v>6</v>
      </c>
      <c r="Q154">
        <v>0</v>
      </c>
      <c r="R154">
        <v>0</v>
      </c>
      <c r="S154">
        <v>0</v>
      </c>
      <c r="T154">
        <v>0</v>
      </c>
      <c r="U154">
        <v>0</v>
      </c>
      <c r="V154">
        <v>0</v>
      </c>
      <c r="W154">
        <v>0</v>
      </c>
      <c r="X154">
        <v>49179</v>
      </c>
      <c r="Y154">
        <v>0</v>
      </c>
      <c r="Z154">
        <v>0</v>
      </c>
      <c r="AA154">
        <v>3</v>
      </c>
      <c r="AB154">
        <v>0</v>
      </c>
      <c r="AC154">
        <v>0</v>
      </c>
      <c r="AD154">
        <v>0</v>
      </c>
      <c r="AE154">
        <v>0</v>
      </c>
      <c r="AF154">
        <v>0</v>
      </c>
      <c r="AG154">
        <v>0</v>
      </c>
      <c r="AH154">
        <v>0</v>
      </c>
      <c r="AI154">
        <v>1325</v>
      </c>
      <c r="AJ154">
        <v>0</v>
      </c>
      <c r="AK154">
        <v>0</v>
      </c>
      <c r="AL154">
        <v>0</v>
      </c>
      <c r="AM154">
        <v>0</v>
      </c>
      <c r="AN154">
        <v>0</v>
      </c>
      <c r="AO154">
        <v>0</v>
      </c>
      <c r="AP154">
        <v>0</v>
      </c>
      <c r="AQ154">
        <v>0</v>
      </c>
      <c r="AR154">
        <v>0</v>
      </c>
      <c r="AS154">
        <v>0</v>
      </c>
      <c r="AT154">
        <v>0</v>
      </c>
      <c r="AU154">
        <v>0</v>
      </c>
      <c r="AV154">
        <v>0</v>
      </c>
      <c r="AW154">
        <v>0</v>
      </c>
      <c r="AX154">
        <v>0</v>
      </c>
      <c r="AY154">
        <v>0</v>
      </c>
      <c r="AZ154">
        <v>2702</v>
      </c>
      <c r="BA154">
        <v>86</v>
      </c>
      <c r="BB154">
        <v>0</v>
      </c>
      <c r="BC154">
        <v>0</v>
      </c>
      <c r="BD154">
        <v>0</v>
      </c>
      <c r="BE154">
        <v>0</v>
      </c>
      <c r="BF154">
        <v>0</v>
      </c>
      <c r="BG154">
        <v>0</v>
      </c>
      <c r="BH154">
        <v>0</v>
      </c>
      <c r="BI154">
        <v>0</v>
      </c>
      <c r="BJ154">
        <v>0</v>
      </c>
      <c r="BK154">
        <v>0</v>
      </c>
      <c r="BL154">
        <v>0</v>
      </c>
      <c r="BM154">
        <v>0</v>
      </c>
      <c r="BN154">
        <v>0</v>
      </c>
      <c r="BO154">
        <v>0</v>
      </c>
      <c r="BP154">
        <v>289640</v>
      </c>
      <c r="BQ154">
        <v>33</v>
      </c>
      <c r="BR154">
        <v>112</v>
      </c>
      <c r="BS154">
        <v>0</v>
      </c>
      <c r="BU154">
        <v>0</v>
      </c>
      <c r="BV154">
        <v>0</v>
      </c>
      <c r="BW154">
        <v>0</v>
      </c>
      <c r="BX154">
        <v>0</v>
      </c>
      <c r="BY154">
        <v>0</v>
      </c>
      <c r="BZ154">
        <v>0</v>
      </c>
      <c r="CA154">
        <v>0</v>
      </c>
      <c r="CB154">
        <v>0</v>
      </c>
      <c r="CC154">
        <v>654</v>
      </c>
      <c r="CD154">
        <v>0</v>
      </c>
      <c r="CE154">
        <v>0</v>
      </c>
      <c r="CF154">
        <v>864</v>
      </c>
      <c r="CG154">
        <v>0</v>
      </c>
      <c r="CH154">
        <v>496</v>
      </c>
      <c r="CI154">
        <v>0</v>
      </c>
      <c r="CK154">
        <v>65</v>
      </c>
    </row>
    <row r="155" spans="1:89" x14ac:dyDescent="0.3">
      <c r="A155" s="155">
        <v>532</v>
      </c>
      <c r="B155" t="s">
        <v>926</v>
      </c>
      <c r="D155">
        <v>591226</v>
      </c>
      <c r="E155">
        <v>1095864</v>
      </c>
      <c r="F155">
        <v>559297</v>
      </c>
      <c r="G155">
        <v>200514</v>
      </c>
      <c r="H155">
        <v>940730</v>
      </c>
      <c r="I155">
        <v>6489509</v>
      </c>
      <c r="J155">
        <v>2229916</v>
      </c>
      <c r="K155">
        <v>14637387</v>
      </c>
      <c r="L155">
        <v>2013269</v>
      </c>
      <c r="M155">
        <v>21673887</v>
      </c>
      <c r="N155">
        <v>2930510</v>
      </c>
      <c r="O155">
        <v>188085390</v>
      </c>
      <c r="P155">
        <v>34888</v>
      </c>
      <c r="Q155">
        <v>204289</v>
      </c>
      <c r="R155">
        <v>1697890</v>
      </c>
      <c r="S155">
        <v>694190</v>
      </c>
      <c r="T155">
        <v>1352318</v>
      </c>
      <c r="U155">
        <v>182738</v>
      </c>
      <c r="V155">
        <v>174403</v>
      </c>
      <c r="W155">
        <v>1505799</v>
      </c>
      <c r="X155">
        <v>58532960</v>
      </c>
      <c r="Y155">
        <v>692327000</v>
      </c>
      <c r="Z155">
        <v>4945542</v>
      </c>
      <c r="AA155">
        <v>579508</v>
      </c>
      <c r="AB155">
        <v>4313533</v>
      </c>
      <c r="AC155">
        <v>1242611</v>
      </c>
      <c r="AD155">
        <v>4149239</v>
      </c>
      <c r="AE155">
        <v>576888</v>
      </c>
      <c r="AF155">
        <v>29645745</v>
      </c>
      <c r="AG155">
        <v>6661003</v>
      </c>
      <c r="AH155">
        <v>1147711</v>
      </c>
      <c r="AI155">
        <v>9876267</v>
      </c>
      <c r="AJ155">
        <v>1031770</v>
      </c>
      <c r="AK155">
        <v>1531197</v>
      </c>
      <c r="AL155">
        <v>477223</v>
      </c>
      <c r="AM155">
        <v>196653</v>
      </c>
      <c r="AN155">
        <v>611828</v>
      </c>
      <c r="AO155">
        <v>1456812</v>
      </c>
      <c r="AP155">
        <v>26401</v>
      </c>
      <c r="AQ155">
        <v>90639886</v>
      </c>
      <c r="AR155">
        <v>104626</v>
      </c>
      <c r="AS155">
        <v>405777</v>
      </c>
      <c r="AT155">
        <v>9389418</v>
      </c>
      <c r="AU155">
        <v>713630</v>
      </c>
      <c r="AV155">
        <v>482863</v>
      </c>
      <c r="AW155">
        <v>23026903</v>
      </c>
      <c r="AX155">
        <v>121824</v>
      </c>
      <c r="AY155">
        <v>7827736</v>
      </c>
      <c r="AZ155">
        <v>4050940</v>
      </c>
      <c r="BA155">
        <v>150298</v>
      </c>
      <c r="BB155">
        <v>116978</v>
      </c>
      <c r="BC155">
        <v>3396230</v>
      </c>
      <c r="BD155">
        <v>74087</v>
      </c>
      <c r="BE155">
        <v>14266302</v>
      </c>
      <c r="BF155">
        <v>1488629</v>
      </c>
      <c r="BG155">
        <v>434424</v>
      </c>
      <c r="BH155">
        <v>355383</v>
      </c>
      <c r="BI155">
        <v>1770499</v>
      </c>
      <c r="BJ155">
        <v>244114</v>
      </c>
      <c r="BK155">
        <v>161530</v>
      </c>
      <c r="BL155">
        <v>1133398</v>
      </c>
      <c r="BM155">
        <v>403280</v>
      </c>
      <c r="BN155">
        <v>9321514</v>
      </c>
      <c r="BO155">
        <v>11244080</v>
      </c>
      <c r="BP155">
        <v>199020744</v>
      </c>
      <c r="BQ155">
        <v>51171</v>
      </c>
      <c r="BR155">
        <v>120391</v>
      </c>
      <c r="BS155">
        <v>371203</v>
      </c>
      <c r="BU155">
        <v>1533765</v>
      </c>
      <c r="BV155">
        <v>1348262</v>
      </c>
      <c r="BW155">
        <v>16974895</v>
      </c>
      <c r="BX155">
        <v>5305834</v>
      </c>
      <c r="BY155">
        <v>22374653</v>
      </c>
      <c r="BZ155">
        <v>5043720</v>
      </c>
      <c r="CA155">
        <v>247293</v>
      </c>
      <c r="CB155">
        <v>5363876</v>
      </c>
      <c r="CC155">
        <v>187389</v>
      </c>
      <c r="CD155">
        <v>977065</v>
      </c>
      <c r="CE155">
        <v>779941</v>
      </c>
      <c r="CF155">
        <v>7092825</v>
      </c>
      <c r="CG155">
        <v>10756408</v>
      </c>
      <c r="CH155">
        <v>1526098</v>
      </c>
      <c r="CI155">
        <v>2951464</v>
      </c>
      <c r="CK155">
        <v>57927</v>
      </c>
    </row>
    <row r="156" spans="1:89" x14ac:dyDescent="0.3">
      <c r="A156" s="155">
        <v>533</v>
      </c>
      <c r="B156" t="s">
        <v>927</v>
      </c>
      <c r="D156">
        <v>0</v>
      </c>
      <c r="E156">
        <v>0</v>
      </c>
      <c r="F156">
        <v>0</v>
      </c>
      <c r="G156">
        <v>9772</v>
      </c>
      <c r="H156">
        <v>33078</v>
      </c>
      <c r="I156">
        <v>32922</v>
      </c>
      <c r="J156">
        <v>0</v>
      </c>
      <c r="K156">
        <v>325875</v>
      </c>
      <c r="L156">
        <v>0</v>
      </c>
      <c r="M156">
        <v>0</v>
      </c>
      <c r="N156">
        <v>0</v>
      </c>
      <c r="O156">
        <v>0</v>
      </c>
      <c r="P156">
        <v>0</v>
      </c>
      <c r="Q156">
        <v>0</v>
      </c>
      <c r="R156">
        <v>0</v>
      </c>
      <c r="S156">
        <v>0</v>
      </c>
      <c r="T156">
        <v>0</v>
      </c>
      <c r="U156">
        <v>0</v>
      </c>
      <c r="V156">
        <v>0</v>
      </c>
      <c r="W156">
        <v>0</v>
      </c>
      <c r="X156">
        <v>0</v>
      </c>
      <c r="Y156">
        <v>0</v>
      </c>
      <c r="Z156">
        <v>3300000</v>
      </c>
      <c r="AA156">
        <v>0</v>
      </c>
      <c r="AB156">
        <v>0</v>
      </c>
      <c r="AC156">
        <v>0</v>
      </c>
      <c r="AD156">
        <v>0</v>
      </c>
      <c r="AE156">
        <v>0</v>
      </c>
      <c r="AF156">
        <v>871621</v>
      </c>
      <c r="AG156">
        <v>0</v>
      </c>
      <c r="AH156">
        <v>0</v>
      </c>
      <c r="AI156">
        <v>0</v>
      </c>
      <c r="AJ156">
        <v>0</v>
      </c>
      <c r="AK156">
        <v>0</v>
      </c>
      <c r="AL156">
        <v>0</v>
      </c>
      <c r="AM156">
        <v>0</v>
      </c>
      <c r="AN156">
        <v>0</v>
      </c>
      <c r="AO156">
        <v>240358</v>
      </c>
      <c r="AP156">
        <v>0</v>
      </c>
      <c r="AQ156">
        <v>0</v>
      </c>
      <c r="AR156">
        <v>0</v>
      </c>
      <c r="AS156">
        <v>0</v>
      </c>
      <c r="AT156">
        <v>0</v>
      </c>
      <c r="AU156">
        <v>0</v>
      </c>
      <c r="AV156">
        <v>0</v>
      </c>
      <c r="AW156">
        <v>1338000</v>
      </c>
      <c r="AX156">
        <v>0</v>
      </c>
      <c r="AY156">
        <v>2403000</v>
      </c>
      <c r="AZ156">
        <v>0</v>
      </c>
      <c r="BA156">
        <v>0</v>
      </c>
      <c r="BB156">
        <v>0</v>
      </c>
      <c r="BC156">
        <v>31887</v>
      </c>
      <c r="BD156">
        <v>0</v>
      </c>
      <c r="BE156">
        <v>1353000</v>
      </c>
      <c r="BF156">
        <v>0</v>
      </c>
      <c r="BG156">
        <v>0</v>
      </c>
      <c r="BH156">
        <v>0</v>
      </c>
      <c r="BI156">
        <v>0</v>
      </c>
      <c r="BJ156">
        <v>0</v>
      </c>
      <c r="BK156">
        <v>0</v>
      </c>
      <c r="BL156">
        <v>0</v>
      </c>
      <c r="BM156">
        <v>0</v>
      </c>
      <c r="BN156">
        <v>0</v>
      </c>
      <c r="BO156">
        <v>726727</v>
      </c>
      <c r="BP156">
        <v>0</v>
      </c>
      <c r="BQ156">
        <v>0</v>
      </c>
      <c r="BR156">
        <v>0</v>
      </c>
      <c r="BS156">
        <v>0</v>
      </c>
      <c r="BU156">
        <v>0</v>
      </c>
      <c r="BV156">
        <v>0</v>
      </c>
      <c r="BW156">
        <v>1942892</v>
      </c>
      <c r="BX156">
        <v>0</v>
      </c>
      <c r="BY156">
        <v>937500</v>
      </c>
      <c r="BZ156">
        <v>153388</v>
      </c>
      <c r="CA156">
        <v>0</v>
      </c>
      <c r="CB156">
        <v>0</v>
      </c>
      <c r="CC156">
        <v>0</v>
      </c>
      <c r="CD156">
        <v>0</v>
      </c>
      <c r="CE156">
        <v>0</v>
      </c>
      <c r="CF156">
        <v>0</v>
      </c>
      <c r="CG156">
        <v>83594</v>
      </c>
      <c r="CH156">
        <v>0</v>
      </c>
      <c r="CI156">
        <v>0</v>
      </c>
      <c r="CK156">
        <v>0</v>
      </c>
    </row>
    <row r="157" spans="1:89" x14ac:dyDescent="0.3">
      <c r="A157" s="155">
        <v>534</v>
      </c>
      <c r="B157" t="s">
        <v>928</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U157">
        <v>0</v>
      </c>
      <c r="BV157">
        <v>0</v>
      </c>
      <c r="BW157">
        <v>0</v>
      </c>
      <c r="BX157">
        <v>0</v>
      </c>
      <c r="BY157">
        <v>0</v>
      </c>
      <c r="BZ157">
        <v>0</v>
      </c>
      <c r="CA157">
        <v>0</v>
      </c>
      <c r="CB157">
        <v>0</v>
      </c>
      <c r="CC157">
        <v>0</v>
      </c>
      <c r="CD157">
        <v>0</v>
      </c>
      <c r="CE157">
        <v>0</v>
      </c>
      <c r="CF157">
        <v>0</v>
      </c>
      <c r="CG157">
        <v>0</v>
      </c>
      <c r="CH157">
        <v>0</v>
      </c>
      <c r="CI157">
        <v>0</v>
      </c>
      <c r="CK157">
        <v>0</v>
      </c>
    </row>
    <row r="158" spans="1:89" x14ac:dyDescent="0.3">
      <c r="A158" s="155">
        <v>535</v>
      </c>
      <c r="B158" t="s">
        <v>244</v>
      </c>
      <c r="D158">
        <v>0</v>
      </c>
      <c r="E158">
        <v>0</v>
      </c>
      <c r="F158">
        <v>0</v>
      </c>
      <c r="G158">
        <v>0</v>
      </c>
      <c r="H158">
        <v>0</v>
      </c>
      <c r="I158">
        <v>0</v>
      </c>
      <c r="J158">
        <v>0</v>
      </c>
      <c r="K158">
        <v>2200368</v>
      </c>
      <c r="L158">
        <v>0</v>
      </c>
      <c r="M158">
        <v>286256</v>
      </c>
      <c r="N158">
        <v>0</v>
      </c>
      <c r="O158">
        <v>295503</v>
      </c>
      <c r="P158">
        <v>0</v>
      </c>
      <c r="Q158">
        <v>0</v>
      </c>
      <c r="R158">
        <v>0</v>
      </c>
      <c r="S158">
        <v>0</v>
      </c>
      <c r="T158">
        <v>0</v>
      </c>
      <c r="U158">
        <v>0</v>
      </c>
      <c r="V158">
        <v>0</v>
      </c>
      <c r="W158">
        <v>0</v>
      </c>
      <c r="X158">
        <v>15760404</v>
      </c>
      <c r="Y158">
        <v>240239000</v>
      </c>
      <c r="Z158">
        <v>9330616</v>
      </c>
      <c r="AA158">
        <v>0</v>
      </c>
      <c r="AB158">
        <v>0</v>
      </c>
      <c r="AC158">
        <v>0</v>
      </c>
      <c r="AD158">
        <v>0</v>
      </c>
      <c r="AE158">
        <v>0</v>
      </c>
      <c r="AF158">
        <v>0</v>
      </c>
      <c r="AG158">
        <v>0</v>
      </c>
      <c r="AH158">
        <v>0</v>
      </c>
      <c r="AI158">
        <v>0</v>
      </c>
      <c r="AJ158">
        <v>0</v>
      </c>
      <c r="AK158">
        <v>0</v>
      </c>
      <c r="AL158">
        <v>0</v>
      </c>
      <c r="AM158">
        <v>0</v>
      </c>
      <c r="AN158">
        <v>0</v>
      </c>
      <c r="AO158">
        <v>0</v>
      </c>
      <c r="AP158">
        <v>0</v>
      </c>
      <c r="AQ158">
        <v>339610</v>
      </c>
      <c r="AR158">
        <v>0</v>
      </c>
      <c r="AS158">
        <v>0</v>
      </c>
      <c r="AT158">
        <v>0</v>
      </c>
      <c r="AU158">
        <v>0</v>
      </c>
      <c r="AV158">
        <v>0</v>
      </c>
      <c r="AW158">
        <v>7416146</v>
      </c>
      <c r="AX158">
        <v>0</v>
      </c>
      <c r="AY158">
        <v>0</v>
      </c>
      <c r="AZ158">
        <v>0</v>
      </c>
      <c r="BA158">
        <v>0</v>
      </c>
      <c r="BB158">
        <v>0</v>
      </c>
      <c r="BC158">
        <v>0</v>
      </c>
      <c r="BD158">
        <v>0</v>
      </c>
      <c r="BE158">
        <v>17422480</v>
      </c>
      <c r="BF158">
        <v>0</v>
      </c>
      <c r="BG158">
        <v>0</v>
      </c>
      <c r="BH158">
        <v>0</v>
      </c>
      <c r="BI158">
        <v>0</v>
      </c>
      <c r="BJ158">
        <v>0</v>
      </c>
      <c r="BK158">
        <v>0</v>
      </c>
      <c r="BL158">
        <v>0</v>
      </c>
      <c r="BM158">
        <v>0</v>
      </c>
      <c r="BN158">
        <v>0</v>
      </c>
      <c r="BO158">
        <v>0</v>
      </c>
      <c r="BP158">
        <v>41142059</v>
      </c>
      <c r="BQ158">
        <v>0</v>
      </c>
      <c r="BR158">
        <v>0</v>
      </c>
      <c r="BS158">
        <v>0</v>
      </c>
      <c r="BU158">
        <v>0</v>
      </c>
      <c r="BV158">
        <v>0</v>
      </c>
      <c r="BW158">
        <v>0</v>
      </c>
      <c r="BX158">
        <v>0</v>
      </c>
      <c r="BY158">
        <v>990101</v>
      </c>
      <c r="BZ158">
        <v>0</v>
      </c>
      <c r="CA158">
        <v>0</v>
      </c>
      <c r="CB158">
        <v>0</v>
      </c>
      <c r="CC158">
        <v>0</v>
      </c>
      <c r="CD158">
        <v>0</v>
      </c>
      <c r="CE158">
        <v>0</v>
      </c>
      <c r="CF158">
        <v>0</v>
      </c>
      <c r="CG158">
        <v>0</v>
      </c>
      <c r="CH158">
        <v>0</v>
      </c>
      <c r="CI158">
        <v>0</v>
      </c>
      <c r="CK158">
        <v>0</v>
      </c>
    </row>
    <row r="159" spans="1:89" x14ac:dyDescent="0.3">
      <c r="A159" s="155">
        <v>536</v>
      </c>
      <c r="B159" t="s">
        <v>190</v>
      </c>
      <c r="D159">
        <v>73009</v>
      </c>
      <c r="E159">
        <v>282387</v>
      </c>
      <c r="F159">
        <v>22192</v>
      </c>
      <c r="G159">
        <v>50851</v>
      </c>
      <c r="H159">
        <v>118700</v>
      </c>
      <c r="I159">
        <v>347786</v>
      </c>
      <c r="J159">
        <v>105766</v>
      </c>
      <c r="K159">
        <v>569442</v>
      </c>
      <c r="L159">
        <v>0</v>
      </c>
      <c r="M159">
        <v>368595</v>
      </c>
      <c r="N159">
        <v>161546</v>
      </c>
      <c r="O159">
        <v>8326795</v>
      </c>
      <c r="P159">
        <v>0</v>
      </c>
      <c r="Q159">
        <v>15462</v>
      </c>
      <c r="R159">
        <v>0</v>
      </c>
      <c r="S159">
        <v>72706</v>
      </c>
      <c r="T159">
        <v>151318</v>
      </c>
      <c r="U159">
        <v>75342</v>
      </c>
      <c r="V159">
        <v>233509</v>
      </c>
      <c r="W159">
        <v>31454</v>
      </c>
      <c r="X159">
        <v>791367</v>
      </c>
      <c r="Y159">
        <v>0</v>
      </c>
      <c r="Z159">
        <v>4328653</v>
      </c>
      <c r="AA159">
        <v>0</v>
      </c>
      <c r="AB159">
        <v>471646</v>
      </c>
      <c r="AC159">
        <v>44430</v>
      </c>
      <c r="AD159">
        <v>44154</v>
      </c>
      <c r="AE159">
        <v>92166</v>
      </c>
      <c r="AF159">
        <v>8450</v>
      </c>
      <c r="AG159">
        <v>1124784</v>
      </c>
      <c r="AH159">
        <v>150083</v>
      </c>
      <c r="AI159">
        <v>103299</v>
      </c>
      <c r="AJ159">
        <v>6417</v>
      </c>
      <c r="AK159">
        <v>189308</v>
      </c>
      <c r="AL159">
        <v>188520</v>
      </c>
      <c r="AM159">
        <v>4765</v>
      </c>
      <c r="AN159">
        <v>0</v>
      </c>
      <c r="AO159">
        <v>153916</v>
      </c>
      <c r="AP159">
        <v>0</v>
      </c>
      <c r="AQ159">
        <v>6455283</v>
      </c>
      <c r="AR159">
        <v>73611</v>
      </c>
      <c r="AS159">
        <v>313121</v>
      </c>
      <c r="AT159">
        <v>433093</v>
      </c>
      <c r="AU159">
        <v>29517</v>
      </c>
      <c r="AV159">
        <v>37602</v>
      </c>
      <c r="AW159">
        <v>1444296</v>
      </c>
      <c r="AX159">
        <v>54222</v>
      </c>
      <c r="AY159">
        <v>140133</v>
      </c>
      <c r="AZ159">
        <v>371580</v>
      </c>
      <c r="BA159">
        <v>75818</v>
      </c>
      <c r="BB159">
        <v>17357</v>
      </c>
      <c r="BC159">
        <v>96181</v>
      </c>
      <c r="BD159">
        <v>10343</v>
      </c>
      <c r="BE159">
        <v>141585</v>
      </c>
      <c r="BF159">
        <v>101081</v>
      </c>
      <c r="BG159">
        <v>9585</v>
      </c>
      <c r="BH159">
        <v>1102</v>
      </c>
      <c r="BI159">
        <v>83745</v>
      </c>
      <c r="BJ159">
        <v>0</v>
      </c>
      <c r="BK159">
        <v>52115</v>
      </c>
      <c r="BL159">
        <v>42652</v>
      </c>
      <c r="BM159">
        <v>104990</v>
      </c>
      <c r="BN159">
        <v>1694718</v>
      </c>
      <c r="BO159">
        <v>960679</v>
      </c>
      <c r="BP159">
        <v>0</v>
      </c>
      <c r="BQ159">
        <v>50523</v>
      </c>
      <c r="BR159">
        <v>35539</v>
      </c>
      <c r="BS159">
        <v>1811</v>
      </c>
      <c r="BU159">
        <v>209740</v>
      </c>
      <c r="BV159">
        <v>660127</v>
      </c>
      <c r="BW159">
        <v>240038</v>
      </c>
      <c r="BX159">
        <v>216572</v>
      </c>
      <c r="BY159">
        <v>369325</v>
      </c>
      <c r="BZ159">
        <v>906824</v>
      </c>
      <c r="CA159">
        <v>5905</v>
      </c>
      <c r="CB159">
        <v>170123</v>
      </c>
      <c r="CC159">
        <v>73867</v>
      </c>
      <c r="CD159">
        <v>185932</v>
      </c>
      <c r="CE159">
        <v>77998</v>
      </c>
      <c r="CF159">
        <v>808285</v>
      </c>
      <c r="CG159">
        <v>136307</v>
      </c>
      <c r="CH159">
        <v>199570</v>
      </c>
      <c r="CI159">
        <v>284886</v>
      </c>
      <c r="CK159">
        <v>3251</v>
      </c>
    </row>
    <row r="160" spans="1:89" x14ac:dyDescent="0.3">
      <c r="A160" s="155">
        <v>537</v>
      </c>
      <c r="B160" t="s">
        <v>280</v>
      </c>
      <c r="D160">
        <v>2</v>
      </c>
      <c r="E160">
        <v>0</v>
      </c>
      <c r="F160">
        <v>2</v>
      </c>
      <c r="G160">
        <v>2</v>
      </c>
      <c r="H160">
        <v>2</v>
      </c>
      <c r="I160">
        <v>2</v>
      </c>
      <c r="J160">
        <v>2</v>
      </c>
      <c r="K160">
        <v>1</v>
      </c>
      <c r="L160">
        <v>2</v>
      </c>
      <c r="M160">
        <v>2</v>
      </c>
      <c r="N160">
        <v>2</v>
      </c>
      <c r="O160">
        <v>2</v>
      </c>
      <c r="P160">
        <v>0</v>
      </c>
      <c r="Q160">
        <v>0</v>
      </c>
      <c r="R160">
        <v>2</v>
      </c>
      <c r="S160">
        <v>0</v>
      </c>
      <c r="T160">
        <v>2</v>
      </c>
      <c r="U160">
        <v>0</v>
      </c>
      <c r="V160">
        <v>0</v>
      </c>
      <c r="W160">
        <v>2</v>
      </c>
      <c r="X160">
        <v>2</v>
      </c>
      <c r="Y160">
        <v>1</v>
      </c>
      <c r="Z160">
        <v>1</v>
      </c>
      <c r="AA160">
        <v>1</v>
      </c>
      <c r="AB160">
        <v>0</v>
      </c>
      <c r="AC160">
        <v>1</v>
      </c>
      <c r="AD160">
        <v>1</v>
      </c>
      <c r="AE160">
        <v>0</v>
      </c>
      <c r="AF160">
        <v>1</v>
      </c>
      <c r="AG160">
        <v>2</v>
      </c>
      <c r="AH160">
        <v>2</v>
      </c>
      <c r="AI160">
        <v>2</v>
      </c>
      <c r="AJ160">
        <v>0</v>
      </c>
      <c r="AK160">
        <v>2</v>
      </c>
      <c r="AL160">
        <v>2</v>
      </c>
      <c r="AM160">
        <v>1</v>
      </c>
      <c r="AN160">
        <v>2</v>
      </c>
      <c r="AO160">
        <v>2</v>
      </c>
      <c r="AP160">
        <v>0</v>
      </c>
      <c r="AQ160">
        <v>2</v>
      </c>
      <c r="AR160">
        <v>0</v>
      </c>
      <c r="AS160">
        <v>2</v>
      </c>
      <c r="AT160">
        <v>1</v>
      </c>
      <c r="AU160">
        <v>0</v>
      </c>
      <c r="AV160">
        <v>0</v>
      </c>
      <c r="AW160">
        <v>2</v>
      </c>
      <c r="AX160">
        <v>2</v>
      </c>
      <c r="AY160">
        <v>0</v>
      </c>
      <c r="AZ160">
        <v>0</v>
      </c>
      <c r="BA160">
        <v>1</v>
      </c>
      <c r="BB160">
        <v>2</v>
      </c>
      <c r="BC160">
        <v>2</v>
      </c>
      <c r="BD160">
        <v>0</v>
      </c>
      <c r="BE160">
        <v>0</v>
      </c>
      <c r="BF160">
        <v>1</v>
      </c>
      <c r="BG160">
        <v>0</v>
      </c>
      <c r="BH160">
        <v>0</v>
      </c>
      <c r="BI160">
        <v>2</v>
      </c>
      <c r="BJ160">
        <v>0</v>
      </c>
      <c r="BK160">
        <v>2</v>
      </c>
      <c r="BL160">
        <v>2</v>
      </c>
      <c r="BM160">
        <v>1</v>
      </c>
      <c r="BN160">
        <v>0</v>
      </c>
      <c r="BO160">
        <v>2</v>
      </c>
      <c r="BP160">
        <v>1</v>
      </c>
      <c r="BQ160">
        <v>0</v>
      </c>
      <c r="BR160">
        <v>2</v>
      </c>
      <c r="BS160">
        <v>2</v>
      </c>
      <c r="BU160">
        <v>2</v>
      </c>
      <c r="BV160">
        <v>0</v>
      </c>
      <c r="BW160">
        <v>2</v>
      </c>
      <c r="BX160">
        <v>2</v>
      </c>
      <c r="BY160">
        <v>1</v>
      </c>
      <c r="BZ160">
        <v>1</v>
      </c>
      <c r="CA160">
        <v>1</v>
      </c>
      <c r="CB160">
        <v>2</v>
      </c>
      <c r="CC160">
        <v>2</v>
      </c>
      <c r="CD160">
        <v>2</v>
      </c>
      <c r="CE160">
        <v>1</v>
      </c>
      <c r="CF160">
        <v>1</v>
      </c>
      <c r="CG160">
        <v>2</v>
      </c>
      <c r="CH160">
        <v>2</v>
      </c>
      <c r="CI160">
        <v>2</v>
      </c>
      <c r="CK160">
        <v>2</v>
      </c>
    </row>
    <row r="161" spans="1:89" x14ac:dyDescent="0.3">
      <c r="A161" s="155">
        <v>538</v>
      </c>
      <c r="B161" t="s">
        <v>279</v>
      </c>
      <c r="D161">
        <v>2</v>
      </c>
      <c r="E161">
        <v>0</v>
      </c>
      <c r="F161">
        <v>2</v>
      </c>
      <c r="G161">
        <v>0</v>
      </c>
      <c r="H161">
        <v>2</v>
      </c>
      <c r="I161">
        <v>1</v>
      </c>
      <c r="J161">
        <v>2</v>
      </c>
      <c r="K161">
        <v>1</v>
      </c>
      <c r="L161">
        <v>2</v>
      </c>
      <c r="M161">
        <v>2</v>
      </c>
      <c r="N161">
        <v>2</v>
      </c>
      <c r="O161">
        <v>1</v>
      </c>
      <c r="P161">
        <v>0</v>
      </c>
      <c r="Q161">
        <v>0</v>
      </c>
      <c r="R161">
        <v>2</v>
      </c>
      <c r="S161">
        <v>0</v>
      </c>
      <c r="T161">
        <v>2</v>
      </c>
      <c r="U161">
        <v>0</v>
      </c>
      <c r="V161">
        <v>0</v>
      </c>
      <c r="W161">
        <v>2</v>
      </c>
      <c r="X161">
        <v>2</v>
      </c>
      <c r="Y161">
        <v>1</v>
      </c>
      <c r="Z161">
        <v>2</v>
      </c>
      <c r="AA161">
        <v>1</v>
      </c>
      <c r="AB161">
        <v>0</v>
      </c>
      <c r="AC161">
        <v>1</v>
      </c>
      <c r="AD161">
        <v>2</v>
      </c>
      <c r="AE161">
        <v>2</v>
      </c>
      <c r="AF161">
        <v>1</v>
      </c>
      <c r="AG161">
        <v>2</v>
      </c>
      <c r="AH161">
        <v>2</v>
      </c>
      <c r="AI161">
        <v>2</v>
      </c>
      <c r="AJ161">
        <v>0</v>
      </c>
      <c r="AK161">
        <v>2</v>
      </c>
      <c r="AL161">
        <v>2</v>
      </c>
      <c r="AM161">
        <v>1</v>
      </c>
      <c r="AN161">
        <v>2</v>
      </c>
      <c r="AO161">
        <v>2</v>
      </c>
      <c r="AP161">
        <v>0</v>
      </c>
      <c r="AQ161">
        <v>1</v>
      </c>
      <c r="AR161">
        <v>0</v>
      </c>
      <c r="AS161">
        <v>2</v>
      </c>
      <c r="AT161">
        <v>1</v>
      </c>
      <c r="AU161">
        <v>0</v>
      </c>
      <c r="AV161">
        <v>0</v>
      </c>
      <c r="AW161">
        <v>2</v>
      </c>
      <c r="AX161">
        <v>2</v>
      </c>
      <c r="AY161">
        <v>0</v>
      </c>
      <c r="AZ161">
        <v>2</v>
      </c>
      <c r="BA161">
        <v>2</v>
      </c>
      <c r="BB161">
        <v>0</v>
      </c>
      <c r="BC161">
        <v>2</v>
      </c>
      <c r="BD161">
        <v>0</v>
      </c>
      <c r="BE161">
        <v>0</v>
      </c>
      <c r="BF161">
        <v>2</v>
      </c>
      <c r="BG161">
        <v>0</v>
      </c>
      <c r="BH161">
        <v>0</v>
      </c>
      <c r="BI161">
        <v>2</v>
      </c>
      <c r="BJ161">
        <v>0</v>
      </c>
      <c r="BK161">
        <v>1</v>
      </c>
      <c r="BL161">
        <v>2</v>
      </c>
      <c r="BM161">
        <v>1</v>
      </c>
      <c r="BN161">
        <v>0</v>
      </c>
      <c r="BO161">
        <v>1</v>
      </c>
      <c r="BP161">
        <v>1</v>
      </c>
      <c r="BQ161">
        <v>0</v>
      </c>
      <c r="BR161">
        <v>2</v>
      </c>
      <c r="BS161">
        <v>2</v>
      </c>
      <c r="BU161">
        <v>2</v>
      </c>
      <c r="BV161">
        <v>0</v>
      </c>
      <c r="BW161">
        <v>2</v>
      </c>
      <c r="BX161">
        <v>2</v>
      </c>
      <c r="BY161">
        <v>1</v>
      </c>
      <c r="BZ161">
        <v>1</v>
      </c>
      <c r="CA161">
        <v>1</v>
      </c>
      <c r="CB161">
        <v>2</v>
      </c>
      <c r="CC161">
        <v>2</v>
      </c>
      <c r="CD161">
        <v>2</v>
      </c>
      <c r="CE161">
        <v>1</v>
      </c>
      <c r="CF161">
        <v>1</v>
      </c>
      <c r="CG161">
        <v>2</v>
      </c>
      <c r="CH161">
        <v>2</v>
      </c>
      <c r="CI161">
        <v>2</v>
      </c>
      <c r="CK161">
        <v>2</v>
      </c>
    </row>
    <row r="162" spans="1:89" x14ac:dyDescent="0.3">
      <c r="A162" s="155">
        <v>540</v>
      </c>
      <c r="B162" t="s">
        <v>253</v>
      </c>
      <c r="D162">
        <v>0</v>
      </c>
      <c r="E162">
        <v>0</v>
      </c>
      <c r="F162">
        <v>0</v>
      </c>
      <c r="G162">
        <v>0</v>
      </c>
      <c r="H162">
        <v>0</v>
      </c>
      <c r="I162">
        <v>256511</v>
      </c>
      <c r="J162">
        <v>76157</v>
      </c>
      <c r="K162">
        <v>0</v>
      </c>
      <c r="L162">
        <v>159700</v>
      </c>
      <c r="M162">
        <v>1189720</v>
      </c>
      <c r="N162">
        <v>0</v>
      </c>
      <c r="O162">
        <v>20138372</v>
      </c>
      <c r="P162">
        <v>0</v>
      </c>
      <c r="Q162">
        <v>0</v>
      </c>
      <c r="R162">
        <v>0</v>
      </c>
      <c r="S162">
        <v>32728</v>
      </c>
      <c r="T162">
        <v>0</v>
      </c>
      <c r="U162">
        <v>18131</v>
      </c>
      <c r="V162">
        <v>0</v>
      </c>
      <c r="W162">
        <v>44727</v>
      </c>
      <c r="X162">
        <v>2510221</v>
      </c>
      <c r="Y162">
        <v>0</v>
      </c>
      <c r="Z162">
        <v>0</v>
      </c>
      <c r="AA162">
        <v>0</v>
      </c>
      <c r="AB162">
        <v>62123</v>
      </c>
      <c r="AC162">
        <v>0</v>
      </c>
      <c r="AD162">
        <v>553885</v>
      </c>
      <c r="AE162">
        <v>35000</v>
      </c>
      <c r="AF162">
        <v>1685783</v>
      </c>
      <c r="AG162">
        <v>2077853</v>
      </c>
      <c r="AH162">
        <v>0</v>
      </c>
      <c r="AI162">
        <v>150000</v>
      </c>
      <c r="AJ162">
        <v>250164</v>
      </c>
      <c r="AK162">
        <v>0</v>
      </c>
      <c r="AL162">
        <v>237732</v>
      </c>
      <c r="AM162">
        <v>0</v>
      </c>
      <c r="AN162">
        <v>0</v>
      </c>
      <c r="AO162">
        <v>22015</v>
      </c>
      <c r="AP162">
        <v>0</v>
      </c>
      <c r="AQ162">
        <v>0</v>
      </c>
      <c r="AR162">
        <v>0</v>
      </c>
      <c r="AS162">
        <v>0</v>
      </c>
      <c r="AT162">
        <v>483863</v>
      </c>
      <c r="AU162">
        <v>129800</v>
      </c>
      <c r="AV162">
        <v>0</v>
      </c>
      <c r="AW162">
        <v>889140</v>
      </c>
      <c r="AX162">
        <v>0</v>
      </c>
      <c r="AY162">
        <v>500000</v>
      </c>
      <c r="AZ162">
        <v>0</v>
      </c>
      <c r="BA162">
        <v>0</v>
      </c>
      <c r="BB162">
        <v>0</v>
      </c>
      <c r="BC162">
        <v>487104</v>
      </c>
      <c r="BD162">
        <v>0</v>
      </c>
      <c r="BE162">
        <v>0</v>
      </c>
      <c r="BF162">
        <v>0</v>
      </c>
      <c r="BG162">
        <v>0</v>
      </c>
      <c r="BH162">
        <v>1162</v>
      </c>
      <c r="BI162">
        <v>27000</v>
      </c>
      <c r="BJ162">
        <v>0</v>
      </c>
      <c r="BK162">
        <v>0</v>
      </c>
      <c r="BL162">
        <v>9000</v>
      </c>
      <c r="BM162">
        <v>106560</v>
      </c>
      <c r="BN162">
        <v>0</v>
      </c>
      <c r="BO162">
        <v>0</v>
      </c>
      <c r="BP162">
        <v>15060200</v>
      </c>
      <c r="BQ162">
        <v>0</v>
      </c>
      <c r="BR162">
        <v>0</v>
      </c>
      <c r="BS162">
        <v>0</v>
      </c>
      <c r="BU162">
        <v>0</v>
      </c>
      <c r="BV162">
        <v>0</v>
      </c>
      <c r="BW162">
        <v>575000</v>
      </c>
      <c r="BX162">
        <v>0</v>
      </c>
      <c r="BY162">
        <v>0</v>
      </c>
      <c r="BZ162">
        <v>167569</v>
      </c>
      <c r="CA162">
        <v>28500</v>
      </c>
      <c r="CB162">
        <v>0</v>
      </c>
      <c r="CC162">
        <v>110000</v>
      </c>
      <c r="CD162">
        <v>54741</v>
      </c>
      <c r="CE162">
        <v>0</v>
      </c>
      <c r="CF162">
        <v>0</v>
      </c>
      <c r="CG162">
        <v>0</v>
      </c>
      <c r="CH162">
        <v>129374</v>
      </c>
      <c r="CI162">
        <v>0</v>
      </c>
      <c r="CK162">
        <v>5750</v>
      </c>
    </row>
    <row r="163" spans="1:89" x14ac:dyDescent="0.3">
      <c r="A163" s="155">
        <v>541</v>
      </c>
      <c r="B163" t="s">
        <v>310</v>
      </c>
      <c r="D163">
        <v>-9673</v>
      </c>
      <c r="E163">
        <v>0</v>
      </c>
      <c r="F163">
        <v>81288</v>
      </c>
      <c r="G163">
        <v>2529</v>
      </c>
      <c r="H163">
        <v>61668</v>
      </c>
      <c r="I163">
        <v>248608</v>
      </c>
      <c r="J163">
        <v>0</v>
      </c>
      <c r="K163">
        <v>2427919</v>
      </c>
      <c r="L163">
        <v>0</v>
      </c>
      <c r="M163">
        <v>0</v>
      </c>
      <c r="N163">
        <v>142894</v>
      </c>
      <c r="O163">
        <v>133575197</v>
      </c>
      <c r="P163">
        <v>0</v>
      </c>
      <c r="Q163">
        <v>0</v>
      </c>
      <c r="R163">
        <v>0</v>
      </c>
      <c r="S163">
        <v>0</v>
      </c>
      <c r="T163">
        <v>0</v>
      </c>
      <c r="U163">
        <v>0</v>
      </c>
      <c r="V163">
        <v>24028</v>
      </c>
      <c r="W163">
        <v>107755</v>
      </c>
      <c r="X163">
        <v>0</v>
      </c>
      <c r="Y163">
        <v>132371000</v>
      </c>
      <c r="Z163">
        <v>-611946</v>
      </c>
      <c r="AA163">
        <v>42746</v>
      </c>
      <c r="AB163">
        <v>0</v>
      </c>
      <c r="AC163">
        <v>-128542</v>
      </c>
      <c r="AD163">
        <v>522359</v>
      </c>
      <c r="AE163">
        <v>263908</v>
      </c>
      <c r="AF163">
        <v>5088776</v>
      </c>
      <c r="AG163">
        <v>0</v>
      </c>
      <c r="AH163">
        <v>233825</v>
      </c>
      <c r="AI163">
        <v>-154506</v>
      </c>
      <c r="AJ163">
        <v>143406</v>
      </c>
      <c r="AK163">
        <v>87962</v>
      </c>
      <c r="AL163">
        <v>79627</v>
      </c>
      <c r="AM163">
        <v>11258</v>
      </c>
      <c r="AN163">
        <v>89204</v>
      </c>
      <c r="AO163">
        <v>-45504</v>
      </c>
      <c r="AP163">
        <v>0</v>
      </c>
      <c r="AQ163">
        <v>8162324</v>
      </c>
      <c r="AR163">
        <v>0</v>
      </c>
      <c r="AS163">
        <v>-55961</v>
      </c>
      <c r="AT163">
        <v>1711196</v>
      </c>
      <c r="AU163">
        <v>-26991</v>
      </c>
      <c r="AV163">
        <v>0</v>
      </c>
      <c r="AW163">
        <v>0</v>
      </c>
      <c r="AX163">
        <v>-33981</v>
      </c>
      <c r="AY163">
        <v>0</v>
      </c>
      <c r="AZ163">
        <v>0</v>
      </c>
      <c r="BA163">
        <v>71428</v>
      </c>
      <c r="BB163">
        <v>45264</v>
      </c>
      <c r="BC163">
        <v>390916</v>
      </c>
      <c r="BD163">
        <v>0</v>
      </c>
      <c r="BE163">
        <v>0</v>
      </c>
      <c r="BF163">
        <v>6206</v>
      </c>
      <c r="BG163">
        <v>0</v>
      </c>
      <c r="BH163">
        <v>0</v>
      </c>
      <c r="BI163">
        <v>79451</v>
      </c>
      <c r="BJ163">
        <v>0</v>
      </c>
      <c r="BK163">
        <v>-18105</v>
      </c>
      <c r="BL163">
        <v>-13859</v>
      </c>
      <c r="BM163">
        <v>-47481</v>
      </c>
      <c r="BN163">
        <v>0</v>
      </c>
      <c r="BO163">
        <v>2978046</v>
      </c>
      <c r="BP163">
        <v>31950634</v>
      </c>
      <c r="BQ163">
        <v>0</v>
      </c>
      <c r="BR163">
        <v>8757</v>
      </c>
      <c r="BS163">
        <v>65900</v>
      </c>
      <c r="BU163">
        <v>88710</v>
      </c>
      <c r="BV163">
        <v>0</v>
      </c>
      <c r="BW163">
        <v>447478</v>
      </c>
      <c r="BX163">
        <v>8290</v>
      </c>
      <c r="BY163">
        <v>20347</v>
      </c>
      <c r="BZ163">
        <v>-474896</v>
      </c>
      <c r="CA163">
        <v>52687</v>
      </c>
      <c r="CB163">
        <v>375108</v>
      </c>
      <c r="CC163">
        <v>0</v>
      </c>
      <c r="CD163">
        <v>16673</v>
      </c>
      <c r="CE163">
        <v>-320083</v>
      </c>
      <c r="CF163">
        <v>408906</v>
      </c>
      <c r="CG163">
        <v>0</v>
      </c>
      <c r="CH163">
        <v>270920</v>
      </c>
      <c r="CI163">
        <v>0</v>
      </c>
      <c r="CK163">
        <v>-18155</v>
      </c>
    </row>
    <row r="164" spans="1:89" x14ac:dyDescent="0.3">
      <c r="A164" s="155">
        <v>542</v>
      </c>
      <c r="B164" t="s">
        <v>929</v>
      </c>
      <c r="D164">
        <v>0</v>
      </c>
      <c r="E164">
        <v>0</v>
      </c>
      <c r="F164">
        <v>0</v>
      </c>
      <c r="G164">
        <v>9379</v>
      </c>
      <c r="H164">
        <v>0</v>
      </c>
      <c r="I164">
        <v>108871</v>
      </c>
      <c r="J164">
        <v>0</v>
      </c>
      <c r="K164">
        <v>0</v>
      </c>
      <c r="L164">
        <v>0</v>
      </c>
      <c r="M164">
        <v>0</v>
      </c>
      <c r="N164">
        <v>0</v>
      </c>
      <c r="O164">
        <v>14045361</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275900</v>
      </c>
      <c r="AK164">
        <v>0</v>
      </c>
      <c r="AL164">
        <v>0</v>
      </c>
      <c r="AM164">
        <v>0</v>
      </c>
      <c r="AN164">
        <v>425671</v>
      </c>
      <c r="AO164">
        <v>115470</v>
      </c>
      <c r="AP164">
        <v>0</v>
      </c>
      <c r="AQ164">
        <v>1629233</v>
      </c>
      <c r="AR164">
        <v>0</v>
      </c>
      <c r="AS164">
        <v>0</v>
      </c>
      <c r="AT164">
        <v>432948</v>
      </c>
      <c r="AU164">
        <v>0</v>
      </c>
      <c r="AV164">
        <v>0</v>
      </c>
      <c r="AW164">
        <v>0</v>
      </c>
      <c r="AX164">
        <v>0</v>
      </c>
      <c r="AY164">
        <v>0</v>
      </c>
      <c r="AZ164">
        <v>0</v>
      </c>
      <c r="BA164">
        <v>0</v>
      </c>
      <c r="BB164">
        <v>0</v>
      </c>
      <c r="BC164">
        <v>148943</v>
      </c>
      <c r="BD164">
        <v>0</v>
      </c>
      <c r="BE164">
        <v>0</v>
      </c>
      <c r="BF164">
        <v>0</v>
      </c>
      <c r="BG164">
        <v>0</v>
      </c>
      <c r="BH164">
        <v>0</v>
      </c>
      <c r="BI164">
        <v>0</v>
      </c>
      <c r="BJ164">
        <v>0</v>
      </c>
      <c r="BK164">
        <v>0</v>
      </c>
      <c r="BL164">
        <v>0</v>
      </c>
      <c r="BM164">
        <v>0</v>
      </c>
      <c r="BN164">
        <v>0</v>
      </c>
      <c r="BO164">
        <v>0</v>
      </c>
      <c r="BP164">
        <v>0</v>
      </c>
      <c r="BQ164">
        <v>0</v>
      </c>
      <c r="BR164">
        <v>0</v>
      </c>
      <c r="BS164">
        <v>0</v>
      </c>
      <c r="BU164">
        <v>0</v>
      </c>
      <c r="BV164">
        <v>0</v>
      </c>
      <c r="BW164">
        <v>363100</v>
      </c>
      <c r="BX164">
        <v>0</v>
      </c>
      <c r="BY164">
        <v>0</v>
      </c>
      <c r="BZ164">
        <v>0</v>
      </c>
      <c r="CA164">
        <v>25500</v>
      </c>
      <c r="CB164">
        <v>0</v>
      </c>
      <c r="CC164">
        <v>240000</v>
      </c>
      <c r="CD164">
        <v>0</v>
      </c>
      <c r="CE164">
        <v>0</v>
      </c>
      <c r="CF164">
        <v>0</v>
      </c>
      <c r="CG164">
        <v>0</v>
      </c>
      <c r="CH164">
        <v>0</v>
      </c>
      <c r="CI164">
        <v>0</v>
      </c>
      <c r="CK164">
        <v>0</v>
      </c>
    </row>
    <row r="165" spans="1:89" x14ac:dyDescent="0.3">
      <c r="A165" s="155">
        <v>544</v>
      </c>
      <c r="B165" t="s">
        <v>52</v>
      </c>
      <c r="D165">
        <v>0</v>
      </c>
      <c r="E165">
        <v>0</v>
      </c>
      <c r="F165">
        <v>0</v>
      </c>
      <c r="G165">
        <v>0</v>
      </c>
      <c r="H165">
        <v>0</v>
      </c>
      <c r="I165">
        <v>0</v>
      </c>
      <c r="J165">
        <v>0</v>
      </c>
      <c r="K165">
        <v>0</v>
      </c>
      <c r="L165">
        <v>0</v>
      </c>
      <c r="M165">
        <v>0</v>
      </c>
      <c r="N165">
        <v>0.01</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0.05</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0.1</v>
      </c>
      <c r="BI165">
        <v>0</v>
      </c>
      <c r="BJ165">
        <v>0</v>
      </c>
      <c r="BK165">
        <v>0</v>
      </c>
      <c r="BL165">
        <v>0</v>
      </c>
      <c r="BM165">
        <v>0</v>
      </c>
      <c r="BN165">
        <v>0</v>
      </c>
      <c r="BO165">
        <v>0</v>
      </c>
      <c r="BP165">
        <v>0</v>
      </c>
      <c r="BQ165">
        <v>0</v>
      </c>
      <c r="BR165">
        <v>0</v>
      </c>
      <c r="BS165">
        <v>0</v>
      </c>
      <c r="BU165">
        <v>0</v>
      </c>
      <c r="BV165">
        <v>0</v>
      </c>
      <c r="BW165">
        <v>0</v>
      </c>
      <c r="BX165">
        <v>0</v>
      </c>
      <c r="BY165">
        <v>0</v>
      </c>
      <c r="BZ165">
        <v>0</v>
      </c>
      <c r="CA165">
        <v>0</v>
      </c>
      <c r="CB165">
        <v>0</v>
      </c>
      <c r="CC165">
        <v>0</v>
      </c>
      <c r="CD165">
        <v>0.1</v>
      </c>
      <c r="CE165">
        <v>0</v>
      </c>
      <c r="CF165">
        <v>0</v>
      </c>
      <c r="CG165">
        <v>0</v>
      </c>
      <c r="CH165">
        <v>0</v>
      </c>
      <c r="CI165">
        <v>0</v>
      </c>
      <c r="CK165">
        <v>0</v>
      </c>
    </row>
    <row r="166" spans="1:89" x14ac:dyDescent="0.3">
      <c r="A166" s="155">
        <v>545</v>
      </c>
      <c r="B166" t="s">
        <v>53</v>
      </c>
      <c r="D166">
        <v>0</v>
      </c>
      <c r="E166">
        <v>0</v>
      </c>
      <c r="F166">
        <v>0</v>
      </c>
      <c r="G166">
        <v>0</v>
      </c>
      <c r="H166">
        <v>0</v>
      </c>
      <c r="I166">
        <v>0</v>
      </c>
      <c r="J166">
        <v>0</v>
      </c>
      <c r="K166">
        <v>0</v>
      </c>
      <c r="L166">
        <v>0</v>
      </c>
      <c r="M166">
        <v>0</v>
      </c>
      <c r="N166">
        <v>0</v>
      </c>
      <c r="O166">
        <v>0.34499999999999997</v>
      </c>
      <c r="P166">
        <v>0</v>
      </c>
      <c r="Q166">
        <v>0</v>
      </c>
      <c r="R166">
        <v>0.03</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2.36</v>
      </c>
      <c r="BO166">
        <v>0</v>
      </c>
      <c r="BP166">
        <v>0</v>
      </c>
      <c r="BQ166">
        <v>0</v>
      </c>
      <c r="BR166">
        <v>0</v>
      </c>
      <c r="BS166">
        <v>0</v>
      </c>
      <c r="BU166">
        <v>0</v>
      </c>
      <c r="BV166">
        <v>0</v>
      </c>
      <c r="BW166">
        <v>0</v>
      </c>
      <c r="BX166">
        <v>0</v>
      </c>
      <c r="BY166">
        <v>0</v>
      </c>
      <c r="BZ166">
        <v>0</v>
      </c>
      <c r="CA166">
        <v>0</v>
      </c>
      <c r="CB166">
        <v>0</v>
      </c>
      <c r="CC166">
        <v>0</v>
      </c>
      <c r="CD166">
        <v>0</v>
      </c>
      <c r="CE166">
        <v>0</v>
      </c>
      <c r="CF166">
        <v>0</v>
      </c>
      <c r="CG166">
        <v>0</v>
      </c>
      <c r="CH166">
        <v>0</v>
      </c>
      <c r="CI166">
        <v>0</v>
      </c>
      <c r="CK166">
        <v>0</v>
      </c>
    </row>
    <row r="167" spans="1:89" x14ac:dyDescent="0.3">
      <c r="A167" s="155">
        <v>546</v>
      </c>
      <c r="B167" t="s">
        <v>930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U167">
        <v>0</v>
      </c>
      <c r="BV167">
        <v>0</v>
      </c>
      <c r="BW167">
        <v>0</v>
      </c>
      <c r="BX167">
        <v>0</v>
      </c>
      <c r="BY167">
        <v>0</v>
      </c>
      <c r="BZ167">
        <v>0</v>
      </c>
      <c r="CA167">
        <v>0</v>
      </c>
      <c r="CB167">
        <v>0</v>
      </c>
      <c r="CC167">
        <v>0</v>
      </c>
      <c r="CD167">
        <v>0</v>
      </c>
      <c r="CE167">
        <v>0</v>
      </c>
      <c r="CF167">
        <v>0</v>
      </c>
      <c r="CG167">
        <v>0</v>
      </c>
      <c r="CH167">
        <v>0</v>
      </c>
      <c r="CI167">
        <v>0</v>
      </c>
      <c r="CK167">
        <v>0</v>
      </c>
    </row>
    <row r="168" spans="1:89" x14ac:dyDescent="0.3">
      <c r="A168" s="155">
        <v>547</v>
      </c>
      <c r="B168" t="s">
        <v>931</v>
      </c>
      <c r="D168">
        <v>2</v>
      </c>
      <c r="E168">
        <v>2</v>
      </c>
      <c r="F168">
        <v>2</v>
      </c>
      <c r="G168">
        <v>2</v>
      </c>
      <c r="H168">
        <v>3</v>
      </c>
      <c r="I168">
        <v>3</v>
      </c>
      <c r="J168">
        <v>2</v>
      </c>
      <c r="K168">
        <v>3</v>
      </c>
      <c r="L168">
        <v>3</v>
      </c>
      <c r="M168">
        <v>3</v>
      </c>
      <c r="N168">
        <v>2</v>
      </c>
      <c r="O168">
        <v>3</v>
      </c>
      <c r="P168">
        <v>2</v>
      </c>
      <c r="Q168">
        <v>2</v>
      </c>
      <c r="R168">
        <v>2</v>
      </c>
      <c r="S168">
        <v>3</v>
      </c>
      <c r="T168">
        <v>2</v>
      </c>
      <c r="U168">
        <v>2</v>
      </c>
      <c r="V168">
        <v>2</v>
      </c>
      <c r="W168">
        <v>1</v>
      </c>
      <c r="X168">
        <v>3</v>
      </c>
      <c r="Y168">
        <v>3</v>
      </c>
      <c r="Z168">
        <v>3</v>
      </c>
      <c r="AA168">
        <v>0</v>
      </c>
      <c r="AB168">
        <v>2</v>
      </c>
      <c r="AC168">
        <v>2</v>
      </c>
      <c r="AD168">
        <v>3</v>
      </c>
      <c r="AE168">
        <v>2</v>
      </c>
      <c r="AF168">
        <v>3</v>
      </c>
      <c r="AG168">
        <v>2</v>
      </c>
      <c r="AH168">
        <v>3</v>
      </c>
      <c r="AI168">
        <v>3</v>
      </c>
      <c r="AJ168">
        <v>3</v>
      </c>
      <c r="AK168">
        <v>2</v>
      </c>
      <c r="AL168">
        <v>2</v>
      </c>
      <c r="AM168">
        <v>2</v>
      </c>
      <c r="AN168">
        <v>3</v>
      </c>
      <c r="AO168">
        <v>2</v>
      </c>
      <c r="AP168">
        <v>2</v>
      </c>
      <c r="AQ168">
        <v>3</v>
      </c>
      <c r="AR168">
        <v>2</v>
      </c>
      <c r="AS168">
        <v>2</v>
      </c>
      <c r="AT168">
        <v>2</v>
      </c>
      <c r="AU168">
        <v>0</v>
      </c>
      <c r="AV168">
        <v>2</v>
      </c>
      <c r="AW168">
        <v>3</v>
      </c>
      <c r="AX168">
        <v>2</v>
      </c>
      <c r="AY168">
        <v>3</v>
      </c>
      <c r="AZ168">
        <v>3</v>
      </c>
      <c r="BA168">
        <v>2</v>
      </c>
      <c r="BB168">
        <v>2</v>
      </c>
      <c r="BC168">
        <v>2</v>
      </c>
      <c r="BD168">
        <v>2</v>
      </c>
      <c r="BE168">
        <v>2</v>
      </c>
      <c r="BF168">
        <v>2</v>
      </c>
      <c r="BG168">
        <v>2</v>
      </c>
      <c r="BH168">
        <v>2</v>
      </c>
      <c r="BI168">
        <v>3</v>
      </c>
      <c r="BJ168">
        <v>2</v>
      </c>
      <c r="BK168">
        <v>2</v>
      </c>
      <c r="BL168">
        <v>2</v>
      </c>
      <c r="BM168">
        <v>2</v>
      </c>
      <c r="BN168">
        <v>2</v>
      </c>
      <c r="BO168">
        <v>3</v>
      </c>
      <c r="BP168">
        <v>3</v>
      </c>
      <c r="BQ168">
        <v>2</v>
      </c>
      <c r="BR168">
        <v>2</v>
      </c>
      <c r="BS168">
        <v>2</v>
      </c>
      <c r="BU168">
        <v>2</v>
      </c>
      <c r="BV168">
        <v>3</v>
      </c>
      <c r="BW168">
        <v>3</v>
      </c>
      <c r="BX168">
        <v>3</v>
      </c>
      <c r="BY168">
        <v>3</v>
      </c>
      <c r="BZ168">
        <v>2</v>
      </c>
      <c r="CA168">
        <v>3</v>
      </c>
      <c r="CB168">
        <v>3</v>
      </c>
      <c r="CC168">
        <v>2</v>
      </c>
      <c r="CD168">
        <v>1</v>
      </c>
      <c r="CE168">
        <v>2</v>
      </c>
      <c r="CF168">
        <v>2</v>
      </c>
      <c r="CG168">
        <v>2</v>
      </c>
      <c r="CH168">
        <v>2</v>
      </c>
      <c r="CI168">
        <v>3</v>
      </c>
      <c r="CK168">
        <v>0</v>
      </c>
    </row>
    <row r="169" spans="1:89" x14ac:dyDescent="0.3">
      <c r="A169" s="155">
        <v>554</v>
      </c>
      <c r="B169" t="s">
        <v>320</v>
      </c>
      <c r="M169">
        <v>1056963</v>
      </c>
      <c r="O169">
        <v>11362035</v>
      </c>
      <c r="T169">
        <v>45746</v>
      </c>
      <c r="X169">
        <v>13937423</v>
      </c>
      <c r="Y169">
        <v>398031103</v>
      </c>
      <c r="AD169">
        <v>646090</v>
      </c>
      <c r="AF169">
        <v>3792245</v>
      </c>
      <c r="AG169">
        <v>221664</v>
      </c>
      <c r="AN169">
        <v>1240969</v>
      </c>
      <c r="AO169">
        <v>2988669</v>
      </c>
      <c r="AQ169">
        <v>16514350</v>
      </c>
      <c r="AT169">
        <v>488147</v>
      </c>
      <c r="AW169">
        <v>1990880</v>
      </c>
      <c r="BA169">
        <v>23686</v>
      </c>
      <c r="BI169">
        <v>1593914</v>
      </c>
      <c r="BO169">
        <v>411322</v>
      </c>
      <c r="BP169">
        <v>37077194</v>
      </c>
      <c r="BW169">
        <v>611828</v>
      </c>
      <c r="BX169">
        <v>2228422</v>
      </c>
      <c r="BY169">
        <v>1260419</v>
      </c>
      <c r="BZ169">
        <v>1246494</v>
      </c>
      <c r="CB169">
        <v>360267</v>
      </c>
      <c r="CG169">
        <v>24576986</v>
      </c>
      <c r="CH169">
        <v>47022</v>
      </c>
    </row>
    <row r="170" spans="1:89" x14ac:dyDescent="0.3">
      <c r="A170" s="155">
        <v>555</v>
      </c>
      <c r="B170" t="s">
        <v>321</v>
      </c>
      <c r="M170">
        <v>423034</v>
      </c>
      <c r="O170">
        <v>10944411</v>
      </c>
      <c r="T170">
        <v>0</v>
      </c>
      <c r="X170">
        <v>11926565</v>
      </c>
      <c r="Y170">
        <v>278013446</v>
      </c>
      <c r="AD170">
        <v>0</v>
      </c>
      <c r="AF170">
        <v>3000089</v>
      </c>
      <c r="AG170">
        <v>0</v>
      </c>
      <c r="AN170">
        <v>1088871</v>
      </c>
      <c r="AO170">
        <v>2988669</v>
      </c>
      <c r="AQ170">
        <v>11464444</v>
      </c>
      <c r="AT170">
        <v>0</v>
      </c>
      <c r="AW170">
        <v>1718979</v>
      </c>
      <c r="BA170">
        <v>0</v>
      </c>
      <c r="BI170">
        <v>1354434</v>
      </c>
      <c r="BO170">
        <v>0</v>
      </c>
      <c r="BP170">
        <v>32113902</v>
      </c>
      <c r="BW170">
        <v>0</v>
      </c>
      <c r="BX170">
        <v>1553129</v>
      </c>
      <c r="BY170">
        <v>1090248</v>
      </c>
      <c r="BZ170">
        <v>1115413</v>
      </c>
      <c r="CB170">
        <v>0</v>
      </c>
      <c r="CG170">
        <v>24470016</v>
      </c>
      <c r="CH170">
        <v>0</v>
      </c>
    </row>
    <row r="171" spans="1:89" x14ac:dyDescent="0.3">
      <c r="A171" s="155">
        <v>556</v>
      </c>
      <c r="B171" t="s">
        <v>322</v>
      </c>
      <c r="M171">
        <v>589718</v>
      </c>
      <c r="O171">
        <v>4584634</v>
      </c>
      <c r="T171">
        <v>504186</v>
      </c>
      <c r="X171">
        <v>2053365</v>
      </c>
      <c r="Y171">
        <v>44170537</v>
      </c>
      <c r="AD171">
        <v>545441</v>
      </c>
      <c r="AF171">
        <v>587695</v>
      </c>
      <c r="AG171">
        <v>1555637</v>
      </c>
      <c r="AN171">
        <v>134130</v>
      </c>
      <c r="AO171">
        <v>13555</v>
      </c>
      <c r="AQ171">
        <v>8251708</v>
      </c>
      <c r="AT171">
        <v>1158304</v>
      </c>
      <c r="AW171">
        <v>207830</v>
      </c>
      <c r="BA171">
        <v>648736</v>
      </c>
      <c r="BI171">
        <v>11322</v>
      </c>
      <c r="BO171">
        <v>1953778</v>
      </c>
      <c r="BP171">
        <v>6650798</v>
      </c>
      <c r="BW171">
        <v>9583369</v>
      </c>
      <c r="BX171">
        <v>2044214</v>
      </c>
      <c r="BY171">
        <v>703488</v>
      </c>
      <c r="BZ171">
        <v>1577398</v>
      </c>
      <c r="CB171">
        <v>529113</v>
      </c>
      <c r="CG171">
        <v>8221901</v>
      </c>
      <c r="CH171">
        <v>1015427</v>
      </c>
    </row>
    <row r="172" spans="1:89" x14ac:dyDescent="0.3">
      <c r="A172" s="155">
        <v>557</v>
      </c>
      <c r="B172" t="s">
        <v>323</v>
      </c>
      <c r="M172">
        <v>573718</v>
      </c>
      <c r="O172">
        <v>4584634</v>
      </c>
      <c r="T172">
        <v>500000</v>
      </c>
      <c r="X172">
        <v>1430196</v>
      </c>
      <c r="Y172">
        <v>27842573</v>
      </c>
      <c r="AD172">
        <v>396826</v>
      </c>
      <c r="AF172">
        <v>571173</v>
      </c>
      <c r="AG172">
        <v>1555637</v>
      </c>
      <c r="AN172">
        <v>0</v>
      </c>
      <c r="AO172">
        <v>0</v>
      </c>
      <c r="AQ172">
        <v>5384856</v>
      </c>
      <c r="AT172">
        <v>1093217</v>
      </c>
      <c r="AW172">
        <v>0</v>
      </c>
      <c r="BA172">
        <v>628488</v>
      </c>
      <c r="BI172">
        <v>0</v>
      </c>
      <c r="BO172">
        <v>1653325</v>
      </c>
      <c r="BP172">
        <v>6157867</v>
      </c>
      <c r="BW172">
        <v>8181627</v>
      </c>
      <c r="BX172">
        <v>1043947</v>
      </c>
      <c r="BY172">
        <v>477964</v>
      </c>
      <c r="BZ172">
        <v>848957</v>
      </c>
      <c r="CB172">
        <v>417823</v>
      </c>
      <c r="CG172">
        <v>8150212</v>
      </c>
      <c r="CH172">
        <v>899148</v>
      </c>
    </row>
    <row r="173" spans="1:89" x14ac:dyDescent="0.3">
      <c r="A173" s="155">
        <v>558</v>
      </c>
      <c r="B173" t="s">
        <v>932</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U173">
        <v>0</v>
      </c>
      <c r="BV173">
        <v>0</v>
      </c>
      <c r="BW173">
        <v>0</v>
      </c>
      <c r="BX173">
        <v>0</v>
      </c>
      <c r="BY173">
        <v>0</v>
      </c>
      <c r="BZ173">
        <v>0</v>
      </c>
      <c r="CA173">
        <v>0</v>
      </c>
      <c r="CB173">
        <v>0</v>
      </c>
      <c r="CC173">
        <v>0</v>
      </c>
      <c r="CD173">
        <v>0</v>
      </c>
      <c r="CE173">
        <v>0</v>
      </c>
      <c r="CF173">
        <v>0</v>
      </c>
      <c r="CG173">
        <v>0</v>
      </c>
      <c r="CH173">
        <v>0</v>
      </c>
      <c r="CI173">
        <v>0</v>
      </c>
      <c r="CK173">
        <v>0</v>
      </c>
    </row>
    <row r="174" spans="1:89" x14ac:dyDescent="0.3">
      <c r="A174" s="155">
        <v>559</v>
      </c>
      <c r="B174" t="s">
        <v>933</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U174">
        <v>0</v>
      </c>
      <c r="BV174">
        <v>0</v>
      </c>
      <c r="BW174">
        <v>0</v>
      </c>
      <c r="BX174">
        <v>0</v>
      </c>
      <c r="BY174">
        <v>0</v>
      </c>
      <c r="BZ174">
        <v>0</v>
      </c>
      <c r="CA174">
        <v>0</v>
      </c>
      <c r="CB174">
        <v>0</v>
      </c>
      <c r="CC174">
        <v>0</v>
      </c>
      <c r="CD174">
        <v>0</v>
      </c>
      <c r="CE174">
        <v>0</v>
      </c>
      <c r="CF174">
        <v>0</v>
      </c>
      <c r="CG174">
        <v>0</v>
      </c>
      <c r="CH174">
        <v>0</v>
      </c>
      <c r="CI174">
        <v>0</v>
      </c>
      <c r="CK174">
        <v>0</v>
      </c>
    </row>
    <row r="175" spans="1:89" x14ac:dyDescent="0.3">
      <c r="A175" s="155">
        <v>560</v>
      </c>
      <c r="B175" t="s">
        <v>934</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U175">
        <v>0</v>
      </c>
      <c r="BV175">
        <v>0</v>
      </c>
      <c r="BW175">
        <v>0</v>
      </c>
      <c r="BX175">
        <v>0</v>
      </c>
      <c r="BY175">
        <v>0</v>
      </c>
      <c r="BZ175">
        <v>0</v>
      </c>
      <c r="CA175">
        <v>0</v>
      </c>
      <c r="CB175">
        <v>0</v>
      </c>
      <c r="CC175">
        <v>0</v>
      </c>
      <c r="CD175">
        <v>0</v>
      </c>
      <c r="CE175">
        <v>0</v>
      </c>
      <c r="CF175">
        <v>0</v>
      </c>
      <c r="CG175">
        <v>0</v>
      </c>
      <c r="CH175">
        <v>0</v>
      </c>
      <c r="CI175">
        <v>0</v>
      </c>
      <c r="CK175">
        <v>0</v>
      </c>
    </row>
    <row r="176" spans="1:89" x14ac:dyDescent="0.3">
      <c r="A176" s="155">
        <v>561</v>
      </c>
      <c r="B176" t="s">
        <v>935</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U176">
        <v>0</v>
      </c>
      <c r="BV176">
        <v>0</v>
      </c>
      <c r="BW176">
        <v>0</v>
      </c>
      <c r="BX176">
        <v>0</v>
      </c>
      <c r="BY176">
        <v>0</v>
      </c>
      <c r="BZ176">
        <v>0</v>
      </c>
      <c r="CA176">
        <v>0</v>
      </c>
      <c r="CB176">
        <v>0</v>
      </c>
      <c r="CC176">
        <v>0</v>
      </c>
      <c r="CD176">
        <v>0</v>
      </c>
      <c r="CE176">
        <v>0</v>
      </c>
      <c r="CF176">
        <v>0</v>
      </c>
      <c r="CG176">
        <v>0</v>
      </c>
      <c r="CH176">
        <v>0</v>
      </c>
      <c r="CI176">
        <v>0</v>
      </c>
      <c r="CK176">
        <v>0</v>
      </c>
    </row>
    <row r="177" spans="1:89" x14ac:dyDescent="0.3">
      <c r="A177" s="155">
        <v>562</v>
      </c>
      <c r="B177" t="s">
        <v>936</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U177">
        <v>0</v>
      </c>
      <c r="BV177">
        <v>0</v>
      </c>
      <c r="BW177">
        <v>0</v>
      </c>
      <c r="BX177">
        <v>0</v>
      </c>
      <c r="BY177">
        <v>0</v>
      </c>
      <c r="BZ177">
        <v>0</v>
      </c>
      <c r="CA177">
        <v>0</v>
      </c>
      <c r="CB177">
        <v>0</v>
      </c>
      <c r="CC177">
        <v>0</v>
      </c>
      <c r="CD177">
        <v>0</v>
      </c>
      <c r="CE177">
        <v>0</v>
      </c>
      <c r="CF177">
        <v>0</v>
      </c>
      <c r="CG177">
        <v>0</v>
      </c>
      <c r="CH177">
        <v>0</v>
      </c>
      <c r="CI177">
        <v>0</v>
      </c>
      <c r="CK177">
        <v>0</v>
      </c>
    </row>
    <row r="178" spans="1:89" x14ac:dyDescent="0.3">
      <c r="A178" s="155">
        <v>563</v>
      </c>
      <c r="B178" t="s">
        <v>937</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U178">
        <v>0</v>
      </c>
      <c r="BV178">
        <v>0</v>
      </c>
      <c r="BW178">
        <v>0</v>
      </c>
      <c r="BX178">
        <v>0</v>
      </c>
      <c r="BY178">
        <v>0</v>
      </c>
      <c r="BZ178">
        <v>0</v>
      </c>
      <c r="CA178">
        <v>0</v>
      </c>
      <c r="CB178">
        <v>0</v>
      </c>
      <c r="CC178">
        <v>0</v>
      </c>
      <c r="CD178">
        <v>0</v>
      </c>
      <c r="CE178">
        <v>0</v>
      </c>
      <c r="CF178">
        <v>0</v>
      </c>
      <c r="CG178">
        <v>0</v>
      </c>
      <c r="CH178">
        <v>0</v>
      </c>
      <c r="CI178">
        <v>0</v>
      </c>
      <c r="CK178">
        <v>0</v>
      </c>
    </row>
    <row r="179" spans="1:89" x14ac:dyDescent="0.3">
      <c r="A179" s="155">
        <v>564</v>
      </c>
      <c r="B179" t="s">
        <v>938</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U179">
        <v>0</v>
      </c>
      <c r="BV179">
        <v>0</v>
      </c>
      <c r="BW179">
        <v>0</v>
      </c>
      <c r="BX179">
        <v>0</v>
      </c>
      <c r="BY179">
        <v>0</v>
      </c>
      <c r="BZ179">
        <v>0</v>
      </c>
      <c r="CA179">
        <v>0</v>
      </c>
      <c r="CB179">
        <v>0</v>
      </c>
      <c r="CC179">
        <v>0</v>
      </c>
      <c r="CD179">
        <v>0</v>
      </c>
      <c r="CE179">
        <v>0</v>
      </c>
      <c r="CF179">
        <v>0</v>
      </c>
      <c r="CG179">
        <v>0</v>
      </c>
      <c r="CH179">
        <v>0</v>
      </c>
      <c r="CI179">
        <v>0</v>
      </c>
      <c r="CK179">
        <v>0</v>
      </c>
    </row>
    <row r="180" spans="1:89" x14ac:dyDescent="0.3">
      <c r="A180" s="155">
        <v>565</v>
      </c>
      <c r="B180" t="s">
        <v>939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U180">
        <v>0</v>
      </c>
      <c r="BV180">
        <v>0</v>
      </c>
      <c r="BW180">
        <v>0</v>
      </c>
      <c r="BX180">
        <v>0</v>
      </c>
      <c r="BY180">
        <v>0</v>
      </c>
      <c r="BZ180">
        <v>0</v>
      </c>
      <c r="CA180">
        <v>0</v>
      </c>
      <c r="CB180">
        <v>0</v>
      </c>
      <c r="CC180">
        <v>0</v>
      </c>
      <c r="CD180">
        <v>0</v>
      </c>
      <c r="CE180">
        <v>0</v>
      </c>
      <c r="CF180">
        <v>0</v>
      </c>
      <c r="CG180">
        <v>0</v>
      </c>
      <c r="CH180">
        <v>0</v>
      </c>
      <c r="CI180">
        <v>0</v>
      </c>
      <c r="CK180">
        <v>0</v>
      </c>
    </row>
    <row r="181" spans="1:89" x14ac:dyDescent="0.3">
      <c r="A181" s="155">
        <v>566</v>
      </c>
      <c r="B181" t="s">
        <v>940</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U181">
        <v>0</v>
      </c>
      <c r="BV181">
        <v>0</v>
      </c>
      <c r="BW181">
        <v>0</v>
      </c>
      <c r="BX181">
        <v>0</v>
      </c>
      <c r="BY181">
        <v>0</v>
      </c>
      <c r="BZ181">
        <v>0</v>
      </c>
      <c r="CA181">
        <v>0</v>
      </c>
      <c r="CB181">
        <v>0</v>
      </c>
      <c r="CC181">
        <v>0</v>
      </c>
      <c r="CD181">
        <v>0</v>
      </c>
      <c r="CE181">
        <v>0</v>
      </c>
      <c r="CF181">
        <v>0</v>
      </c>
      <c r="CG181">
        <v>0</v>
      </c>
      <c r="CH181">
        <v>0</v>
      </c>
      <c r="CI181">
        <v>0</v>
      </c>
      <c r="CK181">
        <v>0</v>
      </c>
    </row>
    <row r="182" spans="1:89" x14ac:dyDescent="0.3">
      <c r="A182" s="155">
        <v>567</v>
      </c>
      <c r="B182" t="s">
        <v>941</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U182">
        <v>0</v>
      </c>
      <c r="BV182">
        <v>0</v>
      </c>
      <c r="BW182">
        <v>0</v>
      </c>
      <c r="BX182">
        <v>0</v>
      </c>
      <c r="BY182">
        <v>0</v>
      </c>
      <c r="BZ182">
        <v>0</v>
      </c>
      <c r="CA182">
        <v>0</v>
      </c>
      <c r="CB182">
        <v>0</v>
      </c>
      <c r="CC182">
        <v>0</v>
      </c>
      <c r="CD182">
        <v>0</v>
      </c>
      <c r="CE182">
        <v>0</v>
      </c>
      <c r="CF182">
        <v>0</v>
      </c>
      <c r="CG182">
        <v>0</v>
      </c>
      <c r="CH182">
        <v>0</v>
      </c>
      <c r="CI182">
        <v>0</v>
      </c>
      <c r="CK182">
        <v>0</v>
      </c>
    </row>
    <row r="183" spans="1:89" x14ac:dyDescent="0.3">
      <c r="A183" s="155">
        <v>568</v>
      </c>
      <c r="B183" t="s">
        <v>942</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U183">
        <v>0</v>
      </c>
      <c r="BV183">
        <v>0</v>
      </c>
      <c r="BW183">
        <v>0</v>
      </c>
      <c r="BX183">
        <v>0</v>
      </c>
      <c r="BY183">
        <v>0</v>
      </c>
      <c r="BZ183">
        <v>0</v>
      </c>
      <c r="CA183">
        <v>0</v>
      </c>
      <c r="CB183">
        <v>0</v>
      </c>
      <c r="CC183">
        <v>0</v>
      </c>
      <c r="CD183">
        <v>0</v>
      </c>
      <c r="CE183">
        <v>0</v>
      </c>
      <c r="CF183">
        <v>0</v>
      </c>
      <c r="CG183">
        <v>0</v>
      </c>
      <c r="CH183">
        <v>0</v>
      </c>
      <c r="CI183">
        <v>0</v>
      </c>
      <c r="CK183">
        <v>0</v>
      </c>
    </row>
    <row r="184" spans="1:89" x14ac:dyDescent="0.3">
      <c r="A184" s="155">
        <v>569</v>
      </c>
      <c r="B184" t="s">
        <v>943</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U184">
        <v>0</v>
      </c>
      <c r="BV184">
        <v>0</v>
      </c>
      <c r="BW184">
        <v>0</v>
      </c>
      <c r="BX184">
        <v>0</v>
      </c>
      <c r="BY184">
        <v>0</v>
      </c>
      <c r="BZ184">
        <v>0</v>
      </c>
      <c r="CA184">
        <v>0</v>
      </c>
      <c r="CB184">
        <v>0</v>
      </c>
      <c r="CC184">
        <v>0</v>
      </c>
      <c r="CD184">
        <v>0</v>
      </c>
      <c r="CE184">
        <v>0</v>
      </c>
      <c r="CF184">
        <v>0</v>
      </c>
      <c r="CG184">
        <v>0</v>
      </c>
      <c r="CH184">
        <v>0</v>
      </c>
      <c r="CI184">
        <v>0</v>
      </c>
      <c r="CK184">
        <v>0</v>
      </c>
    </row>
    <row r="185" spans="1:89" x14ac:dyDescent="0.3">
      <c r="A185" s="155">
        <v>571</v>
      </c>
      <c r="B185" t="s">
        <v>670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U185">
        <v>0</v>
      </c>
      <c r="BV185">
        <v>0</v>
      </c>
      <c r="BW185">
        <v>0</v>
      </c>
      <c r="BX185">
        <v>0</v>
      </c>
      <c r="BY185">
        <v>0</v>
      </c>
      <c r="BZ185">
        <v>0</v>
      </c>
      <c r="CA185">
        <v>0</v>
      </c>
      <c r="CB185">
        <v>0</v>
      </c>
      <c r="CC185">
        <v>0</v>
      </c>
      <c r="CD185">
        <v>0</v>
      </c>
      <c r="CE185">
        <v>0</v>
      </c>
      <c r="CF185">
        <v>0</v>
      </c>
      <c r="CG185">
        <v>0</v>
      </c>
      <c r="CH185">
        <v>0</v>
      </c>
      <c r="CI185">
        <v>0</v>
      </c>
      <c r="CK185">
        <v>0</v>
      </c>
    </row>
    <row r="186" spans="1:89" x14ac:dyDescent="0.3">
      <c r="A186" s="155">
        <v>572</v>
      </c>
      <c r="B186" t="s">
        <v>671</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U186">
        <v>0</v>
      </c>
      <c r="BV186">
        <v>0</v>
      </c>
      <c r="BW186">
        <v>0</v>
      </c>
      <c r="BX186">
        <v>0</v>
      </c>
      <c r="BY186">
        <v>0</v>
      </c>
      <c r="BZ186">
        <v>0</v>
      </c>
      <c r="CA186">
        <v>0</v>
      </c>
      <c r="CB186">
        <v>0</v>
      </c>
      <c r="CC186">
        <v>0</v>
      </c>
      <c r="CD186">
        <v>0</v>
      </c>
      <c r="CE186">
        <v>0</v>
      </c>
      <c r="CF186">
        <v>0</v>
      </c>
      <c r="CG186">
        <v>0</v>
      </c>
      <c r="CH186">
        <v>0</v>
      </c>
      <c r="CI186">
        <v>0</v>
      </c>
      <c r="CK186">
        <v>0</v>
      </c>
    </row>
    <row r="187" spans="1:89" x14ac:dyDescent="0.3">
      <c r="A187" s="155">
        <v>573</v>
      </c>
      <c r="B187" t="s">
        <v>788</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U187">
        <v>0</v>
      </c>
      <c r="BV187">
        <v>0</v>
      </c>
      <c r="BW187">
        <v>0</v>
      </c>
      <c r="BX187">
        <v>0</v>
      </c>
      <c r="BY187">
        <v>0</v>
      </c>
      <c r="BZ187">
        <v>0</v>
      </c>
      <c r="CA187">
        <v>0</v>
      </c>
      <c r="CB187">
        <v>0</v>
      </c>
      <c r="CC187">
        <v>0</v>
      </c>
      <c r="CD187">
        <v>0</v>
      </c>
      <c r="CE187">
        <v>0</v>
      </c>
      <c r="CF187">
        <v>0</v>
      </c>
      <c r="CG187">
        <v>0</v>
      </c>
      <c r="CH187">
        <v>0</v>
      </c>
      <c r="CI187">
        <v>0</v>
      </c>
      <c r="CK187">
        <v>0</v>
      </c>
    </row>
    <row r="188" spans="1:89" x14ac:dyDescent="0.3">
      <c r="A188" s="155">
        <v>575</v>
      </c>
      <c r="B188" t="s">
        <v>302</v>
      </c>
      <c r="D188">
        <v>2028</v>
      </c>
      <c r="E188">
        <v>0</v>
      </c>
      <c r="F188">
        <v>0</v>
      </c>
      <c r="G188">
        <v>0</v>
      </c>
      <c r="H188">
        <v>0</v>
      </c>
      <c r="I188">
        <v>0</v>
      </c>
      <c r="J188">
        <v>0</v>
      </c>
      <c r="K188">
        <v>0</v>
      </c>
      <c r="L188">
        <v>0</v>
      </c>
      <c r="M188">
        <v>0</v>
      </c>
      <c r="N188">
        <v>0</v>
      </c>
      <c r="O188">
        <v>0</v>
      </c>
      <c r="P188">
        <v>0</v>
      </c>
      <c r="Q188">
        <v>0</v>
      </c>
      <c r="R188">
        <v>0</v>
      </c>
      <c r="S188">
        <v>0</v>
      </c>
      <c r="T188">
        <v>0</v>
      </c>
      <c r="U188">
        <v>0</v>
      </c>
      <c r="V188">
        <v>2957</v>
      </c>
      <c r="W188">
        <v>0</v>
      </c>
      <c r="X188">
        <v>2711824</v>
      </c>
      <c r="Y188">
        <v>0</v>
      </c>
      <c r="Z188">
        <v>179499</v>
      </c>
      <c r="AA188">
        <v>0</v>
      </c>
      <c r="AB188">
        <v>0</v>
      </c>
      <c r="AC188">
        <v>0</v>
      </c>
      <c r="AD188">
        <v>0</v>
      </c>
      <c r="AE188">
        <v>0</v>
      </c>
      <c r="AF188">
        <v>0</v>
      </c>
      <c r="AG188">
        <v>0</v>
      </c>
      <c r="AH188">
        <v>0</v>
      </c>
      <c r="AI188">
        <v>0</v>
      </c>
      <c r="AJ188">
        <v>443</v>
      </c>
      <c r="AK188">
        <v>0</v>
      </c>
      <c r="AL188">
        <v>0</v>
      </c>
      <c r="AM188">
        <v>0</v>
      </c>
      <c r="AN188">
        <v>0</v>
      </c>
      <c r="AO188">
        <v>0</v>
      </c>
      <c r="AP188">
        <v>0</v>
      </c>
      <c r="AQ188">
        <v>5332807</v>
      </c>
      <c r="AR188">
        <v>0</v>
      </c>
      <c r="AS188">
        <v>0</v>
      </c>
      <c r="AT188">
        <v>0</v>
      </c>
      <c r="AU188">
        <v>0</v>
      </c>
      <c r="AV188">
        <v>0</v>
      </c>
      <c r="AW188">
        <v>199007</v>
      </c>
      <c r="AX188">
        <v>57986</v>
      </c>
      <c r="AY188">
        <v>0</v>
      </c>
      <c r="AZ188">
        <v>0</v>
      </c>
      <c r="BA188">
        <v>0</v>
      </c>
      <c r="BB188">
        <v>0</v>
      </c>
      <c r="BC188">
        <v>0</v>
      </c>
      <c r="BD188">
        <v>0</v>
      </c>
      <c r="BE188">
        <v>0</v>
      </c>
      <c r="BF188">
        <v>80637</v>
      </c>
      <c r="BG188">
        <v>0</v>
      </c>
      <c r="BH188">
        <v>0</v>
      </c>
      <c r="BI188">
        <v>0</v>
      </c>
      <c r="BJ188">
        <v>0</v>
      </c>
      <c r="BK188">
        <v>111246</v>
      </c>
      <c r="BL188">
        <v>0</v>
      </c>
      <c r="BM188">
        <v>51924</v>
      </c>
      <c r="BN188">
        <v>0</v>
      </c>
      <c r="BO188">
        <v>0</v>
      </c>
      <c r="BP188">
        <v>0</v>
      </c>
      <c r="BQ188">
        <v>0</v>
      </c>
      <c r="BR188">
        <v>64705</v>
      </c>
      <c r="BS188">
        <v>0</v>
      </c>
      <c r="BU188">
        <v>913400</v>
      </c>
      <c r="BV188">
        <v>0</v>
      </c>
      <c r="BW188">
        <v>11407</v>
      </c>
      <c r="BX188">
        <v>416965</v>
      </c>
      <c r="BY188">
        <v>15189</v>
      </c>
      <c r="BZ188">
        <v>0</v>
      </c>
      <c r="CA188">
        <v>0</v>
      </c>
      <c r="CB188">
        <v>0</v>
      </c>
      <c r="CC188">
        <v>0</v>
      </c>
      <c r="CD188">
        <v>0</v>
      </c>
      <c r="CE188">
        <v>422817</v>
      </c>
      <c r="CF188">
        <v>0</v>
      </c>
      <c r="CG188">
        <v>0</v>
      </c>
      <c r="CH188">
        <v>53185</v>
      </c>
      <c r="CI188">
        <v>0</v>
      </c>
      <c r="CK188">
        <v>0</v>
      </c>
    </row>
    <row r="189" spans="1:89" x14ac:dyDescent="0.3">
      <c r="A189" s="155">
        <v>576</v>
      </c>
      <c r="B189" t="s">
        <v>303</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331000</v>
      </c>
      <c r="Z189">
        <v>179499</v>
      </c>
      <c r="AA189">
        <v>0</v>
      </c>
      <c r="AB189">
        <v>0</v>
      </c>
      <c r="AC189">
        <v>448095</v>
      </c>
      <c r="AD189">
        <v>0</v>
      </c>
      <c r="AE189">
        <v>72885</v>
      </c>
      <c r="AF189">
        <v>0</v>
      </c>
      <c r="AG189">
        <v>0</v>
      </c>
      <c r="AH189">
        <v>0</v>
      </c>
      <c r="AI189">
        <v>0</v>
      </c>
      <c r="AJ189">
        <v>0</v>
      </c>
      <c r="AK189">
        <v>0</v>
      </c>
      <c r="AL189">
        <v>0</v>
      </c>
      <c r="AM189">
        <v>0</v>
      </c>
      <c r="AN189">
        <v>0</v>
      </c>
      <c r="AO189">
        <v>0</v>
      </c>
      <c r="AP189">
        <v>0</v>
      </c>
      <c r="AQ189">
        <v>0</v>
      </c>
      <c r="AR189">
        <v>0</v>
      </c>
      <c r="AS189">
        <v>0</v>
      </c>
      <c r="AT189">
        <v>0</v>
      </c>
      <c r="AU189">
        <v>12837</v>
      </c>
      <c r="AV189">
        <v>0</v>
      </c>
      <c r="AW189">
        <v>0</v>
      </c>
      <c r="AX189">
        <v>0</v>
      </c>
      <c r="AY189">
        <v>0</v>
      </c>
      <c r="AZ189">
        <v>0</v>
      </c>
      <c r="BA189">
        <v>0</v>
      </c>
      <c r="BB189">
        <v>0</v>
      </c>
      <c r="BC189">
        <v>0</v>
      </c>
      <c r="BD189">
        <v>0</v>
      </c>
      <c r="BE189">
        <v>299721</v>
      </c>
      <c r="BF189">
        <v>0</v>
      </c>
      <c r="BG189">
        <v>0</v>
      </c>
      <c r="BH189">
        <v>0</v>
      </c>
      <c r="BI189">
        <v>0</v>
      </c>
      <c r="BJ189">
        <v>0</v>
      </c>
      <c r="BK189">
        <v>0</v>
      </c>
      <c r="BL189">
        <v>0</v>
      </c>
      <c r="BM189">
        <v>0</v>
      </c>
      <c r="BN189">
        <v>0</v>
      </c>
      <c r="BO189">
        <v>89310</v>
      </c>
      <c r="BP189">
        <v>450258</v>
      </c>
      <c r="BQ189">
        <v>0</v>
      </c>
      <c r="BR189">
        <v>0</v>
      </c>
      <c r="BS189">
        <v>0</v>
      </c>
      <c r="BU189">
        <v>0</v>
      </c>
      <c r="BV189">
        <v>0</v>
      </c>
      <c r="BW189">
        <v>0</v>
      </c>
      <c r="BX189">
        <v>0</v>
      </c>
      <c r="BY189">
        <v>0</v>
      </c>
      <c r="BZ189">
        <v>743409</v>
      </c>
      <c r="CA189">
        <v>0</v>
      </c>
      <c r="CB189">
        <v>0</v>
      </c>
      <c r="CC189">
        <v>0</v>
      </c>
      <c r="CD189">
        <v>0</v>
      </c>
      <c r="CE189">
        <v>0</v>
      </c>
      <c r="CF189">
        <v>0</v>
      </c>
      <c r="CG189">
        <v>0</v>
      </c>
      <c r="CH189">
        <v>0</v>
      </c>
      <c r="CI189">
        <v>0</v>
      </c>
      <c r="CK189">
        <v>0</v>
      </c>
    </row>
    <row r="190" spans="1:89" x14ac:dyDescent="0.3">
      <c r="A190" s="155">
        <v>577</v>
      </c>
      <c r="B190" t="s">
        <v>944</v>
      </c>
      <c r="D190">
        <v>2</v>
      </c>
      <c r="F190">
        <v>2</v>
      </c>
      <c r="G190">
        <v>2</v>
      </c>
      <c r="I190">
        <v>2</v>
      </c>
      <c r="J190">
        <v>2</v>
      </c>
      <c r="L190">
        <v>2</v>
      </c>
      <c r="M190">
        <v>1</v>
      </c>
      <c r="N190">
        <v>2</v>
      </c>
      <c r="O190">
        <v>2</v>
      </c>
      <c r="Q190">
        <v>1</v>
      </c>
      <c r="R190">
        <v>2</v>
      </c>
      <c r="W190">
        <v>2</v>
      </c>
      <c r="X190">
        <v>2</v>
      </c>
      <c r="Y190">
        <v>1</v>
      </c>
      <c r="Z190">
        <v>2</v>
      </c>
      <c r="AB190">
        <v>2</v>
      </c>
      <c r="AC190">
        <v>2</v>
      </c>
      <c r="AD190">
        <v>2</v>
      </c>
      <c r="AE190">
        <v>2</v>
      </c>
      <c r="AF190">
        <v>2</v>
      </c>
      <c r="AG190">
        <v>2</v>
      </c>
      <c r="AH190">
        <v>2</v>
      </c>
      <c r="AI190">
        <v>2</v>
      </c>
      <c r="AK190">
        <v>2</v>
      </c>
      <c r="AL190">
        <v>2</v>
      </c>
      <c r="AM190">
        <v>2</v>
      </c>
      <c r="AN190">
        <v>2</v>
      </c>
      <c r="AO190">
        <v>2</v>
      </c>
      <c r="AQ190">
        <v>2</v>
      </c>
      <c r="AR190">
        <v>2</v>
      </c>
      <c r="AS190">
        <v>2</v>
      </c>
      <c r="AT190">
        <v>2</v>
      </c>
      <c r="AU190">
        <v>2</v>
      </c>
      <c r="AV190">
        <v>2</v>
      </c>
      <c r="AW190">
        <v>2</v>
      </c>
      <c r="AX190">
        <v>2</v>
      </c>
      <c r="AY190">
        <v>2</v>
      </c>
      <c r="AZ190">
        <v>2</v>
      </c>
      <c r="BA190">
        <v>2</v>
      </c>
      <c r="BC190">
        <v>2</v>
      </c>
      <c r="BD190">
        <v>2</v>
      </c>
      <c r="BE190">
        <v>2</v>
      </c>
      <c r="BF190">
        <v>2</v>
      </c>
      <c r="BG190">
        <v>2</v>
      </c>
      <c r="BH190">
        <v>2</v>
      </c>
      <c r="BI190">
        <v>2</v>
      </c>
      <c r="BJ190">
        <v>2</v>
      </c>
      <c r="BK190">
        <v>2</v>
      </c>
      <c r="BL190">
        <v>2</v>
      </c>
      <c r="BM190">
        <v>2</v>
      </c>
      <c r="BP190">
        <v>2</v>
      </c>
      <c r="BR190">
        <v>2</v>
      </c>
      <c r="BS190">
        <v>2</v>
      </c>
      <c r="BU190">
        <v>2</v>
      </c>
      <c r="BW190">
        <v>2</v>
      </c>
      <c r="BX190">
        <v>2</v>
      </c>
      <c r="BY190">
        <v>2</v>
      </c>
      <c r="BZ190">
        <v>2</v>
      </c>
      <c r="CA190">
        <v>2</v>
      </c>
      <c r="CB190">
        <v>2</v>
      </c>
      <c r="CC190">
        <v>2</v>
      </c>
      <c r="CD190">
        <v>2</v>
      </c>
      <c r="CE190">
        <v>2</v>
      </c>
      <c r="CF190">
        <v>2</v>
      </c>
      <c r="CG190">
        <v>2</v>
      </c>
      <c r="CH190">
        <v>2</v>
      </c>
      <c r="CI190">
        <v>1</v>
      </c>
      <c r="CK190">
        <v>2</v>
      </c>
    </row>
    <row r="191" spans="1:89" x14ac:dyDescent="0.3">
      <c r="A191" s="155">
        <v>578</v>
      </c>
      <c r="B191" t="s">
        <v>945</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57986</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U191">
        <v>0</v>
      </c>
      <c r="BV191">
        <v>0</v>
      </c>
      <c r="BW191">
        <v>0</v>
      </c>
      <c r="BX191">
        <v>0</v>
      </c>
      <c r="BY191">
        <v>1204482</v>
      </c>
      <c r="BZ191">
        <v>0</v>
      </c>
      <c r="CA191">
        <v>0</v>
      </c>
      <c r="CB191">
        <v>0</v>
      </c>
      <c r="CC191">
        <v>0</v>
      </c>
      <c r="CD191">
        <v>0</v>
      </c>
      <c r="CE191">
        <v>422817</v>
      </c>
      <c r="CF191">
        <v>0</v>
      </c>
      <c r="CG191">
        <v>0</v>
      </c>
      <c r="CH191">
        <v>0</v>
      </c>
      <c r="CI191">
        <v>0</v>
      </c>
      <c r="CK191">
        <v>0</v>
      </c>
    </row>
    <row r="192" spans="1:89" x14ac:dyDescent="0.3">
      <c r="A192" s="155">
        <v>579</v>
      </c>
      <c r="B192" t="s">
        <v>946</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448095</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U192">
        <v>0</v>
      </c>
      <c r="BV192">
        <v>0</v>
      </c>
      <c r="BW192">
        <v>0</v>
      </c>
      <c r="BX192">
        <v>0</v>
      </c>
      <c r="BY192">
        <v>0</v>
      </c>
      <c r="BZ192">
        <v>0</v>
      </c>
      <c r="CA192">
        <v>0</v>
      </c>
      <c r="CB192">
        <v>0</v>
      </c>
      <c r="CC192">
        <v>0</v>
      </c>
      <c r="CD192">
        <v>0</v>
      </c>
      <c r="CE192">
        <v>0</v>
      </c>
      <c r="CF192">
        <v>0</v>
      </c>
      <c r="CG192">
        <v>0</v>
      </c>
      <c r="CH192">
        <v>0</v>
      </c>
      <c r="CI192">
        <v>0</v>
      </c>
      <c r="CK192">
        <v>0</v>
      </c>
    </row>
    <row r="193" spans="1:89" x14ac:dyDescent="0.3">
      <c r="A193" s="155">
        <v>580</v>
      </c>
      <c r="B193" t="s">
        <v>947</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U193">
        <v>0</v>
      </c>
      <c r="BV193">
        <v>0</v>
      </c>
      <c r="BW193">
        <v>0</v>
      </c>
      <c r="BX193">
        <v>0</v>
      </c>
      <c r="BY193">
        <v>0</v>
      </c>
      <c r="BZ193">
        <v>0</v>
      </c>
      <c r="CA193">
        <v>0</v>
      </c>
      <c r="CB193">
        <v>0</v>
      </c>
      <c r="CC193">
        <v>0</v>
      </c>
      <c r="CD193">
        <v>0</v>
      </c>
      <c r="CE193">
        <v>0</v>
      </c>
      <c r="CF193">
        <v>0</v>
      </c>
      <c r="CG193">
        <v>0</v>
      </c>
      <c r="CH193">
        <v>0</v>
      </c>
      <c r="CI193">
        <v>0</v>
      </c>
      <c r="CK193">
        <v>0</v>
      </c>
    </row>
    <row r="194" spans="1:89" x14ac:dyDescent="0.3">
      <c r="A194" s="155">
        <v>581</v>
      </c>
      <c r="B194" t="s">
        <v>948</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U194">
        <v>0</v>
      </c>
      <c r="BV194">
        <v>0</v>
      </c>
      <c r="BW194">
        <v>0</v>
      </c>
      <c r="BX194">
        <v>0</v>
      </c>
      <c r="BY194">
        <v>1204482</v>
      </c>
      <c r="BZ194">
        <v>0</v>
      </c>
      <c r="CA194">
        <v>0</v>
      </c>
      <c r="CB194">
        <v>0</v>
      </c>
      <c r="CC194">
        <v>0</v>
      </c>
      <c r="CD194">
        <v>0</v>
      </c>
      <c r="CE194">
        <v>0</v>
      </c>
      <c r="CF194">
        <v>0</v>
      </c>
      <c r="CG194">
        <v>0</v>
      </c>
      <c r="CH194">
        <v>0</v>
      </c>
      <c r="CI194">
        <v>0</v>
      </c>
      <c r="CK194">
        <v>0</v>
      </c>
    </row>
    <row r="195" spans="1:89" x14ac:dyDescent="0.3">
      <c r="A195" s="155">
        <v>585</v>
      </c>
      <c r="B195" t="s">
        <v>949</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U195">
        <v>0</v>
      </c>
      <c r="BV195">
        <v>0</v>
      </c>
      <c r="BW195">
        <v>0</v>
      </c>
      <c r="BX195">
        <v>0</v>
      </c>
      <c r="BY195">
        <v>0</v>
      </c>
      <c r="BZ195">
        <v>0</v>
      </c>
      <c r="CA195">
        <v>0</v>
      </c>
      <c r="CB195">
        <v>0</v>
      </c>
      <c r="CC195">
        <v>0</v>
      </c>
      <c r="CD195">
        <v>0</v>
      </c>
      <c r="CE195">
        <v>0</v>
      </c>
      <c r="CF195">
        <v>0</v>
      </c>
      <c r="CG195">
        <v>0</v>
      </c>
      <c r="CH195">
        <v>0</v>
      </c>
      <c r="CI195">
        <v>0</v>
      </c>
      <c r="CK195">
        <v>0</v>
      </c>
    </row>
    <row r="196" spans="1:89" x14ac:dyDescent="0.3">
      <c r="A196" s="155">
        <v>586</v>
      </c>
      <c r="B196" t="s">
        <v>950</v>
      </c>
      <c r="D196">
        <v>0</v>
      </c>
      <c r="E196">
        <v>0</v>
      </c>
      <c r="F196">
        <v>0</v>
      </c>
      <c r="G196">
        <v>0</v>
      </c>
      <c r="H196">
        <v>0</v>
      </c>
      <c r="I196">
        <v>0</v>
      </c>
      <c r="J196">
        <v>0</v>
      </c>
      <c r="K196">
        <v>138534</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63174</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64705</v>
      </c>
      <c r="BS196">
        <v>0</v>
      </c>
      <c r="BU196">
        <v>0</v>
      </c>
      <c r="BV196">
        <v>0</v>
      </c>
      <c r="BW196">
        <v>0</v>
      </c>
      <c r="BX196">
        <v>0</v>
      </c>
      <c r="BY196">
        <v>0</v>
      </c>
      <c r="BZ196">
        <v>0</v>
      </c>
      <c r="CA196">
        <v>0</v>
      </c>
      <c r="CB196">
        <v>0</v>
      </c>
      <c r="CC196">
        <v>0</v>
      </c>
      <c r="CD196">
        <v>0</v>
      </c>
      <c r="CE196">
        <v>0</v>
      </c>
      <c r="CF196">
        <v>0</v>
      </c>
      <c r="CG196">
        <v>0</v>
      </c>
      <c r="CH196">
        <v>0</v>
      </c>
      <c r="CI196">
        <v>0</v>
      </c>
      <c r="CK196">
        <v>0</v>
      </c>
    </row>
    <row r="197" spans="1:89" x14ac:dyDescent="0.3">
      <c r="A197" s="155">
        <v>587</v>
      </c>
      <c r="B197" t="s">
        <v>951</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U197">
        <v>0</v>
      </c>
      <c r="BV197">
        <v>0</v>
      </c>
      <c r="BW197">
        <v>0</v>
      </c>
      <c r="BX197">
        <v>0</v>
      </c>
      <c r="BY197">
        <v>0</v>
      </c>
      <c r="BZ197">
        <v>0</v>
      </c>
      <c r="CA197">
        <v>0</v>
      </c>
      <c r="CB197">
        <v>0</v>
      </c>
      <c r="CC197">
        <v>0</v>
      </c>
      <c r="CD197">
        <v>0</v>
      </c>
      <c r="CE197">
        <v>0</v>
      </c>
      <c r="CF197">
        <v>0</v>
      </c>
      <c r="CG197">
        <v>0</v>
      </c>
      <c r="CH197">
        <v>0</v>
      </c>
      <c r="CI197">
        <v>0</v>
      </c>
      <c r="CK197">
        <v>0</v>
      </c>
    </row>
    <row r="198" spans="1:89" x14ac:dyDescent="0.3">
      <c r="A198" s="155">
        <v>588</v>
      </c>
      <c r="B198" t="s">
        <v>952</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U198">
        <v>0</v>
      </c>
      <c r="BV198">
        <v>0</v>
      </c>
      <c r="BW198">
        <v>0</v>
      </c>
      <c r="BX198">
        <v>0</v>
      </c>
      <c r="BY198">
        <v>0</v>
      </c>
      <c r="BZ198">
        <v>0</v>
      </c>
      <c r="CA198">
        <v>0</v>
      </c>
      <c r="CB198">
        <v>0</v>
      </c>
      <c r="CC198">
        <v>0</v>
      </c>
      <c r="CD198">
        <v>0</v>
      </c>
      <c r="CE198">
        <v>0</v>
      </c>
      <c r="CF198">
        <v>0</v>
      </c>
      <c r="CG198">
        <v>0</v>
      </c>
      <c r="CH198">
        <v>0</v>
      </c>
      <c r="CI198">
        <v>0</v>
      </c>
      <c r="CK198">
        <v>0</v>
      </c>
    </row>
    <row r="199" spans="1:89" x14ac:dyDescent="0.3">
      <c r="A199" s="155">
        <v>589</v>
      </c>
      <c r="B199" t="s">
        <v>953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U199">
        <v>0</v>
      </c>
      <c r="BV199">
        <v>0</v>
      </c>
      <c r="BW199">
        <v>0</v>
      </c>
      <c r="BX199">
        <v>0</v>
      </c>
      <c r="BY199">
        <v>0</v>
      </c>
      <c r="BZ199">
        <v>0</v>
      </c>
      <c r="CA199">
        <v>0</v>
      </c>
      <c r="CB199">
        <v>0</v>
      </c>
      <c r="CC199">
        <v>0</v>
      </c>
      <c r="CD199">
        <v>0</v>
      </c>
      <c r="CE199">
        <v>0</v>
      </c>
      <c r="CF199">
        <v>0</v>
      </c>
      <c r="CG199">
        <v>0</v>
      </c>
      <c r="CH199">
        <v>0</v>
      </c>
      <c r="CI199">
        <v>0</v>
      </c>
      <c r="CK199">
        <v>0</v>
      </c>
    </row>
    <row r="200" spans="1:89" x14ac:dyDescent="0.3">
      <c r="A200" s="155">
        <v>590</v>
      </c>
      <c r="B200" t="s">
        <v>1706</v>
      </c>
      <c r="F200" t="s">
        <v>324</v>
      </c>
      <c r="Q200" t="s">
        <v>324</v>
      </c>
      <c r="AC200" t="s">
        <v>1800</v>
      </c>
      <c r="AG200" t="s">
        <v>430</v>
      </c>
      <c r="AL200" t="s">
        <v>324</v>
      </c>
      <c r="AU200" t="s">
        <v>1800</v>
      </c>
      <c r="BM200" t="s">
        <v>324</v>
      </c>
      <c r="BQ200" t="s">
        <v>1800</v>
      </c>
      <c r="BZ200" t="s">
        <v>324</v>
      </c>
      <c r="CD200" t="s">
        <v>1800</v>
      </c>
      <c r="CK200" t="s">
        <v>324</v>
      </c>
    </row>
    <row r="201" spans="1:89" x14ac:dyDescent="0.3">
      <c r="A201" s="155">
        <v>591</v>
      </c>
      <c r="B201" t="s">
        <v>329</v>
      </c>
      <c r="D201">
        <v>315654</v>
      </c>
      <c r="E201">
        <v>0</v>
      </c>
      <c r="F201">
        <v>308308</v>
      </c>
      <c r="G201">
        <v>117874</v>
      </c>
      <c r="H201">
        <v>607083</v>
      </c>
      <c r="I201">
        <v>2034653</v>
      </c>
      <c r="J201">
        <v>0</v>
      </c>
      <c r="K201">
        <v>7911203</v>
      </c>
      <c r="L201">
        <v>0</v>
      </c>
      <c r="M201">
        <v>555058</v>
      </c>
      <c r="N201">
        <v>1854239</v>
      </c>
      <c r="O201">
        <v>84934024</v>
      </c>
      <c r="P201">
        <v>0</v>
      </c>
      <c r="Q201">
        <v>0</v>
      </c>
      <c r="R201">
        <v>0</v>
      </c>
      <c r="S201">
        <v>0</v>
      </c>
      <c r="T201">
        <v>0</v>
      </c>
      <c r="U201">
        <v>0</v>
      </c>
      <c r="V201">
        <v>114192</v>
      </c>
      <c r="W201">
        <v>1122527</v>
      </c>
      <c r="X201">
        <v>29655832</v>
      </c>
      <c r="Y201">
        <v>951561000</v>
      </c>
      <c r="Z201">
        <v>8996409</v>
      </c>
      <c r="AA201">
        <v>127609</v>
      </c>
      <c r="AB201">
        <v>0</v>
      </c>
      <c r="AC201">
        <v>1873228</v>
      </c>
      <c r="AD201">
        <v>1546847</v>
      </c>
      <c r="AE201">
        <v>594755</v>
      </c>
      <c r="AF201">
        <v>33927002</v>
      </c>
      <c r="AG201">
        <v>0</v>
      </c>
      <c r="AH201">
        <v>445139</v>
      </c>
      <c r="AI201">
        <v>5778086</v>
      </c>
      <c r="AJ201">
        <v>1207761</v>
      </c>
      <c r="AK201">
        <v>415058</v>
      </c>
      <c r="AL201">
        <v>255220</v>
      </c>
      <c r="AM201">
        <v>128497</v>
      </c>
      <c r="AN201">
        <v>1038571</v>
      </c>
      <c r="AO201">
        <v>1230787</v>
      </c>
      <c r="AP201">
        <v>0</v>
      </c>
      <c r="AQ201">
        <v>136955899</v>
      </c>
      <c r="AR201">
        <v>0</v>
      </c>
      <c r="AS201">
        <v>211025</v>
      </c>
      <c r="AT201">
        <v>4579611</v>
      </c>
      <c r="AU201">
        <v>558604</v>
      </c>
      <c r="AV201">
        <v>0</v>
      </c>
      <c r="AW201">
        <v>6652430</v>
      </c>
      <c r="AX201">
        <v>400640</v>
      </c>
      <c r="AY201">
        <v>0</v>
      </c>
      <c r="AZ201">
        <v>236934</v>
      </c>
      <c r="BA201">
        <v>488003</v>
      </c>
      <c r="BB201">
        <v>115907</v>
      </c>
      <c r="BC201">
        <v>9809419</v>
      </c>
      <c r="BD201">
        <v>0</v>
      </c>
      <c r="BE201">
        <v>1225008</v>
      </c>
      <c r="BF201">
        <v>1565428</v>
      </c>
      <c r="BG201">
        <v>0</v>
      </c>
      <c r="BH201">
        <v>0</v>
      </c>
      <c r="BI201">
        <v>2103954</v>
      </c>
      <c r="BJ201">
        <v>0</v>
      </c>
      <c r="BK201">
        <v>475274</v>
      </c>
      <c r="BL201">
        <v>2675255</v>
      </c>
      <c r="BM201">
        <v>265697</v>
      </c>
      <c r="BN201">
        <v>0</v>
      </c>
      <c r="BO201">
        <v>6076978</v>
      </c>
      <c r="BP201">
        <v>186255349</v>
      </c>
      <c r="BQ201">
        <v>0</v>
      </c>
      <c r="BR201">
        <v>96147</v>
      </c>
      <c r="BS201">
        <v>0</v>
      </c>
      <c r="BU201">
        <v>998964</v>
      </c>
      <c r="BV201">
        <v>0</v>
      </c>
      <c r="BW201">
        <v>0</v>
      </c>
      <c r="BX201">
        <v>14500225</v>
      </c>
      <c r="BY201">
        <v>42222465</v>
      </c>
      <c r="BZ201">
        <v>2090023</v>
      </c>
      <c r="CA201">
        <v>432028</v>
      </c>
      <c r="CB201">
        <v>1236675</v>
      </c>
      <c r="CC201">
        <v>568684</v>
      </c>
      <c r="CD201">
        <v>687373</v>
      </c>
      <c r="CE201">
        <v>768506</v>
      </c>
      <c r="CF201">
        <v>3753570</v>
      </c>
      <c r="CG201">
        <v>0</v>
      </c>
      <c r="CH201">
        <v>3819243</v>
      </c>
      <c r="CI201">
        <v>0</v>
      </c>
      <c r="CK201">
        <v>214237</v>
      </c>
    </row>
    <row r="202" spans="1:89" x14ac:dyDescent="0.3">
      <c r="A202" s="155">
        <v>592</v>
      </c>
      <c r="B202" t="s">
        <v>330</v>
      </c>
      <c r="D202">
        <v>-139871</v>
      </c>
      <c r="E202">
        <v>0</v>
      </c>
      <c r="F202">
        <v>-23079</v>
      </c>
      <c r="G202">
        <v>-32595</v>
      </c>
      <c r="H202">
        <v>8319</v>
      </c>
      <c r="I202">
        <v>561416</v>
      </c>
      <c r="J202">
        <v>0</v>
      </c>
      <c r="K202">
        <v>1400203</v>
      </c>
      <c r="L202">
        <v>0</v>
      </c>
      <c r="M202">
        <v>685267</v>
      </c>
      <c r="N202">
        <v>-254641</v>
      </c>
      <c r="O202">
        <v>20343304</v>
      </c>
      <c r="P202">
        <v>0</v>
      </c>
      <c r="Q202">
        <v>0</v>
      </c>
      <c r="R202">
        <v>0</v>
      </c>
      <c r="S202">
        <v>0</v>
      </c>
      <c r="T202">
        <v>0</v>
      </c>
      <c r="U202">
        <v>0</v>
      </c>
      <c r="V202">
        <v>-17942</v>
      </c>
      <c r="W202">
        <v>-165844</v>
      </c>
      <c r="X202">
        <v>5397165</v>
      </c>
      <c r="Y202">
        <v>334190000</v>
      </c>
      <c r="Z202">
        <v>524027</v>
      </c>
      <c r="AA202">
        <v>-31593</v>
      </c>
      <c r="AB202">
        <v>0</v>
      </c>
      <c r="AC202">
        <v>-393727</v>
      </c>
      <c r="AD202">
        <v>466495</v>
      </c>
      <c r="AE202">
        <v>197166</v>
      </c>
      <c r="AF202">
        <v>5591770</v>
      </c>
      <c r="AG202">
        <v>0</v>
      </c>
      <c r="AH202">
        <v>159675</v>
      </c>
      <c r="AI202">
        <v>-65098</v>
      </c>
      <c r="AJ202">
        <v>108545</v>
      </c>
      <c r="AK202">
        <v>53213</v>
      </c>
      <c r="AL202">
        <v>9775</v>
      </c>
      <c r="AM202">
        <v>-49137</v>
      </c>
      <c r="AN202">
        <v>804117</v>
      </c>
      <c r="AO202">
        <v>1044738</v>
      </c>
      <c r="AP202">
        <v>0</v>
      </c>
      <c r="AQ202">
        <v>41415884</v>
      </c>
      <c r="AR202">
        <v>0</v>
      </c>
      <c r="AS202">
        <v>-157499</v>
      </c>
      <c r="AT202">
        <v>732780</v>
      </c>
      <c r="AU202">
        <v>-130750</v>
      </c>
      <c r="AV202">
        <v>0</v>
      </c>
      <c r="AW202">
        <v>972901</v>
      </c>
      <c r="AX202">
        <v>-194332</v>
      </c>
      <c r="AY202">
        <v>0</v>
      </c>
      <c r="AZ202">
        <v>66105</v>
      </c>
      <c r="BA202">
        <v>393324</v>
      </c>
      <c r="BB202">
        <v>7224</v>
      </c>
      <c r="BC202">
        <v>10492</v>
      </c>
      <c r="BD202">
        <v>0</v>
      </c>
      <c r="BE202">
        <v>-46431</v>
      </c>
      <c r="BF202">
        <v>213906</v>
      </c>
      <c r="BG202">
        <v>0</v>
      </c>
      <c r="BH202">
        <v>0</v>
      </c>
      <c r="BI202">
        <v>1158965</v>
      </c>
      <c r="BJ202">
        <v>0</v>
      </c>
      <c r="BK202">
        <v>-248322</v>
      </c>
      <c r="BL202">
        <v>461219</v>
      </c>
      <c r="BM202">
        <v>412468</v>
      </c>
      <c r="BN202">
        <v>0</v>
      </c>
      <c r="BO202">
        <v>741333</v>
      </c>
      <c r="BP202">
        <v>44758701</v>
      </c>
      <c r="BQ202">
        <v>0</v>
      </c>
      <c r="BR202">
        <v>-4855</v>
      </c>
      <c r="BS202">
        <v>0</v>
      </c>
      <c r="BU202">
        <v>217155</v>
      </c>
      <c r="BV202">
        <v>0</v>
      </c>
      <c r="BW202">
        <v>4615635</v>
      </c>
      <c r="BX202">
        <v>1300858</v>
      </c>
      <c r="BY202">
        <v>1868360</v>
      </c>
      <c r="BZ202">
        <v>-112674</v>
      </c>
      <c r="CA202">
        <v>-128031</v>
      </c>
      <c r="CB202">
        <v>253887</v>
      </c>
      <c r="CC202">
        <v>-34927</v>
      </c>
      <c r="CD202">
        <v>-104297</v>
      </c>
      <c r="CE202">
        <v>252430</v>
      </c>
      <c r="CF202">
        <v>506511</v>
      </c>
      <c r="CG202">
        <v>0</v>
      </c>
      <c r="CH202">
        <v>234215</v>
      </c>
      <c r="CI202">
        <v>0</v>
      </c>
      <c r="CK202">
        <v>-62194</v>
      </c>
    </row>
    <row r="203" spans="1:89" x14ac:dyDescent="0.3">
      <c r="A203" s="155">
        <v>593</v>
      </c>
      <c r="B203" t="s">
        <v>954</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U203">
        <v>0</v>
      </c>
      <c r="BV203">
        <v>0</v>
      </c>
      <c r="BW203">
        <v>0</v>
      </c>
      <c r="BX203">
        <v>0</v>
      </c>
      <c r="BY203">
        <v>0</v>
      </c>
      <c r="BZ203">
        <v>0</v>
      </c>
      <c r="CA203">
        <v>0</v>
      </c>
      <c r="CB203">
        <v>0</v>
      </c>
      <c r="CC203">
        <v>0</v>
      </c>
      <c r="CD203">
        <v>0</v>
      </c>
      <c r="CE203">
        <v>0</v>
      </c>
      <c r="CF203">
        <v>0</v>
      </c>
      <c r="CG203">
        <v>0</v>
      </c>
      <c r="CH203">
        <v>0</v>
      </c>
      <c r="CI203">
        <v>0</v>
      </c>
      <c r="CK203">
        <v>0</v>
      </c>
    </row>
    <row r="204" spans="1:89" x14ac:dyDescent="0.3">
      <c r="A204" s="155">
        <v>594</v>
      </c>
      <c r="B204" t="s">
        <v>955</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U204">
        <v>0</v>
      </c>
      <c r="BV204">
        <v>0</v>
      </c>
      <c r="BW204">
        <v>0</v>
      </c>
      <c r="BX204">
        <v>0</v>
      </c>
      <c r="BY204">
        <v>0</v>
      </c>
      <c r="BZ204">
        <v>0</v>
      </c>
      <c r="CA204">
        <v>0</v>
      </c>
      <c r="CB204">
        <v>0</v>
      </c>
      <c r="CC204">
        <v>0</v>
      </c>
      <c r="CD204">
        <v>0</v>
      </c>
      <c r="CE204">
        <v>0</v>
      </c>
      <c r="CF204">
        <v>0</v>
      </c>
      <c r="CG204">
        <v>0</v>
      </c>
      <c r="CH204">
        <v>0</v>
      </c>
      <c r="CI204">
        <v>0</v>
      </c>
      <c r="CK204">
        <v>0</v>
      </c>
    </row>
    <row r="205" spans="1:89" x14ac:dyDescent="0.3">
      <c r="A205" s="155">
        <v>596</v>
      </c>
      <c r="B205" t="s">
        <v>335</v>
      </c>
      <c r="D205">
        <v>52</v>
      </c>
      <c r="E205">
        <v>52</v>
      </c>
      <c r="F205">
        <v>52</v>
      </c>
      <c r="G205">
        <v>52</v>
      </c>
      <c r="H205">
        <v>52</v>
      </c>
      <c r="I205">
        <v>52</v>
      </c>
      <c r="J205">
        <v>52</v>
      </c>
      <c r="K205">
        <v>52</v>
      </c>
      <c r="L205">
        <v>52</v>
      </c>
      <c r="M205">
        <v>52</v>
      </c>
      <c r="N205">
        <v>52</v>
      </c>
      <c r="O205">
        <v>52</v>
      </c>
      <c r="P205">
        <v>0</v>
      </c>
      <c r="Q205">
        <v>52</v>
      </c>
      <c r="R205">
        <v>52</v>
      </c>
      <c r="S205">
        <v>52</v>
      </c>
      <c r="T205">
        <v>52</v>
      </c>
      <c r="U205">
        <v>52</v>
      </c>
      <c r="V205">
        <v>52</v>
      </c>
      <c r="W205">
        <v>52</v>
      </c>
      <c r="X205">
        <v>52</v>
      </c>
      <c r="Y205">
        <v>52</v>
      </c>
      <c r="Z205">
        <v>52</v>
      </c>
      <c r="AA205">
        <v>52</v>
      </c>
      <c r="AB205">
        <v>0</v>
      </c>
      <c r="AC205">
        <v>52</v>
      </c>
      <c r="AD205">
        <v>0</v>
      </c>
      <c r="AE205">
        <v>52</v>
      </c>
      <c r="AF205">
        <v>52</v>
      </c>
      <c r="AG205">
        <v>52</v>
      </c>
      <c r="AH205">
        <v>52</v>
      </c>
      <c r="AI205">
        <v>52</v>
      </c>
      <c r="AJ205">
        <v>52</v>
      </c>
      <c r="AK205">
        <v>52</v>
      </c>
      <c r="AL205">
        <v>52</v>
      </c>
      <c r="AM205">
        <v>52</v>
      </c>
      <c r="AN205">
        <v>52</v>
      </c>
      <c r="AO205">
        <v>52</v>
      </c>
      <c r="AP205">
        <v>52</v>
      </c>
      <c r="AQ205">
        <v>52</v>
      </c>
      <c r="AR205">
        <v>52</v>
      </c>
      <c r="AS205">
        <v>52</v>
      </c>
      <c r="AT205">
        <v>52</v>
      </c>
      <c r="AU205">
        <v>52</v>
      </c>
      <c r="AV205">
        <v>52</v>
      </c>
      <c r="AW205">
        <v>52</v>
      </c>
      <c r="AX205">
        <v>52</v>
      </c>
      <c r="AY205">
        <v>52</v>
      </c>
      <c r="AZ205">
        <v>52</v>
      </c>
      <c r="BA205">
        <v>52</v>
      </c>
      <c r="BB205">
        <v>52</v>
      </c>
      <c r="BC205">
        <v>52</v>
      </c>
      <c r="BD205">
        <v>52</v>
      </c>
      <c r="BE205">
        <v>52</v>
      </c>
      <c r="BF205">
        <v>52</v>
      </c>
      <c r="BG205">
        <v>52</v>
      </c>
      <c r="BH205">
        <v>52</v>
      </c>
      <c r="BI205">
        <v>52</v>
      </c>
      <c r="BJ205">
        <v>52</v>
      </c>
      <c r="BK205">
        <v>52</v>
      </c>
      <c r="BL205">
        <v>52</v>
      </c>
      <c r="BM205">
        <v>52</v>
      </c>
      <c r="BN205">
        <v>0</v>
      </c>
      <c r="BO205">
        <v>52</v>
      </c>
      <c r="BP205">
        <v>52</v>
      </c>
      <c r="BQ205">
        <v>0</v>
      </c>
      <c r="BR205">
        <v>52</v>
      </c>
      <c r="BS205">
        <v>52</v>
      </c>
      <c r="BU205">
        <v>52</v>
      </c>
      <c r="BV205">
        <v>0</v>
      </c>
      <c r="BW205">
        <v>52</v>
      </c>
      <c r="BX205">
        <v>52</v>
      </c>
      <c r="BY205">
        <v>52</v>
      </c>
      <c r="BZ205">
        <v>52</v>
      </c>
      <c r="CA205">
        <v>52</v>
      </c>
      <c r="CB205">
        <v>52</v>
      </c>
      <c r="CC205">
        <v>52</v>
      </c>
      <c r="CD205">
        <v>52</v>
      </c>
      <c r="CE205">
        <v>52</v>
      </c>
      <c r="CF205">
        <v>52</v>
      </c>
      <c r="CG205">
        <v>52</v>
      </c>
      <c r="CH205">
        <v>52</v>
      </c>
      <c r="CI205">
        <v>52</v>
      </c>
      <c r="CK205">
        <v>52</v>
      </c>
    </row>
    <row r="206" spans="1:89" x14ac:dyDescent="0.3">
      <c r="A206" s="155">
        <v>597</v>
      </c>
      <c r="B206" t="s">
        <v>338</v>
      </c>
      <c r="D206">
        <v>472</v>
      </c>
      <c r="E206">
        <v>551</v>
      </c>
      <c r="F206">
        <v>4667</v>
      </c>
      <c r="G206">
        <v>1235</v>
      </c>
      <c r="H206">
        <v>260</v>
      </c>
      <c r="I206">
        <v>5130</v>
      </c>
      <c r="J206">
        <v>1335</v>
      </c>
      <c r="K206">
        <v>328043</v>
      </c>
      <c r="L206">
        <v>3486</v>
      </c>
      <c r="M206">
        <v>3240</v>
      </c>
      <c r="N206">
        <v>663</v>
      </c>
      <c r="O206">
        <v>680351</v>
      </c>
      <c r="P206">
        <v>73</v>
      </c>
      <c r="Q206">
        <v>0</v>
      </c>
      <c r="R206">
        <v>1491</v>
      </c>
      <c r="S206">
        <v>112</v>
      </c>
      <c r="T206">
        <v>285</v>
      </c>
      <c r="U206">
        <v>0</v>
      </c>
      <c r="V206">
        <v>0</v>
      </c>
      <c r="W206">
        <v>12285</v>
      </c>
      <c r="X206">
        <v>27115</v>
      </c>
      <c r="Y206">
        <v>2251000</v>
      </c>
      <c r="Z206">
        <v>3040</v>
      </c>
      <c r="AA206">
        <v>636</v>
      </c>
      <c r="AB206">
        <v>14499</v>
      </c>
      <c r="AC206">
        <v>28</v>
      </c>
      <c r="AD206">
        <v>2238</v>
      </c>
      <c r="AE206">
        <v>1464</v>
      </c>
      <c r="AF206">
        <v>17593</v>
      </c>
      <c r="AG206">
        <v>1743</v>
      </c>
      <c r="AH206">
        <v>8721</v>
      </c>
      <c r="AI206">
        <v>0</v>
      </c>
      <c r="AJ206">
        <v>7042</v>
      </c>
      <c r="AK206">
        <v>2740</v>
      </c>
      <c r="AL206">
        <v>154</v>
      </c>
      <c r="AM206">
        <v>122</v>
      </c>
      <c r="AN206">
        <v>35568</v>
      </c>
      <c r="AO206">
        <v>2333</v>
      </c>
      <c r="AP206">
        <v>40</v>
      </c>
      <c r="AQ206">
        <v>763812</v>
      </c>
      <c r="AR206">
        <v>1371</v>
      </c>
      <c r="AS206">
        <v>399</v>
      </c>
      <c r="AT206">
        <v>4694</v>
      </c>
      <c r="AU206">
        <v>442</v>
      </c>
      <c r="AV206">
        <v>5</v>
      </c>
      <c r="AW206">
        <v>120712</v>
      </c>
      <c r="AX206">
        <v>111</v>
      </c>
      <c r="AY206">
        <v>10149</v>
      </c>
      <c r="AZ206">
        <v>2665</v>
      </c>
      <c r="BA206">
        <v>1767</v>
      </c>
      <c r="BB206">
        <v>100</v>
      </c>
      <c r="BC206">
        <v>6928</v>
      </c>
      <c r="BD206">
        <v>123</v>
      </c>
      <c r="BE206">
        <v>3577</v>
      </c>
      <c r="BF206">
        <v>2350</v>
      </c>
      <c r="BG206">
        <v>1646</v>
      </c>
      <c r="BH206">
        <v>286</v>
      </c>
      <c r="BI206">
        <v>1188</v>
      </c>
      <c r="BJ206">
        <v>52144</v>
      </c>
      <c r="BK206">
        <v>0</v>
      </c>
      <c r="BL206">
        <v>3029</v>
      </c>
      <c r="BM206">
        <v>3384</v>
      </c>
      <c r="BN206">
        <v>0</v>
      </c>
      <c r="BO206">
        <v>2548</v>
      </c>
      <c r="BP206">
        <v>7626530</v>
      </c>
      <c r="BQ206">
        <v>523</v>
      </c>
      <c r="BR206">
        <v>0</v>
      </c>
      <c r="BS206">
        <v>644</v>
      </c>
      <c r="BU206">
        <v>490</v>
      </c>
      <c r="BV206">
        <v>2685</v>
      </c>
      <c r="BW206">
        <v>76889</v>
      </c>
      <c r="BX206">
        <v>870</v>
      </c>
      <c r="BY206">
        <v>3153</v>
      </c>
      <c r="BZ206">
        <v>1110</v>
      </c>
      <c r="CA206">
        <v>85</v>
      </c>
      <c r="CB206">
        <v>5363</v>
      </c>
      <c r="CC206">
        <v>6278</v>
      </c>
      <c r="CD206">
        <v>408</v>
      </c>
      <c r="CE206">
        <v>180</v>
      </c>
      <c r="CF206">
        <v>4134</v>
      </c>
      <c r="CG206">
        <v>1508</v>
      </c>
      <c r="CH206">
        <v>10208</v>
      </c>
      <c r="CI206">
        <v>7127</v>
      </c>
      <c r="CK206">
        <v>273</v>
      </c>
    </row>
    <row r="207" spans="1:89" x14ac:dyDescent="0.3">
      <c r="A207" s="155">
        <v>598</v>
      </c>
      <c r="B207" t="s">
        <v>343</v>
      </c>
      <c r="D207">
        <v>0</v>
      </c>
      <c r="E207">
        <v>0</v>
      </c>
      <c r="F207">
        <v>0</v>
      </c>
      <c r="G207">
        <v>0</v>
      </c>
      <c r="H207">
        <v>0</v>
      </c>
      <c r="I207">
        <v>21733</v>
      </c>
      <c r="J207">
        <v>0</v>
      </c>
      <c r="K207">
        <v>29228</v>
      </c>
      <c r="L207">
        <v>0</v>
      </c>
      <c r="M207">
        <v>142446</v>
      </c>
      <c r="N207">
        <v>0</v>
      </c>
      <c r="O207">
        <v>802721</v>
      </c>
      <c r="P207">
        <v>0</v>
      </c>
      <c r="Q207">
        <v>0</v>
      </c>
      <c r="R207">
        <v>0</v>
      </c>
      <c r="S207">
        <v>10592</v>
      </c>
      <c r="T207">
        <v>0</v>
      </c>
      <c r="U207">
        <v>0</v>
      </c>
      <c r="V207">
        <v>0</v>
      </c>
      <c r="W207">
        <v>0</v>
      </c>
      <c r="X207">
        <v>438206</v>
      </c>
      <c r="Y207">
        <v>8915000</v>
      </c>
      <c r="Z207">
        <v>5310</v>
      </c>
      <c r="AA207">
        <v>0</v>
      </c>
      <c r="AB207">
        <v>5200</v>
      </c>
      <c r="AC207">
        <v>0</v>
      </c>
      <c r="AD207">
        <v>0</v>
      </c>
      <c r="AE207">
        <v>0</v>
      </c>
      <c r="AF207">
        <v>109965</v>
      </c>
      <c r="AG207">
        <v>0</v>
      </c>
      <c r="AH207">
        <v>0</v>
      </c>
      <c r="AI207">
        <v>82273</v>
      </c>
      <c r="AJ207">
        <v>0</v>
      </c>
      <c r="AK207">
        <v>0</v>
      </c>
      <c r="AL207">
        <v>0</v>
      </c>
      <c r="AM207">
        <v>0</v>
      </c>
      <c r="AN207">
        <v>0</v>
      </c>
      <c r="AO207">
        <v>0</v>
      </c>
      <c r="AP207">
        <v>0</v>
      </c>
      <c r="AQ207">
        <v>559798</v>
      </c>
      <c r="AR207">
        <v>0</v>
      </c>
      <c r="AS207">
        <v>0</v>
      </c>
      <c r="AT207">
        <v>0</v>
      </c>
      <c r="AU207">
        <v>0</v>
      </c>
      <c r="AV207">
        <v>0</v>
      </c>
      <c r="AW207">
        <v>55299</v>
      </c>
      <c r="AX207">
        <v>0</v>
      </c>
      <c r="AY207">
        <v>47085</v>
      </c>
      <c r="AZ207">
        <v>10648</v>
      </c>
      <c r="BA207">
        <v>0</v>
      </c>
      <c r="BB207">
        <v>0</v>
      </c>
      <c r="BC207">
        <v>37735</v>
      </c>
      <c r="BD207">
        <v>0</v>
      </c>
      <c r="BE207">
        <v>0</v>
      </c>
      <c r="BF207">
        <v>2957</v>
      </c>
      <c r="BG207">
        <v>0</v>
      </c>
      <c r="BH207">
        <v>0</v>
      </c>
      <c r="BI207">
        <v>0</v>
      </c>
      <c r="BJ207">
        <v>0</v>
      </c>
      <c r="BK207">
        <v>0</v>
      </c>
      <c r="BL207">
        <v>14701</v>
      </c>
      <c r="BM207">
        <v>0</v>
      </c>
      <c r="BN207">
        <v>0</v>
      </c>
      <c r="BO207">
        <v>49194</v>
      </c>
      <c r="BP207">
        <v>2167812</v>
      </c>
      <c r="BQ207">
        <v>0</v>
      </c>
      <c r="BR207">
        <v>0</v>
      </c>
      <c r="BS207">
        <v>0</v>
      </c>
      <c r="BU207">
        <v>0</v>
      </c>
      <c r="BV207">
        <v>0</v>
      </c>
      <c r="BW207">
        <v>176803</v>
      </c>
      <c r="BX207">
        <v>48989</v>
      </c>
      <c r="BY207">
        <v>93869</v>
      </c>
      <c r="BZ207">
        <v>12180</v>
      </c>
      <c r="CA207">
        <v>0</v>
      </c>
      <c r="CB207">
        <v>10307</v>
      </c>
      <c r="CC207">
        <v>0</v>
      </c>
      <c r="CD207">
        <v>0</v>
      </c>
      <c r="CE207">
        <v>0</v>
      </c>
      <c r="CF207">
        <v>47339</v>
      </c>
      <c r="CG207">
        <v>30714</v>
      </c>
      <c r="CH207">
        <v>0</v>
      </c>
      <c r="CI207">
        <v>30563</v>
      </c>
      <c r="CK207">
        <v>0</v>
      </c>
    </row>
    <row r="208" spans="1:89" x14ac:dyDescent="0.3">
      <c r="A208" s="155">
        <v>599</v>
      </c>
      <c r="B208" t="s">
        <v>342</v>
      </c>
      <c r="D208">
        <v>0</v>
      </c>
      <c r="E208">
        <v>0</v>
      </c>
      <c r="F208">
        <v>0</v>
      </c>
      <c r="G208">
        <v>0</v>
      </c>
      <c r="H208">
        <v>68952</v>
      </c>
      <c r="I208">
        <v>463326</v>
      </c>
      <c r="J208">
        <v>74410</v>
      </c>
      <c r="K208">
        <v>843830</v>
      </c>
      <c r="L208">
        <v>0</v>
      </c>
      <c r="M208">
        <v>2057740</v>
      </c>
      <c r="N208">
        <v>318413</v>
      </c>
      <c r="O208">
        <v>10136449</v>
      </c>
      <c r="P208">
        <v>0</v>
      </c>
      <c r="Q208">
        <v>0</v>
      </c>
      <c r="R208">
        <v>171606</v>
      </c>
      <c r="S208">
        <v>32929</v>
      </c>
      <c r="T208">
        <v>0</v>
      </c>
      <c r="U208">
        <v>0</v>
      </c>
      <c r="V208">
        <v>0</v>
      </c>
      <c r="W208">
        <v>37991</v>
      </c>
      <c r="X208">
        <v>7320909</v>
      </c>
      <c r="Y208">
        <v>172832000</v>
      </c>
      <c r="Z208">
        <v>490232</v>
      </c>
      <c r="AA208">
        <v>0</v>
      </c>
      <c r="AB208">
        <v>415652</v>
      </c>
      <c r="AC208">
        <v>181075</v>
      </c>
      <c r="AD208">
        <v>266730</v>
      </c>
      <c r="AE208">
        <v>0</v>
      </c>
      <c r="AF208">
        <v>3337394</v>
      </c>
      <c r="AG208">
        <v>0</v>
      </c>
      <c r="AH208">
        <v>172876</v>
      </c>
      <c r="AI208">
        <v>1000119</v>
      </c>
      <c r="AJ208">
        <v>0</v>
      </c>
      <c r="AK208">
        <v>174527</v>
      </c>
      <c r="AL208">
        <v>0</v>
      </c>
      <c r="AM208">
        <v>0</v>
      </c>
      <c r="AN208">
        <v>0</v>
      </c>
      <c r="AO208">
        <v>78522</v>
      </c>
      <c r="AP208">
        <v>0</v>
      </c>
      <c r="AQ208">
        <v>10975270</v>
      </c>
      <c r="AR208">
        <v>0</v>
      </c>
      <c r="AS208">
        <v>0</v>
      </c>
      <c r="AT208">
        <v>769736</v>
      </c>
      <c r="AU208">
        <v>36986</v>
      </c>
      <c r="AV208">
        <v>20273</v>
      </c>
      <c r="AW208">
        <v>2286892</v>
      </c>
      <c r="AX208">
        <v>0</v>
      </c>
      <c r="AY208">
        <v>869283</v>
      </c>
      <c r="AZ208">
        <v>495366</v>
      </c>
      <c r="BA208">
        <v>0</v>
      </c>
      <c r="BB208">
        <v>0</v>
      </c>
      <c r="BC208">
        <v>496720</v>
      </c>
      <c r="BD208">
        <v>0</v>
      </c>
      <c r="BE208">
        <v>529063</v>
      </c>
      <c r="BF208">
        <v>119670</v>
      </c>
      <c r="BG208">
        <v>0</v>
      </c>
      <c r="BH208">
        <v>0</v>
      </c>
      <c r="BI208">
        <v>356530</v>
      </c>
      <c r="BJ208">
        <v>0</v>
      </c>
      <c r="BK208">
        <v>0</v>
      </c>
      <c r="BL208">
        <v>247291</v>
      </c>
      <c r="BM208">
        <v>0</v>
      </c>
      <c r="BN208">
        <v>664675</v>
      </c>
      <c r="BO208">
        <v>1706197</v>
      </c>
      <c r="BP208">
        <v>35868081</v>
      </c>
      <c r="BQ208">
        <v>0</v>
      </c>
      <c r="BR208">
        <v>0</v>
      </c>
      <c r="BS208">
        <v>8699</v>
      </c>
      <c r="BU208">
        <v>117129</v>
      </c>
      <c r="BV208">
        <v>0</v>
      </c>
      <c r="BW208">
        <v>2968659</v>
      </c>
      <c r="BX208">
        <v>595064</v>
      </c>
      <c r="BY208">
        <v>2225070</v>
      </c>
      <c r="BZ208">
        <v>442519</v>
      </c>
      <c r="CA208">
        <v>0</v>
      </c>
      <c r="CB208">
        <v>401279</v>
      </c>
      <c r="CC208">
        <v>0</v>
      </c>
      <c r="CD208">
        <v>0</v>
      </c>
      <c r="CE208">
        <v>0</v>
      </c>
      <c r="CF208">
        <v>686697</v>
      </c>
      <c r="CG208">
        <v>1074480</v>
      </c>
      <c r="CH208">
        <v>369530</v>
      </c>
      <c r="CI208">
        <v>414983</v>
      </c>
      <c r="CK208">
        <v>0</v>
      </c>
    </row>
    <row r="209" spans="1:89" x14ac:dyDescent="0.3">
      <c r="A209" s="155">
        <v>602</v>
      </c>
      <c r="B209" t="s">
        <v>344</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209495</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U209">
        <v>0</v>
      </c>
      <c r="BV209">
        <v>0</v>
      </c>
      <c r="BW209">
        <v>0</v>
      </c>
      <c r="BX209">
        <v>0</v>
      </c>
      <c r="BY209">
        <v>0</v>
      </c>
      <c r="BZ209">
        <v>0</v>
      </c>
      <c r="CA209">
        <v>0</v>
      </c>
      <c r="CB209">
        <v>0</v>
      </c>
      <c r="CC209">
        <v>0</v>
      </c>
      <c r="CD209">
        <v>0</v>
      </c>
      <c r="CE209">
        <v>0</v>
      </c>
      <c r="CF209">
        <v>0</v>
      </c>
      <c r="CG209">
        <v>0</v>
      </c>
      <c r="CH209">
        <v>0</v>
      </c>
      <c r="CI209">
        <v>0</v>
      </c>
      <c r="CK209">
        <v>0</v>
      </c>
    </row>
    <row r="210" spans="1:89" x14ac:dyDescent="0.3">
      <c r="A210" s="155">
        <v>606</v>
      </c>
      <c r="B210" t="s">
        <v>956</v>
      </c>
      <c r="M210">
        <v>1</v>
      </c>
      <c r="O210">
        <v>1</v>
      </c>
      <c r="T210">
        <v>1</v>
      </c>
      <c r="X210">
        <v>1</v>
      </c>
      <c r="Y210">
        <v>1</v>
      </c>
      <c r="AD210">
        <v>1</v>
      </c>
      <c r="AF210">
        <v>1</v>
      </c>
      <c r="AG210">
        <v>1</v>
      </c>
      <c r="AN210">
        <v>1</v>
      </c>
      <c r="AO210">
        <v>1</v>
      </c>
      <c r="AQ210">
        <v>1</v>
      </c>
      <c r="AT210">
        <v>1</v>
      </c>
      <c r="AW210">
        <v>1</v>
      </c>
      <c r="BA210">
        <v>1</v>
      </c>
      <c r="BI210">
        <v>1</v>
      </c>
      <c r="BO210">
        <v>1</v>
      </c>
      <c r="BP210">
        <v>1</v>
      </c>
      <c r="BW210">
        <v>1</v>
      </c>
      <c r="BX210">
        <v>1</v>
      </c>
      <c r="BY210">
        <v>1</v>
      </c>
      <c r="BZ210">
        <v>1</v>
      </c>
      <c r="CB210">
        <v>1</v>
      </c>
      <c r="CG210">
        <v>1</v>
      </c>
      <c r="CH210">
        <v>1</v>
      </c>
    </row>
    <row r="211" spans="1:89" x14ac:dyDescent="0.3">
      <c r="A211" s="155">
        <v>619</v>
      </c>
      <c r="B211" t="s">
        <v>957</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9.1999999999999993</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U211">
        <v>0</v>
      </c>
      <c r="BV211">
        <v>0</v>
      </c>
      <c r="BW211">
        <v>0</v>
      </c>
      <c r="BX211">
        <v>0</v>
      </c>
      <c r="BY211">
        <v>0</v>
      </c>
      <c r="BZ211">
        <v>0</v>
      </c>
      <c r="CA211">
        <v>0</v>
      </c>
      <c r="CB211">
        <v>0</v>
      </c>
      <c r="CC211">
        <v>0</v>
      </c>
      <c r="CD211">
        <v>0</v>
      </c>
      <c r="CE211">
        <v>0</v>
      </c>
      <c r="CF211">
        <v>0</v>
      </c>
      <c r="CG211">
        <v>0</v>
      </c>
      <c r="CH211">
        <v>0</v>
      </c>
      <c r="CI211">
        <v>0</v>
      </c>
      <c r="CK211">
        <v>0</v>
      </c>
    </row>
    <row r="212" spans="1:89" x14ac:dyDescent="0.3">
      <c r="A212" s="155">
        <v>620</v>
      </c>
      <c r="B212" t="s">
        <v>958</v>
      </c>
      <c r="D212">
        <v>2</v>
      </c>
      <c r="E212">
        <v>2</v>
      </c>
      <c r="F212">
        <v>2</v>
      </c>
      <c r="G212">
        <v>2</v>
      </c>
      <c r="H212">
        <v>2</v>
      </c>
      <c r="I212">
        <v>2</v>
      </c>
      <c r="J212">
        <v>2</v>
      </c>
      <c r="K212">
        <v>1</v>
      </c>
      <c r="L212">
        <v>2</v>
      </c>
      <c r="M212">
        <v>1</v>
      </c>
      <c r="N212">
        <v>2</v>
      </c>
      <c r="O212">
        <v>2</v>
      </c>
      <c r="P212">
        <v>2</v>
      </c>
      <c r="Q212">
        <v>2</v>
      </c>
      <c r="R212">
        <v>2</v>
      </c>
      <c r="S212">
        <v>2</v>
      </c>
      <c r="T212">
        <v>2</v>
      </c>
      <c r="U212">
        <v>2</v>
      </c>
      <c r="V212">
        <v>2</v>
      </c>
      <c r="W212">
        <v>2</v>
      </c>
      <c r="X212">
        <v>1</v>
      </c>
      <c r="Y212">
        <v>1</v>
      </c>
      <c r="Z212">
        <v>2</v>
      </c>
      <c r="AA212">
        <v>2</v>
      </c>
      <c r="AB212">
        <v>2</v>
      </c>
      <c r="AC212">
        <v>2</v>
      </c>
      <c r="AD212">
        <v>2</v>
      </c>
      <c r="AE212">
        <v>2</v>
      </c>
      <c r="AF212">
        <v>2</v>
      </c>
      <c r="AG212">
        <v>2</v>
      </c>
      <c r="AH212">
        <v>2</v>
      </c>
      <c r="AI212">
        <v>2</v>
      </c>
      <c r="AJ212">
        <v>2</v>
      </c>
      <c r="AK212">
        <v>2</v>
      </c>
      <c r="AL212">
        <v>2</v>
      </c>
      <c r="AM212">
        <v>2</v>
      </c>
      <c r="AN212">
        <v>2</v>
      </c>
      <c r="AO212">
        <v>2</v>
      </c>
      <c r="AP212">
        <v>2</v>
      </c>
      <c r="AQ212">
        <v>1</v>
      </c>
      <c r="AR212">
        <v>0</v>
      </c>
      <c r="AS212">
        <v>2</v>
      </c>
      <c r="AT212">
        <v>2</v>
      </c>
      <c r="AU212">
        <v>0</v>
      </c>
      <c r="AV212">
        <v>2</v>
      </c>
      <c r="AW212">
        <v>1</v>
      </c>
      <c r="AX212">
        <v>2</v>
      </c>
      <c r="AY212">
        <v>2</v>
      </c>
      <c r="AZ212">
        <v>2</v>
      </c>
      <c r="BA212">
        <v>2</v>
      </c>
      <c r="BB212">
        <v>2</v>
      </c>
      <c r="BC212">
        <v>2</v>
      </c>
      <c r="BD212">
        <v>2</v>
      </c>
      <c r="BE212">
        <v>2</v>
      </c>
      <c r="BF212">
        <v>1</v>
      </c>
      <c r="BG212">
        <v>2</v>
      </c>
      <c r="BH212">
        <v>2</v>
      </c>
      <c r="BI212">
        <v>2</v>
      </c>
      <c r="BJ212">
        <v>2</v>
      </c>
      <c r="BK212">
        <v>2</v>
      </c>
      <c r="BL212">
        <v>2</v>
      </c>
      <c r="BM212">
        <v>2</v>
      </c>
      <c r="BN212">
        <v>1</v>
      </c>
      <c r="BO212">
        <v>2</v>
      </c>
      <c r="BP212">
        <v>1</v>
      </c>
      <c r="BQ212">
        <v>2</v>
      </c>
      <c r="BR212">
        <v>2</v>
      </c>
      <c r="BS212">
        <v>2</v>
      </c>
      <c r="BU212">
        <v>2</v>
      </c>
      <c r="BV212">
        <v>2</v>
      </c>
      <c r="BW212">
        <v>2</v>
      </c>
      <c r="BX212">
        <v>1</v>
      </c>
      <c r="BY212">
        <v>2</v>
      </c>
      <c r="BZ212">
        <v>2</v>
      </c>
      <c r="CA212">
        <v>2</v>
      </c>
      <c r="CB212">
        <v>2</v>
      </c>
      <c r="CC212">
        <v>2</v>
      </c>
      <c r="CD212">
        <v>2</v>
      </c>
      <c r="CE212">
        <v>2</v>
      </c>
      <c r="CF212">
        <v>2</v>
      </c>
      <c r="CG212">
        <v>2</v>
      </c>
      <c r="CH212">
        <v>2</v>
      </c>
      <c r="CI212">
        <v>2</v>
      </c>
      <c r="CK212">
        <v>2</v>
      </c>
    </row>
    <row r="213" spans="1:89" x14ac:dyDescent="0.3">
      <c r="A213" s="155">
        <v>621</v>
      </c>
      <c r="B213" t="s">
        <v>959</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50168</v>
      </c>
      <c r="AI213">
        <v>0</v>
      </c>
      <c r="AJ213">
        <v>0</v>
      </c>
      <c r="AK213">
        <v>0</v>
      </c>
      <c r="AL213">
        <v>0</v>
      </c>
      <c r="AM213">
        <v>0</v>
      </c>
      <c r="AN213">
        <v>705802</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U213">
        <v>0</v>
      </c>
      <c r="BV213">
        <v>0</v>
      </c>
      <c r="BW213">
        <v>0</v>
      </c>
      <c r="BX213">
        <v>0</v>
      </c>
      <c r="BY213">
        <v>15966323</v>
      </c>
      <c r="BZ213">
        <v>0</v>
      </c>
      <c r="CA213">
        <v>0</v>
      </c>
      <c r="CB213">
        <v>0</v>
      </c>
      <c r="CC213">
        <v>0</v>
      </c>
      <c r="CD213">
        <v>0</v>
      </c>
      <c r="CE213">
        <v>0</v>
      </c>
      <c r="CF213">
        <v>0</v>
      </c>
      <c r="CG213">
        <v>0</v>
      </c>
      <c r="CH213">
        <v>0</v>
      </c>
      <c r="CI213">
        <v>0</v>
      </c>
      <c r="CK213">
        <v>0</v>
      </c>
    </row>
    <row r="214" spans="1:89" x14ac:dyDescent="0.3">
      <c r="A214" s="155">
        <v>622</v>
      </c>
      <c r="B214" t="s">
        <v>960</v>
      </c>
      <c r="D214">
        <v>0</v>
      </c>
      <c r="E214">
        <v>176527</v>
      </c>
      <c r="F214">
        <v>32518</v>
      </c>
      <c r="G214">
        <v>63607</v>
      </c>
      <c r="H214">
        <v>212976</v>
      </c>
      <c r="I214">
        <v>1365049</v>
      </c>
      <c r="J214">
        <v>334830</v>
      </c>
      <c r="K214">
        <v>0</v>
      </c>
      <c r="L214">
        <v>363417</v>
      </c>
      <c r="M214">
        <v>4380663</v>
      </c>
      <c r="N214">
        <v>764713</v>
      </c>
      <c r="O214">
        <v>43945278</v>
      </c>
      <c r="P214">
        <v>0</v>
      </c>
      <c r="Q214">
        <v>0</v>
      </c>
      <c r="R214">
        <v>222267</v>
      </c>
      <c r="S214">
        <v>0</v>
      </c>
      <c r="T214">
        <v>50743</v>
      </c>
      <c r="U214">
        <v>0</v>
      </c>
      <c r="V214">
        <v>0</v>
      </c>
      <c r="W214">
        <v>376639</v>
      </c>
      <c r="X214">
        <v>0</v>
      </c>
      <c r="Y214">
        <v>231494000</v>
      </c>
      <c r="Z214">
        <v>1330744</v>
      </c>
      <c r="AA214">
        <v>0</v>
      </c>
      <c r="AB214">
        <v>761854</v>
      </c>
      <c r="AC214">
        <v>0</v>
      </c>
      <c r="AD214">
        <v>527080</v>
      </c>
      <c r="AE214">
        <v>113635</v>
      </c>
      <c r="AF214">
        <v>6635852</v>
      </c>
      <c r="AG214">
        <v>0</v>
      </c>
      <c r="AH214">
        <v>171882</v>
      </c>
      <c r="AI214">
        <v>3169272</v>
      </c>
      <c r="AJ214">
        <v>0</v>
      </c>
      <c r="AK214">
        <v>331257</v>
      </c>
      <c r="AL214">
        <v>51457</v>
      </c>
      <c r="AM214">
        <v>14651</v>
      </c>
      <c r="AN214">
        <v>77186</v>
      </c>
      <c r="AO214">
        <v>462759</v>
      </c>
      <c r="AP214">
        <v>0</v>
      </c>
      <c r="AQ214">
        <v>30143992</v>
      </c>
      <c r="AR214">
        <v>0</v>
      </c>
      <c r="AS214">
        <v>0</v>
      </c>
      <c r="AT214">
        <v>2409561</v>
      </c>
      <c r="AU214">
        <v>0</v>
      </c>
      <c r="AV214">
        <v>16438</v>
      </c>
      <c r="AW214">
        <v>3700997</v>
      </c>
      <c r="AX214">
        <v>15723</v>
      </c>
      <c r="AY214">
        <v>1025573</v>
      </c>
      <c r="AZ214">
        <v>966969</v>
      </c>
      <c r="BA214">
        <v>68252</v>
      </c>
      <c r="BB214">
        <v>0</v>
      </c>
      <c r="BC214">
        <v>1596608</v>
      </c>
      <c r="BD214">
        <v>0</v>
      </c>
      <c r="BE214">
        <v>1999689</v>
      </c>
      <c r="BF214">
        <v>332686</v>
      </c>
      <c r="BG214">
        <v>0</v>
      </c>
      <c r="BH214">
        <v>0</v>
      </c>
      <c r="BI214">
        <v>495634</v>
      </c>
      <c r="BJ214">
        <v>0</v>
      </c>
      <c r="BK214">
        <v>0</v>
      </c>
      <c r="BL214">
        <v>370564</v>
      </c>
      <c r="BM214">
        <v>0</v>
      </c>
      <c r="BN214">
        <v>0</v>
      </c>
      <c r="BO214">
        <v>2805138</v>
      </c>
      <c r="BP214">
        <v>79074915</v>
      </c>
      <c r="BQ214">
        <v>0</v>
      </c>
      <c r="BR214">
        <v>0</v>
      </c>
      <c r="BS214">
        <v>88978</v>
      </c>
      <c r="BU214">
        <v>146153</v>
      </c>
      <c r="BV214">
        <v>31446</v>
      </c>
      <c r="BW214">
        <v>4032255</v>
      </c>
      <c r="BX214">
        <v>1934653</v>
      </c>
      <c r="BY214">
        <v>6576533</v>
      </c>
      <c r="BZ214">
        <v>1339677</v>
      </c>
      <c r="CA214">
        <v>39308</v>
      </c>
      <c r="CB214">
        <v>1027003</v>
      </c>
      <c r="CC214">
        <v>20369</v>
      </c>
      <c r="CD214">
        <v>136862</v>
      </c>
      <c r="CE214">
        <v>26801</v>
      </c>
      <c r="CF214">
        <v>1780281</v>
      </c>
      <c r="CG214">
        <v>1916428</v>
      </c>
      <c r="CH214">
        <v>523864</v>
      </c>
      <c r="CI214">
        <v>538873</v>
      </c>
      <c r="CK214">
        <v>0</v>
      </c>
    </row>
    <row r="215" spans="1:89" x14ac:dyDescent="0.3">
      <c r="A215" s="155">
        <v>624</v>
      </c>
      <c r="B215" t="s">
        <v>357</v>
      </c>
      <c r="D215">
        <v>2</v>
      </c>
      <c r="E215">
        <v>1</v>
      </c>
      <c r="F215">
        <v>1</v>
      </c>
      <c r="G215">
        <v>1</v>
      </c>
      <c r="H215">
        <v>1</v>
      </c>
      <c r="I215">
        <v>2</v>
      </c>
      <c r="J215">
        <v>1</v>
      </c>
      <c r="K215">
        <v>1</v>
      </c>
      <c r="L215">
        <v>1</v>
      </c>
      <c r="M215">
        <v>1</v>
      </c>
      <c r="N215">
        <v>1</v>
      </c>
      <c r="O215">
        <v>1</v>
      </c>
      <c r="P215">
        <v>1</v>
      </c>
      <c r="Q215">
        <v>1</v>
      </c>
      <c r="R215">
        <v>1</v>
      </c>
      <c r="S215">
        <v>1</v>
      </c>
      <c r="T215">
        <v>1</v>
      </c>
      <c r="U215">
        <v>1</v>
      </c>
      <c r="V215">
        <v>1</v>
      </c>
      <c r="W215">
        <v>1</v>
      </c>
      <c r="X215">
        <v>1</v>
      </c>
      <c r="Y215">
        <v>1</v>
      </c>
      <c r="Z215">
        <v>1</v>
      </c>
      <c r="AA215">
        <v>1</v>
      </c>
      <c r="AB215">
        <v>1</v>
      </c>
      <c r="AC215">
        <v>1</v>
      </c>
      <c r="AD215">
        <v>1</v>
      </c>
      <c r="AE215">
        <v>2</v>
      </c>
      <c r="AF215">
        <v>1</v>
      </c>
      <c r="AG215">
        <v>1</v>
      </c>
      <c r="AH215">
        <v>1</v>
      </c>
      <c r="AI215">
        <v>1</v>
      </c>
      <c r="AJ215">
        <v>2</v>
      </c>
      <c r="AK215">
        <v>1</v>
      </c>
      <c r="AL215">
        <v>1</v>
      </c>
      <c r="AM215">
        <v>1</v>
      </c>
      <c r="AN215">
        <v>1</v>
      </c>
      <c r="AO215">
        <v>1</v>
      </c>
      <c r="AP215">
        <v>1</v>
      </c>
      <c r="AQ215">
        <v>1</v>
      </c>
      <c r="AR215">
        <v>1</v>
      </c>
      <c r="AS215">
        <v>2</v>
      </c>
      <c r="AT215">
        <v>1</v>
      </c>
      <c r="AU215">
        <v>0</v>
      </c>
      <c r="AV215">
        <v>1</v>
      </c>
      <c r="AW215">
        <v>1</v>
      </c>
      <c r="AX215">
        <v>1</v>
      </c>
      <c r="AY215">
        <v>1</v>
      </c>
      <c r="AZ215">
        <v>1</v>
      </c>
      <c r="BA215">
        <v>1</v>
      </c>
      <c r="BB215">
        <v>2</v>
      </c>
      <c r="BC215">
        <v>1</v>
      </c>
      <c r="BD215">
        <v>1</v>
      </c>
      <c r="BE215">
        <v>1</v>
      </c>
      <c r="BF215">
        <v>1</v>
      </c>
      <c r="BG215">
        <v>1</v>
      </c>
      <c r="BH215">
        <v>2</v>
      </c>
      <c r="BI215">
        <v>1</v>
      </c>
      <c r="BJ215">
        <v>2</v>
      </c>
      <c r="BK215">
        <v>1</v>
      </c>
      <c r="BL215">
        <v>2</v>
      </c>
      <c r="BM215">
        <v>2</v>
      </c>
      <c r="BN215">
        <v>1</v>
      </c>
      <c r="BO215">
        <v>1</v>
      </c>
      <c r="BP215">
        <v>1</v>
      </c>
      <c r="BQ215">
        <v>1</v>
      </c>
      <c r="BR215">
        <v>1</v>
      </c>
      <c r="BS215">
        <v>1</v>
      </c>
      <c r="BU215">
        <v>1</v>
      </c>
      <c r="BV215">
        <v>1</v>
      </c>
      <c r="BW215">
        <v>1</v>
      </c>
      <c r="BX215">
        <v>1</v>
      </c>
      <c r="BY215">
        <v>1</v>
      </c>
      <c r="BZ215">
        <v>2</v>
      </c>
      <c r="CA215">
        <v>2</v>
      </c>
      <c r="CB215">
        <v>1</v>
      </c>
      <c r="CC215">
        <v>1</v>
      </c>
      <c r="CD215">
        <v>2</v>
      </c>
      <c r="CE215">
        <v>1</v>
      </c>
      <c r="CF215">
        <v>2</v>
      </c>
      <c r="CG215">
        <v>1</v>
      </c>
      <c r="CH215">
        <v>1</v>
      </c>
      <c r="CI215">
        <v>2</v>
      </c>
      <c r="CK215">
        <v>0</v>
      </c>
    </row>
    <row r="216" spans="1:89" x14ac:dyDescent="0.3">
      <c r="A216" s="155">
        <v>626</v>
      </c>
      <c r="B216" t="s">
        <v>961</v>
      </c>
      <c r="D216">
        <v>25523</v>
      </c>
      <c r="E216">
        <v>288746</v>
      </c>
      <c r="F216">
        <v>13609</v>
      </c>
      <c r="G216">
        <v>17297</v>
      </c>
      <c r="H216">
        <v>88720</v>
      </c>
      <c r="I216">
        <v>387315</v>
      </c>
      <c r="J216">
        <v>50630</v>
      </c>
      <c r="K216">
        <v>1724507</v>
      </c>
      <c r="L216">
        <v>0</v>
      </c>
      <c r="M216">
        <v>4404761</v>
      </c>
      <c r="N216">
        <v>354171</v>
      </c>
      <c r="O216">
        <v>62755790</v>
      </c>
      <c r="P216">
        <v>8143</v>
      </c>
      <c r="Q216">
        <v>11409</v>
      </c>
      <c r="R216">
        <v>155017</v>
      </c>
      <c r="S216">
        <v>38430</v>
      </c>
      <c r="T216">
        <v>125335</v>
      </c>
      <c r="U216">
        <v>5545</v>
      </c>
      <c r="V216">
        <v>217753</v>
      </c>
      <c r="W216">
        <v>28635</v>
      </c>
      <c r="X216">
        <v>19262927</v>
      </c>
      <c r="Y216">
        <v>385270000</v>
      </c>
      <c r="Z216">
        <v>588539</v>
      </c>
      <c r="AA216">
        <v>77698</v>
      </c>
      <c r="AB216">
        <v>857547</v>
      </c>
      <c r="AC216">
        <v>449200</v>
      </c>
      <c r="AD216">
        <v>395836</v>
      </c>
      <c r="AE216">
        <v>93658</v>
      </c>
      <c r="AF216">
        <v>4181155</v>
      </c>
      <c r="AG216">
        <v>576145</v>
      </c>
      <c r="AH216">
        <v>36904</v>
      </c>
      <c r="AI216">
        <v>965824</v>
      </c>
      <c r="AJ216">
        <v>35306</v>
      </c>
      <c r="AK216">
        <v>42356</v>
      </c>
      <c r="AL216">
        <v>20098</v>
      </c>
      <c r="AM216">
        <v>7</v>
      </c>
      <c r="AN216">
        <v>50390</v>
      </c>
      <c r="AO216">
        <v>96286</v>
      </c>
      <c r="AP216">
        <v>591</v>
      </c>
      <c r="AQ216">
        <v>31342157</v>
      </c>
      <c r="AR216">
        <v>26288</v>
      </c>
      <c r="AS216">
        <v>34825</v>
      </c>
      <c r="AT216">
        <v>1745600</v>
      </c>
      <c r="AU216">
        <v>140078</v>
      </c>
      <c r="AV216">
        <v>449</v>
      </c>
      <c r="AW216">
        <v>5312192</v>
      </c>
      <c r="AX216">
        <v>1914</v>
      </c>
      <c r="AY216">
        <v>367538</v>
      </c>
      <c r="AZ216">
        <v>234815</v>
      </c>
      <c r="BA216">
        <v>3759</v>
      </c>
      <c r="BB216">
        <v>51</v>
      </c>
      <c r="BC216">
        <v>527212</v>
      </c>
      <c r="BD216">
        <v>0</v>
      </c>
      <c r="BE216">
        <v>2991474</v>
      </c>
      <c r="BF216">
        <v>50868</v>
      </c>
      <c r="BG216">
        <v>11695</v>
      </c>
      <c r="BH216">
        <v>21119</v>
      </c>
      <c r="BI216">
        <v>117006</v>
      </c>
      <c r="BJ216">
        <v>2087</v>
      </c>
      <c r="BK216">
        <v>50361</v>
      </c>
      <c r="BL216">
        <v>50192</v>
      </c>
      <c r="BM216">
        <v>36405</v>
      </c>
      <c r="BN216">
        <v>1961555</v>
      </c>
      <c r="BO216">
        <v>1512660</v>
      </c>
      <c r="BP216">
        <v>95152951</v>
      </c>
      <c r="BQ216">
        <v>5207</v>
      </c>
      <c r="BR216">
        <v>1382</v>
      </c>
      <c r="BS216">
        <v>36739</v>
      </c>
      <c r="BU216">
        <v>100822</v>
      </c>
      <c r="BV216">
        <v>37674</v>
      </c>
      <c r="BW216">
        <v>1824799</v>
      </c>
      <c r="BX216">
        <v>544021</v>
      </c>
      <c r="BY216">
        <v>2056782</v>
      </c>
      <c r="BZ216">
        <v>1903990</v>
      </c>
      <c r="CA216">
        <v>19239</v>
      </c>
      <c r="CB216">
        <v>825504</v>
      </c>
      <c r="CC216">
        <v>6860</v>
      </c>
      <c r="CD216">
        <v>92321</v>
      </c>
      <c r="CE216">
        <v>38998</v>
      </c>
      <c r="CF216">
        <v>410293</v>
      </c>
      <c r="CG216">
        <v>6329367</v>
      </c>
      <c r="CH216">
        <v>120216</v>
      </c>
      <c r="CI216">
        <v>106858</v>
      </c>
      <c r="CK216">
        <v>1774</v>
      </c>
    </row>
    <row r="217" spans="1:89" x14ac:dyDescent="0.3">
      <c r="A217" s="155">
        <v>627</v>
      </c>
      <c r="B217" t="s">
        <v>962</v>
      </c>
      <c r="D217">
        <v>0</v>
      </c>
      <c r="E217">
        <v>0</v>
      </c>
      <c r="F217">
        <v>0</v>
      </c>
      <c r="G217">
        <v>0</v>
      </c>
      <c r="H217">
        <v>0</v>
      </c>
      <c r="I217">
        <v>0</v>
      </c>
      <c r="J217">
        <v>0</v>
      </c>
      <c r="K217">
        <v>0</v>
      </c>
      <c r="L217">
        <v>0</v>
      </c>
      <c r="M217">
        <v>0</v>
      </c>
      <c r="N217">
        <v>167207</v>
      </c>
      <c r="O217">
        <v>0</v>
      </c>
      <c r="P217">
        <v>0</v>
      </c>
      <c r="Q217">
        <v>0</v>
      </c>
      <c r="R217">
        <v>79116</v>
      </c>
      <c r="S217">
        <v>0</v>
      </c>
      <c r="T217">
        <v>0</v>
      </c>
      <c r="U217">
        <v>0</v>
      </c>
      <c r="V217">
        <v>0</v>
      </c>
      <c r="W217">
        <v>0</v>
      </c>
      <c r="X217">
        <v>0</v>
      </c>
      <c r="Y217">
        <v>0</v>
      </c>
      <c r="Z217">
        <v>0</v>
      </c>
      <c r="AA217">
        <v>0</v>
      </c>
      <c r="AB217">
        <v>0</v>
      </c>
      <c r="AC217">
        <v>0</v>
      </c>
      <c r="AD217">
        <v>0</v>
      </c>
      <c r="AE217">
        <v>0</v>
      </c>
      <c r="AF217">
        <v>390000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969800</v>
      </c>
      <c r="BF217">
        <v>0</v>
      </c>
      <c r="BG217">
        <v>0</v>
      </c>
      <c r="BH217">
        <v>0</v>
      </c>
      <c r="BI217">
        <v>0</v>
      </c>
      <c r="BJ217">
        <v>0</v>
      </c>
      <c r="BK217">
        <v>0</v>
      </c>
      <c r="BL217">
        <v>0</v>
      </c>
      <c r="BM217">
        <v>0</v>
      </c>
      <c r="BN217">
        <v>0</v>
      </c>
      <c r="BO217">
        <v>0</v>
      </c>
      <c r="BP217">
        <v>0</v>
      </c>
      <c r="BQ217">
        <v>0</v>
      </c>
      <c r="BR217">
        <v>0</v>
      </c>
      <c r="BS217">
        <v>0</v>
      </c>
      <c r="BU217">
        <v>0</v>
      </c>
      <c r="BV217">
        <v>0</v>
      </c>
      <c r="BW217">
        <v>0</v>
      </c>
      <c r="BX217">
        <v>0</v>
      </c>
      <c r="BY217">
        <v>0</v>
      </c>
      <c r="BZ217">
        <v>0</v>
      </c>
      <c r="CA217">
        <v>0</v>
      </c>
      <c r="CB217">
        <v>0</v>
      </c>
      <c r="CC217">
        <v>0</v>
      </c>
      <c r="CD217">
        <v>62100</v>
      </c>
      <c r="CE217">
        <v>0</v>
      </c>
      <c r="CF217">
        <v>0</v>
      </c>
      <c r="CG217">
        <v>0</v>
      </c>
      <c r="CH217">
        <v>0</v>
      </c>
      <c r="CI217">
        <v>0</v>
      </c>
      <c r="CK217">
        <v>0</v>
      </c>
    </row>
    <row r="218" spans="1:89" x14ac:dyDescent="0.3">
      <c r="A218" s="155">
        <v>628</v>
      </c>
      <c r="B218" t="s">
        <v>963</v>
      </c>
      <c r="D218">
        <v>0</v>
      </c>
      <c r="E218">
        <v>16500</v>
      </c>
      <c r="F218">
        <v>0</v>
      </c>
      <c r="G218">
        <v>109</v>
      </c>
      <c r="H218">
        <v>1000</v>
      </c>
      <c r="I218">
        <v>0</v>
      </c>
      <c r="J218">
        <v>0</v>
      </c>
      <c r="K218">
        <v>0</v>
      </c>
      <c r="L218">
        <v>0</v>
      </c>
      <c r="M218">
        <v>486691</v>
      </c>
      <c r="N218">
        <v>17000</v>
      </c>
      <c r="O218">
        <v>3985872</v>
      </c>
      <c r="P218">
        <v>0</v>
      </c>
      <c r="Q218">
        <v>592</v>
      </c>
      <c r="R218">
        <v>5397</v>
      </c>
      <c r="S218">
        <v>6046</v>
      </c>
      <c r="T218">
        <v>0</v>
      </c>
      <c r="U218">
        <v>0</v>
      </c>
      <c r="V218">
        <v>0</v>
      </c>
      <c r="W218">
        <v>0</v>
      </c>
      <c r="X218">
        <v>2241745</v>
      </c>
      <c r="Y218">
        <v>27785000</v>
      </c>
      <c r="Z218">
        <v>176508</v>
      </c>
      <c r="AA218">
        <v>0</v>
      </c>
      <c r="AB218">
        <v>53968</v>
      </c>
      <c r="AC218">
        <v>0</v>
      </c>
      <c r="AD218">
        <v>71032</v>
      </c>
      <c r="AE218">
        <v>6116</v>
      </c>
      <c r="AF218">
        <v>374808</v>
      </c>
      <c r="AG218">
        <v>0</v>
      </c>
      <c r="AH218">
        <v>0</v>
      </c>
      <c r="AI218">
        <v>211000</v>
      </c>
      <c r="AJ218">
        <v>5268</v>
      </c>
      <c r="AK218">
        <v>22850</v>
      </c>
      <c r="AL218">
        <v>945</v>
      </c>
      <c r="AM218">
        <v>0</v>
      </c>
      <c r="AN218">
        <v>2703</v>
      </c>
      <c r="AO218">
        <v>13150</v>
      </c>
      <c r="AP218">
        <v>0</v>
      </c>
      <c r="AQ218">
        <v>2925115</v>
      </c>
      <c r="AR218">
        <v>0</v>
      </c>
      <c r="AS218">
        <v>0</v>
      </c>
      <c r="AT218">
        <v>190636</v>
      </c>
      <c r="AU218">
        <v>9557</v>
      </c>
      <c r="AV218">
        <v>0</v>
      </c>
      <c r="AW218">
        <v>754950</v>
      </c>
      <c r="AX218">
        <v>0</v>
      </c>
      <c r="AY218">
        <v>18928</v>
      </c>
      <c r="AZ218">
        <v>32659</v>
      </c>
      <c r="BA218">
        <v>2028</v>
      </c>
      <c r="BB218">
        <v>0</v>
      </c>
      <c r="BC218">
        <v>0</v>
      </c>
      <c r="BD218">
        <v>0</v>
      </c>
      <c r="BE218">
        <v>387876</v>
      </c>
      <c r="BF218">
        <v>28451</v>
      </c>
      <c r="BG218">
        <v>0</v>
      </c>
      <c r="BH218">
        <v>567</v>
      </c>
      <c r="BI218">
        <v>40128</v>
      </c>
      <c r="BJ218">
        <v>0</v>
      </c>
      <c r="BK218">
        <v>0</v>
      </c>
      <c r="BL218">
        <v>5000</v>
      </c>
      <c r="BM218">
        <v>0</v>
      </c>
      <c r="BN218">
        <v>0</v>
      </c>
      <c r="BO218">
        <v>381989</v>
      </c>
      <c r="BP218">
        <v>5864581</v>
      </c>
      <c r="BQ218">
        <v>0</v>
      </c>
      <c r="BR218">
        <v>0</v>
      </c>
      <c r="BS218">
        <v>5422</v>
      </c>
      <c r="BU218">
        <v>0</v>
      </c>
      <c r="BV218">
        <v>975</v>
      </c>
      <c r="BW218">
        <v>0</v>
      </c>
      <c r="BX218">
        <v>85000</v>
      </c>
      <c r="BY218">
        <v>298070</v>
      </c>
      <c r="BZ218">
        <v>95519</v>
      </c>
      <c r="CA218">
        <v>1500</v>
      </c>
      <c r="CB218">
        <v>122975</v>
      </c>
      <c r="CC218">
        <v>0</v>
      </c>
      <c r="CD218">
        <v>8857</v>
      </c>
      <c r="CE218">
        <v>0</v>
      </c>
      <c r="CF218">
        <v>0</v>
      </c>
      <c r="CG218">
        <v>60000</v>
      </c>
      <c r="CH218">
        <v>43777</v>
      </c>
      <c r="CI218">
        <v>38068</v>
      </c>
      <c r="CK218">
        <v>0</v>
      </c>
    </row>
    <row r="219" spans="1:89" x14ac:dyDescent="0.3">
      <c r="A219" s="155">
        <v>629</v>
      </c>
      <c r="B219" t="s">
        <v>964</v>
      </c>
      <c r="D219">
        <v>0</v>
      </c>
      <c r="E219">
        <v>0</v>
      </c>
      <c r="F219">
        <v>0</v>
      </c>
      <c r="G219">
        <v>0</v>
      </c>
      <c r="H219">
        <v>0</v>
      </c>
      <c r="I219">
        <v>0</v>
      </c>
      <c r="J219">
        <v>0</v>
      </c>
      <c r="K219">
        <v>0</v>
      </c>
      <c r="L219">
        <v>0</v>
      </c>
      <c r="M219">
        <v>74101</v>
      </c>
      <c r="N219">
        <v>0</v>
      </c>
      <c r="O219">
        <v>0</v>
      </c>
      <c r="P219">
        <v>0</v>
      </c>
      <c r="Q219">
        <v>0</v>
      </c>
      <c r="R219">
        <v>0</v>
      </c>
      <c r="S219">
        <v>10592</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U219">
        <v>0</v>
      </c>
      <c r="BV219">
        <v>0</v>
      </c>
      <c r="BW219">
        <v>0</v>
      </c>
      <c r="BX219">
        <v>0</v>
      </c>
      <c r="BY219">
        <v>0</v>
      </c>
      <c r="BZ219">
        <v>0</v>
      </c>
      <c r="CA219">
        <v>0</v>
      </c>
      <c r="CB219">
        <v>0</v>
      </c>
      <c r="CC219">
        <v>0</v>
      </c>
      <c r="CD219">
        <v>0</v>
      </c>
      <c r="CE219">
        <v>0</v>
      </c>
      <c r="CF219">
        <v>0</v>
      </c>
      <c r="CG219">
        <v>0</v>
      </c>
      <c r="CH219">
        <v>0</v>
      </c>
      <c r="CI219">
        <v>0</v>
      </c>
      <c r="CK219">
        <v>0</v>
      </c>
    </row>
    <row r="220" spans="1:89" x14ac:dyDescent="0.3">
      <c r="A220" s="155">
        <v>630</v>
      </c>
      <c r="B220" t="s">
        <v>965</v>
      </c>
      <c r="D220">
        <v>0</v>
      </c>
      <c r="E220">
        <v>235659</v>
      </c>
      <c r="F220">
        <v>0</v>
      </c>
      <c r="G220">
        <v>0</v>
      </c>
      <c r="H220">
        <v>0</v>
      </c>
      <c r="I220">
        <v>29932</v>
      </c>
      <c r="J220">
        <v>0</v>
      </c>
      <c r="K220">
        <v>0</v>
      </c>
      <c r="L220">
        <v>0</v>
      </c>
      <c r="M220">
        <v>41785</v>
      </c>
      <c r="N220">
        <v>0</v>
      </c>
      <c r="O220">
        <v>68000</v>
      </c>
      <c r="P220">
        <v>0</v>
      </c>
      <c r="Q220">
        <v>0</v>
      </c>
      <c r="R220">
        <v>0</v>
      </c>
      <c r="S220">
        <v>1000</v>
      </c>
      <c r="T220">
        <v>0</v>
      </c>
      <c r="U220">
        <v>0</v>
      </c>
      <c r="V220">
        <v>0</v>
      </c>
      <c r="W220">
        <v>0</v>
      </c>
      <c r="X220">
        <v>1670150</v>
      </c>
      <c r="Y220">
        <v>12181000</v>
      </c>
      <c r="Z220">
        <v>0</v>
      </c>
      <c r="AA220">
        <v>0</v>
      </c>
      <c r="AB220">
        <v>197770</v>
      </c>
      <c r="AC220">
        <v>0</v>
      </c>
      <c r="AD220">
        <v>0</v>
      </c>
      <c r="AE220">
        <v>0</v>
      </c>
      <c r="AF220">
        <v>0</v>
      </c>
      <c r="AG220">
        <v>0</v>
      </c>
      <c r="AH220">
        <v>3568</v>
      </c>
      <c r="AI220">
        <v>0</v>
      </c>
      <c r="AJ220">
        <v>0</v>
      </c>
      <c r="AK220">
        <v>0</v>
      </c>
      <c r="AL220">
        <v>0</v>
      </c>
      <c r="AM220">
        <v>0</v>
      </c>
      <c r="AN220">
        <v>0</v>
      </c>
      <c r="AO220">
        <v>0</v>
      </c>
      <c r="AP220">
        <v>0</v>
      </c>
      <c r="AQ220">
        <v>3792482</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6880</v>
      </c>
      <c r="BL220">
        <v>0</v>
      </c>
      <c r="BM220">
        <v>0</v>
      </c>
      <c r="BN220">
        <v>0</v>
      </c>
      <c r="BO220">
        <v>0</v>
      </c>
      <c r="BP220">
        <v>0</v>
      </c>
      <c r="BQ220">
        <v>0</v>
      </c>
      <c r="BR220">
        <v>0</v>
      </c>
      <c r="BS220">
        <v>0</v>
      </c>
      <c r="BU220">
        <v>0</v>
      </c>
      <c r="BV220">
        <v>0</v>
      </c>
      <c r="BW220">
        <v>0</v>
      </c>
      <c r="BX220">
        <v>0</v>
      </c>
      <c r="BY220">
        <v>0</v>
      </c>
      <c r="BZ220">
        <v>0</v>
      </c>
      <c r="CA220">
        <v>0</v>
      </c>
      <c r="CB220">
        <v>460</v>
      </c>
      <c r="CC220">
        <v>0</v>
      </c>
      <c r="CD220">
        <v>0</v>
      </c>
      <c r="CE220">
        <v>0</v>
      </c>
      <c r="CF220">
        <v>0</v>
      </c>
      <c r="CG220">
        <v>0</v>
      </c>
      <c r="CH220">
        <v>0</v>
      </c>
      <c r="CI220">
        <v>0</v>
      </c>
      <c r="CK220">
        <v>0</v>
      </c>
    </row>
    <row r="221" spans="1:89" x14ac:dyDescent="0.3">
      <c r="A221" s="155">
        <v>631</v>
      </c>
      <c r="B221" t="s">
        <v>966</v>
      </c>
      <c r="D221">
        <v>0</v>
      </c>
      <c r="E221">
        <v>0</v>
      </c>
      <c r="F221">
        <v>0</v>
      </c>
      <c r="G221">
        <v>0</v>
      </c>
      <c r="H221">
        <v>0</v>
      </c>
      <c r="I221">
        <v>0</v>
      </c>
      <c r="J221">
        <v>0</v>
      </c>
      <c r="K221">
        <v>0</v>
      </c>
      <c r="L221">
        <v>0</v>
      </c>
      <c r="M221">
        <v>346390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90046</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U221">
        <v>0</v>
      </c>
      <c r="BV221">
        <v>0</v>
      </c>
      <c r="BW221">
        <v>0</v>
      </c>
      <c r="BX221">
        <v>0</v>
      </c>
      <c r="BY221">
        <v>0</v>
      </c>
      <c r="BZ221">
        <v>0</v>
      </c>
      <c r="CA221">
        <v>0</v>
      </c>
      <c r="CB221">
        <v>0</v>
      </c>
      <c r="CC221">
        <v>0</v>
      </c>
      <c r="CD221">
        <v>0</v>
      </c>
      <c r="CE221">
        <v>0</v>
      </c>
      <c r="CF221">
        <v>0</v>
      </c>
      <c r="CG221">
        <v>0</v>
      </c>
      <c r="CH221">
        <v>0</v>
      </c>
      <c r="CI221">
        <v>0</v>
      </c>
      <c r="CK221">
        <v>0</v>
      </c>
    </row>
    <row r="222" spans="1:89" x14ac:dyDescent="0.3">
      <c r="A222" s="155">
        <v>632</v>
      </c>
      <c r="B222" t="s">
        <v>967</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U222">
        <v>0</v>
      </c>
      <c r="BV222">
        <v>0</v>
      </c>
      <c r="BW222">
        <v>0</v>
      </c>
      <c r="BX222">
        <v>0</v>
      </c>
      <c r="BY222">
        <v>0</v>
      </c>
      <c r="BZ222">
        <v>0</v>
      </c>
      <c r="CA222">
        <v>0</v>
      </c>
      <c r="CB222">
        <v>0</v>
      </c>
      <c r="CC222">
        <v>0</v>
      </c>
      <c r="CD222">
        <v>0</v>
      </c>
      <c r="CE222">
        <v>0</v>
      </c>
      <c r="CF222">
        <v>0</v>
      </c>
      <c r="CG222">
        <v>0</v>
      </c>
      <c r="CH222">
        <v>0</v>
      </c>
      <c r="CI222">
        <v>0</v>
      </c>
      <c r="CK222">
        <v>0</v>
      </c>
    </row>
    <row r="223" spans="1:89" x14ac:dyDescent="0.3">
      <c r="A223" s="155">
        <v>633</v>
      </c>
      <c r="B223" t="s">
        <v>373</v>
      </c>
      <c r="D223">
        <v>11630</v>
      </c>
      <c r="E223">
        <v>0</v>
      </c>
      <c r="F223">
        <v>11534</v>
      </c>
      <c r="G223">
        <v>66811</v>
      </c>
      <c r="H223">
        <v>83906</v>
      </c>
      <c r="I223">
        <v>412539</v>
      </c>
      <c r="J223">
        <v>0</v>
      </c>
      <c r="K223">
        <v>2474922</v>
      </c>
      <c r="L223">
        <v>0</v>
      </c>
      <c r="M223">
        <v>0</v>
      </c>
      <c r="N223">
        <v>619742</v>
      </c>
      <c r="O223">
        <v>20558972</v>
      </c>
      <c r="P223">
        <v>0</v>
      </c>
      <c r="Q223">
        <v>0</v>
      </c>
      <c r="R223">
        <v>0</v>
      </c>
      <c r="S223">
        <v>0</v>
      </c>
      <c r="T223">
        <v>0</v>
      </c>
      <c r="U223">
        <v>0</v>
      </c>
      <c r="V223">
        <v>8135</v>
      </c>
      <c r="W223">
        <v>225242</v>
      </c>
      <c r="X223">
        <v>0</v>
      </c>
      <c r="Y223">
        <v>191725000</v>
      </c>
      <c r="Z223">
        <v>310055</v>
      </c>
      <c r="AA223">
        <v>0</v>
      </c>
      <c r="AB223">
        <v>0</v>
      </c>
      <c r="AC223">
        <v>267851</v>
      </c>
      <c r="AD223">
        <v>161339</v>
      </c>
      <c r="AE223">
        <v>53305</v>
      </c>
      <c r="AF223">
        <v>4030130</v>
      </c>
      <c r="AG223">
        <v>0</v>
      </c>
      <c r="AH223">
        <v>56062</v>
      </c>
      <c r="AI223">
        <v>911537</v>
      </c>
      <c r="AJ223">
        <v>143548</v>
      </c>
      <c r="AK223">
        <v>117184</v>
      </c>
      <c r="AL223">
        <v>89453</v>
      </c>
      <c r="AM223">
        <v>7</v>
      </c>
      <c r="AN223">
        <v>899276</v>
      </c>
      <c r="AO223">
        <v>2984049</v>
      </c>
      <c r="AP223">
        <v>0</v>
      </c>
      <c r="AQ223">
        <v>5364410</v>
      </c>
      <c r="AR223">
        <v>0</v>
      </c>
      <c r="AS223">
        <v>0</v>
      </c>
      <c r="AT223">
        <v>800177</v>
      </c>
      <c r="AU223">
        <v>116399</v>
      </c>
      <c r="AV223">
        <v>0</v>
      </c>
      <c r="AW223">
        <v>0</v>
      </c>
      <c r="AX223">
        <v>105883</v>
      </c>
      <c r="AY223">
        <v>0</v>
      </c>
      <c r="AZ223">
        <v>0</v>
      </c>
      <c r="BA223">
        <v>55327</v>
      </c>
      <c r="BB223">
        <v>4250</v>
      </c>
      <c r="BC223">
        <v>311081</v>
      </c>
      <c r="BD223">
        <v>0</v>
      </c>
      <c r="BE223">
        <v>0</v>
      </c>
      <c r="BF223">
        <v>324642</v>
      </c>
      <c r="BG223">
        <v>0</v>
      </c>
      <c r="BH223">
        <v>0</v>
      </c>
      <c r="BI223">
        <v>218943</v>
      </c>
      <c r="BJ223">
        <v>0</v>
      </c>
      <c r="BK223">
        <v>174289</v>
      </c>
      <c r="BL223">
        <v>56520</v>
      </c>
      <c r="BM223">
        <v>96690</v>
      </c>
      <c r="BN223">
        <v>0</v>
      </c>
      <c r="BO223">
        <v>1354336</v>
      </c>
      <c r="BP223">
        <v>30787194</v>
      </c>
      <c r="BQ223">
        <v>0</v>
      </c>
      <c r="BR223">
        <v>70172</v>
      </c>
      <c r="BS223">
        <v>25796</v>
      </c>
      <c r="BU223">
        <v>70845</v>
      </c>
      <c r="BV223">
        <v>0</v>
      </c>
      <c r="BW223">
        <v>4307466</v>
      </c>
      <c r="BX223">
        <v>190584</v>
      </c>
      <c r="BY223">
        <v>3104279</v>
      </c>
      <c r="BZ223">
        <v>322757</v>
      </c>
      <c r="CA223">
        <v>28884</v>
      </c>
      <c r="CB223">
        <v>327766</v>
      </c>
      <c r="CC223">
        <v>72464</v>
      </c>
      <c r="CD223">
        <v>100787</v>
      </c>
      <c r="CE223">
        <v>552395</v>
      </c>
      <c r="CF223">
        <v>354439</v>
      </c>
      <c r="CG223">
        <v>0</v>
      </c>
      <c r="CH223">
        <v>162101</v>
      </c>
      <c r="CI223">
        <v>0</v>
      </c>
      <c r="CK223">
        <v>19762</v>
      </c>
    </row>
    <row r="224" spans="1:89" x14ac:dyDescent="0.3">
      <c r="A224" s="155">
        <v>634</v>
      </c>
      <c r="B224" t="s">
        <v>374</v>
      </c>
      <c r="D224">
        <v>0</v>
      </c>
      <c r="E224">
        <v>0</v>
      </c>
      <c r="F224">
        <v>0</v>
      </c>
      <c r="G224">
        <v>0</v>
      </c>
      <c r="H224">
        <v>0</v>
      </c>
      <c r="I224">
        <v>0</v>
      </c>
      <c r="J224">
        <v>0</v>
      </c>
      <c r="K224">
        <v>0</v>
      </c>
      <c r="L224">
        <v>0</v>
      </c>
      <c r="M224">
        <v>0</v>
      </c>
      <c r="N224">
        <v>108594</v>
      </c>
      <c r="O224">
        <v>0</v>
      </c>
      <c r="P224">
        <v>0</v>
      </c>
      <c r="Q224">
        <v>0</v>
      </c>
      <c r="R224">
        <v>0</v>
      </c>
      <c r="S224">
        <v>0</v>
      </c>
      <c r="T224">
        <v>0</v>
      </c>
      <c r="U224">
        <v>0</v>
      </c>
      <c r="V224">
        <v>0</v>
      </c>
      <c r="W224">
        <v>0</v>
      </c>
      <c r="X224">
        <v>0</v>
      </c>
      <c r="Y224">
        <v>0</v>
      </c>
      <c r="Z224">
        <v>0</v>
      </c>
      <c r="AA224">
        <v>0</v>
      </c>
      <c r="AB224">
        <v>0</v>
      </c>
      <c r="AC224">
        <v>0</v>
      </c>
      <c r="AD224">
        <v>0</v>
      </c>
      <c r="AE224">
        <v>0</v>
      </c>
      <c r="AF224">
        <v>529000</v>
      </c>
      <c r="AG224">
        <v>0</v>
      </c>
      <c r="AH224">
        <v>0</v>
      </c>
      <c r="AI224">
        <v>96000</v>
      </c>
      <c r="AJ224">
        <v>0</v>
      </c>
      <c r="AK224">
        <v>0</v>
      </c>
      <c r="AL224">
        <v>0</v>
      </c>
      <c r="AM224">
        <v>0</v>
      </c>
      <c r="AN224">
        <v>0</v>
      </c>
      <c r="AO224">
        <v>2138000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149000</v>
      </c>
      <c r="BP224">
        <v>0</v>
      </c>
      <c r="BQ224">
        <v>0</v>
      </c>
      <c r="BR224">
        <v>0</v>
      </c>
      <c r="BS224">
        <v>0</v>
      </c>
      <c r="BU224">
        <v>0</v>
      </c>
      <c r="BV224">
        <v>0</v>
      </c>
      <c r="BW224">
        <v>0</v>
      </c>
      <c r="BX224">
        <v>55103</v>
      </c>
      <c r="BY224">
        <v>0</v>
      </c>
      <c r="BZ224">
        <v>0</v>
      </c>
      <c r="CA224">
        <v>0</v>
      </c>
      <c r="CB224">
        <v>0</v>
      </c>
      <c r="CC224">
        <v>0</v>
      </c>
      <c r="CD224">
        <v>35000</v>
      </c>
      <c r="CE224">
        <v>0</v>
      </c>
      <c r="CF224">
        <v>0</v>
      </c>
      <c r="CG224">
        <v>0</v>
      </c>
      <c r="CH224">
        <v>0</v>
      </c>
      <c r="CI224">
        <v>0</v>
      </c>
      <c r="CK224">
        <v>0</v>
      </c>
    </row>
    <row r="225" spans="1:89" x14ac:dyDescent="0.3">
      <c r="A225" s="155">
        <v>635</v>
      </c>
      <c r="B225" t="s">
        <v>375</v>
      </c>
      <c r="D225">
        <v>0</v>
      </c>
      <c r="E225">
        <v>0</v>
      </c>
      <c r="F225">
        <v>0</v>
      </c>
      <c r="G225">
        <v>36</v>
      </c>
      <c r="H225">
        <v>1000</v>
      </c>
      <c r="I225">
        <v>44517</v>
      </c>
      <c r="J225">
        <v>0</v>
      </c>
      <c r="K225">
        <v>0</v>
      </c>
      <c r="L225">
        <v>0</v>
      </c>
      <c r="M225">
        <v>0</v>
      </c>
      <c r="N225">
        <v>1000</v>
      </c>
      <c r="O225">
        <v>903163</v>
      </c>
      <c r="P225">
        <v>0</v>
      </c>
      <c r="Q225">
        <v>0</v>
      </c>
      <c r="R225">
        <v>0</v>
      </c>
      <c r="S225">
        <v>0</v>
      </c>
      <c r="T225">
        <v>0</v>
      </c>
      <c r="U225">
        <v>0</v>
      </c>
      <c r="V225">
        <v>0</v>
      </c>
      <c r="W225">
        <v>0</v>
      </c>
      <c r="X225">
        <v>0</v>
      </c>
      <c r="Y225">
        <v>2928000</v>
      </c>
      <c r="Z225">
        <v>43900</v>
      </c>
      <c r="AA225">
        <v>0</v>
      </c>
      <c r="AB225">
        <v>0</v>
      </c>
      <c r="AC225">
        <v>0</v>
      </c>
      <c r="AD225">
        <v>10060</v>
      </c>
      <c r="AE225">
        <v>3552</v>
      </c>
      <c r="AF225">
        <v>37277</v>
      </c>
      <c r="AG225">
        <v>0</v>
      </c>
      <c r="AH225">
        <v>0</v>
      </c>
      <c r="AI225">
        <v>59000</v>
      </c>
      <c r="AJ225">
        <v>4939</v>
      </c>
      <c r="AK225">
        <v>6347</v>
      </c>
      <c r="AL225">
        <v>0</v>
      </c>
      <c r="AM225">
        <v>0</v>
      </c>
      <c r="AN225">
        <v>1302</v>
      </c>
      <c r="AO225">
        <v>5728</v>
      </c>
      <c r="AP225">
        <v>0</v>
      </c>
      <c r="AQ225">
        <v>310926</v>
      </c>
      <c r="AR225">
        <v>0</v>
      </c>
      <c r="AS225">
        <v>0</v>
      </c>
      <c r="AT225">
        <v>27058</v>
      </c>
      <c r="AU225">
        <v>0</v>
      </c>
      <c r="AV225">
        <v>0</v>
      </c>
      <c r="AW225">
        <v>0</v>
      </c>
      <c r="AX225">
        <v>0</v>
      </c>
      <c r="AY225">
        <v>0</v>
      </c>
      <c r="AZ225">
        <v>0</v>
      </c>
      <c r="BA225">
        <v>7418</v>
      </c>
      <c r="BB225">
        <v>0</v>
      </c>
      <c r="BC225">
        <v>0</v>
      </c>
      <c r="BD225">
        <v>0</v>
      </c>
      <c r="BE225">
        <v>0</v>
      </c>
      <c r="BF225">
        <v>24143</v>
      </c>
      <c r="BG225">
        <v>0</v>
      </c>
      <c r="BH225">
        <v>0</v>
      </c>
      <c r="BI225">
        <v>67082</v>
      </c>
      <c r="BJ225">
        <v>0</v>
      </c>
      <c r="BK225">
        <v>0</v>
      </c>
      <c r="BL225">
        <v>2000</v>
      </c>
      <c r="BM225">
        <v>0</v>
      </c>
      <c r="BN225">
        <v>0</v>
      </c>
      <c r="BO225">
        <v>50000</v>
      </c>
      <c r="BP225">
        <v>1036920</v>
      </c>
      <c r="BQ225">
        <v>0</v>
      </c>
      <c r="BR225">
        <v>0</v>
      </c>
      <c r="BS225">
        <v>2702</v>
      </c>
      <c r="BU225">
        <v>0</v>
      </c>
      <c r="BV225">
        <v>0</v>
      </c>
      <c r="BW225">
        <v>0</v>
      </c>
      <c r="BX225">
        <v>15281</v>
      </c>
      <c r="BY225">
        <v>39773</v>
      </c>
      <c r="BZ225">
        <v>8454</v>
      </c>
      <c r="CA225">
        <v>3000</v>
      </c>
      <c r="CB225">
        <v>9795</v>
      </c>
      <c r="CC225">
        <v>0</v>
      </c>
      <c r="CD225">
        <v>3429</v>
      </c>
      <c r="CE225">
        <v>0</v>
      </c>
      <c r="CF225">
        <v>28901</v>
      </c>
      <c r="CG225">
        <v>0</v>
      </c>
      <c r="CH225">
        <v>7819</v>
      </c>
      <c r="CI225">
        <v>0</v>
      </c>
      <c r="CK225">
        <v>0</v>
      </c>
    </row>
    <row r="226" spans="1:89" x14ac:dyDescent="0.3">
      <c r="A226" s="155">
        <v>636</v>
      </c>
      <c r="B226" t="s">
        <v>1710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U226">
        <v>0</v>
      </c>
      <c r="BV226">
        <v>0</v>
      </c>
      <c r="BW226">
        <v>0</v>
      </c>
      <c r="BX226">
        <v>0</v>
      </c>
      <c r="BY226">
        <v>0</v>
      </c>
      <c r="BZ226">
        <v>0</v>
      </c>
      <c r="CA226">
        <v>0</v>
      </c>
      <c r="CB226">
        <v>0</v>
      </c>
      <c r="CC226">
        <v>0</v>
      </c>
      <c r="CD226">
        <v>0</v>
      </c>
      <c r="CE226">
        <v>0</v>
      </c>
      <c r="CF226">
        <v>0</v>
      </c>
      <c r="CG226">
        <v>0</v>
      </c>
      <c r="CH226">
        <v>0</v>
      </c>
      <c r="CI226">
        <v>0</v>
      </c>
      <c r="CK226">
        <v>0</v>
      </c>
    </row>
    <row r="227" spans="1:89" x14ac:dyDescent="0.3">
      <c r="A227" s="155">
        <v>637</v>
      </c>
      <c r="B227" t="s">
        <v>1711</v>
      </c>
      <c r="D227">
        <v>0</v>
      </c>
      <c r="E227">
        <v>0</v>
      </c>
      <c r="F227">
        <v>0</v>
      </c>
      <c r="G227">
        <v>4014</v>
      </c>
      <c r="H227">
        <v>2389</v>
      </c>
      <c r="I227">
        <v>6335</v>
      </c>
      <c r="J227">
        <v>0</v>
      </c>
      <c r="K227">
        <v>104591</v>
      </c>
      <c r="L227">
        <v>0</v>
      </c>
      <c r="M227">
        <v>0</v>
      </c>
      <c r="N227">
        <v>30495</v>
      </c>
      <c r="O227">
        <v>0</v>
      </c>
      <c r="P227">
        <v>0</v>
      </c>
      <c r="Q227">
        <v>0</v>
      </c>
      <c r="R227">
        <v>0</v>
      </c>
      <c r="S227">
        <v>0</v>
      </c>
      <c r="T227">
        <v>0</v>
      </c>
      <c r="U227">
        <v>0</v>
      </c>
      <c r="V227">
        <v>0</v>
      </c>
      <c r="W227">
        <v>0</v>
      </c>
      <c r="X227">
        <v>0</v>
      </c>
      <c r="Y227">
        <v>204000</v>
      </c>
      <c r="Z227">
        <v>76297</v>
      </c>
      <c r="AA227">
        <v>0</v>
      </c>
      <c r="AB227">
        <v>0</v>
      </c>
      <c r="AC227">
        <v>0</v>
      </c>
      <c r="AD227">
        <v>39284</v>
      </c>
      <c r="AE227">
        <v>3833</v>
      </c>
      <c r="AF227">
        <v>0</v>
      </c>
      <c r="AG227">
        <v>0</v>
      </c>
      <c r="AH227">
        <v>12450</v>
      </c>
      <c r="AI227">
        <v>116302</v>
      </c>
      <c r="AJ227">
        <v>42000</v>
      </c>
      <c r="AK227">
        <v>62051</v>
      </c>
      <c r="AL227">
        <v>1850</v>
      </c>
      <c r="AM227">
        <v>0</v>
      </c>
      <c r="AN227">
        <v>807739</v>
      </c>
      <c r="AO227">
        <v>111462</v>
      </c>
      <c r="AP227">
        <v>0</v>
      </c>
      <c r="AQ227">
        <v>0</v>
      </c>
      <c r="AR227">
        <v>0</v>
      </c>
      <c r="AS227">
        <v>0</v>
      </c>
      <c r="AT227">
        <v>0</v>
      </c>
      <c r="AU227">
        <v>0</v>
      </c>
      <c r="AV227">
        <v>0</v>
      </c>
      <c r="AW227">
        <v>0</v>
      </c>
      <c r="AX227">
        <v>0</v>
      </c>
      <c r="AY227">
        <v>0</v>
      </c>
      <c r="AZ227">
        <v>0</v>
      </c>
      <c r="BA227">
        <v>6800</v>
      </c>
      <c r="BB227">
        <v>0</v>
      </c>
      <c r="BC227">
        <v>75241</v>
      </c>
      <c r="BD227">
        <v>0</v>
      </c>
      <c r="BE227">
        <v>0</v>
      </c>
      <c r="BF227">
        <v>48950</v>
      </c>
      <c r="BG227">
        <v>0</v>
      </c>
      <c r="BH227">
        <v>0</v>
      </c>
      <c r="BI227">
        <v>24251</v>
      </c>
      <c r="BJ227">
        <v>0</v>
      </c>
      <c r="BK227">
        <v>19565</v>
      </c>
      <c r="BL227">
        <v>0</v>
      </c>
      <c r="BM227">
        <v>24335</v>
      </c>
      <c r="BN227">
        <v>0</v>
      </c>
      <c r="BO227">
        <v>0</v>
      </c>
      <c r="BP227">
        <v>0</v>
      </c>
      <c r="BQ227">
        <v>0</v>
      </c>
      <c r="BR227">
        <v>3457</v>
      </c>
      <c r="BS227">
        <v>0</v>
      </c>
      <c r="BU227">
        <v>23750</v>
      </c>
      <c r="BV227">
        <v>0</v>
      </c>
      <c r="BW227">
        <v>365420</v>
      </c>
      <c r="BX227">
        <v>0</v>
      </c>
      <c r="BY227">
        <v>18768</v>
      </c>
      <c r="BZ227">
        <v>0</v>
      </c>
      <c r="CA227">
        <v>15940</v>
      </c>
      <c r="CB227">
        <v>48463</v>
      </c>
      <c r="CC227">
        <v>62340</v>
      </c>
      <c r="CD227">
        <v>0</v>
      </c>
      <c r="CE227">
        <v>0</v>
      </c>
      <c r="CF227">
        <v>46563</v>
      </c>
      <c r="CG227">
        <v>0</v>
      </c>
      <c r="CH227">
        <v>36920</v>
      </c>
      <c r="CI227">
        <v>0</v>
      </c>
      <c r="CK227">
        <v>9881</v>
      </c>
    </row>
    <row r="228" spans="1:89" x14ac:dyDescent="0.3">
      <c r="A228" s="155">
        <v>638</v>
      </c>
      <c r="B228" t="s">
        <v>1712</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48487</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U228">
        <v>0</v>
      </c>
      <c r="BV228">
        <v>0</v>
      </c>
      <c r="BW228">
        <v>0</v>
      </c>
      <c r="BX228">
        <v>0</v>
      </c>
      <c r="BY228">
        <v>0</v>
      </c>
      <c r="BZ228">
        <v>0</v>
      </c>
      <c r="CA228">
        <v>0</v>
      </c>
      <c r="CB228">
        <v>0</v>
      </c>
      <c r="CC228">
        <v>0</v>
      </c>
      <c r="CD228">
        <v>0</v>
      </c>
      <c r="CE228">
        <v>0</v>
      </c>
      <c r="CF228">
        <v>0</v>
      </c>
      <c r="CG228">
        <v>0</v>
      </c>
      <c r="CH228">
        <v>0</v>
      </c>
      <c r="CI228">
        <v>0</v>
      </c>
      <c r="CK228">
        <v>0</v>
      </c>
    </row>
    <row r="229" spans="1:89" x14ac:dyDescent="0.3">
      <c r="A229" s="155">
        <v>639</v>
      </c>
      <c r="B229" t="s">
        <v>1713</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637439</v>
      </c>
      <c r="AA229">
        <v>0</v>
      </c>
      <c r="AB229">
        <v>0</v>
      </c>
      <c r="AC229">
        <v>0</v>
      </c>
      <c r="AD229">
        <v>0</v>
      </c>
      <c r="AE229">
        <v>0</v>
      </c>
      <c r="AF229">
        <v>2633444</v>
      </c>
      <c r="AG229">
        <v>0</v>
      </c>
      <c r="AH229">
        <v>0</v>
      </c>
      <c r="AI229">
        <v>0</v>
      </c>
      <c r="AJ229">
        <v>0</v>
      </c>
      <c r="AK229">
        <v>0</v>
      </c>
      <c r="AL229">
        <v>0</v>
      </c>
      <c r="AM229">
        <v>0</v>
      </c>
      <c r="AN229">
        <v>0</v>
      </c>
      <c r="AO229">
        <v>0</v>
      </c>
      <c r="AP229">
        <v>0</v>
      </c>
      <c r="AQ229">
        <v>7234873</v>
      </c>
      <c r="AR229">
        <v>0</v>
      </c>
      <c r="AS229">
        <v>0</v>
      </c>
      <c r="AT229">
        <v>0</v>
      </c>
      <c r="AU229">
        <v>0</v>
      </c>
      <c r="AV229">
        <v>0</v>
      </c>
      <c r="AW229">
        <v>1234065</v>
      </c>
      <c r="AX229">
        <v>0</v>
      </c>
      <c r="AY229">
        <v>0</v>
      </c>
      <c r="AZ229">
        <v>0</v>
      </c>
      <c r="BA229">
        <v>0</v>
      </c>
      <c r="BB229">
        <v>0</v>
      </c>
      <c r="BC229">
        <v>280392</v>
      </c>
      <c r="BD229">
        <v>0</v>
      </c>
      <c r="BE229">
        <v>0</v>
      </c>
      <c r="BF229">
        <v>0</v>
      </c>
      <c r="BG229">
        <v>0</v>
      </c>
      <c r="BH229">
        <v>0</v>
      </c>
      <c r="BI229">
        <v>0</v>
      </c>
      <c r="BJ229">
        <v>0</v>
      </c>
      <c r="BK229">
        <v>0</v>
      </c>
      <c r="BL229">
        <v>229041</v>
      </c>
      <c r="BM229">
        <v>0</v>
      </c>
      <c r="BN229">
        <v>0</v>
      </c>
      <c r="BO229">
        <v>0</v>
      </c>
      <c r="BP229">
        <v>0</v>
      </c>
      <c r="BQ229">
        <v>0</v>
      </c>
      <c r="BR229">
        <v>0</v>
      </c>
      <c r="BS229">
        <v>0</v>
      </c>
      <c r="BU229">
        <v>0</v>
      </c>
      <c r="BV229">
        <v>0</v>
      </c>
      <c r="BW229">
        <v>0</v>
      </c>
      <c r="BX229">
        <v>1076934</v>
      </c>
      <c r="BY229">
        <v>6206154</v>
      </c>
      <c r="BZ229">
        <v>0</v>
      </c>
      <c r="CA229">
        <v>0</v>
      </c>
      <c r="CB229">
        <v>0</v>
      </c>
      <c r="CC229">
        <v>0</v>
      </c>
      <c r="CD229">
        <v>0</v>
      </c>
      <c r="CE229">
        <v>0</v>
      </c>
      <c r="CF229">
        <v>0</v>
      </c>
      <c r="CG229">
        <v>0</v>
      </c>
      <c r="CH229">
        <v>603447</v>
      </c>
      <c r="CI229">
        <v>0</v>
      </c>
      <c r="CK229">
        <v>0</v>
      </c>
    </row>
    <row r="230" spans="1:89" x14ac:dyDescent="0.3">
      <c r="A230" s="155">
        <v>640</v>
      </c>
      <c r="B230" t="s">
        <v>1714</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356667</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U230">
        <v>0</v>
      </c>
      <c r="BV230">
        <v>0</v>
      </c>
      <c r="BW230">
        <v>0</v>
      </c>
      <c r="BX230">
        <v>0</v>
      </c>
      <c r="BY230">
        <v>0</v>
      </c>
      <c r="BZ230">
        <v>0</v>
      </c>
      <c r="CA230">
        <v>0</v>
      </c>
      <c r="CB230">
        <v>0</v>
      </c>
      <c r="CC230">
        <v>0</v>
      </c>
      <c r="CD230">
        <v>0</v>
      </c>
      <c r="CE230">
        <v>0</v>
      </c>
      <c r="CF230">
        <v>0</v>
      </c>
      <c r="CG230">
        <v>0</v>
      </c>
      <c r="CH230">
        <v>0</v>
      </c>
      <c r="CI230">
        <v>0</v>
      </c>
      <c r="CK230">
        <v>0</v>
      </c>
    </row>
    <row r="231" spans="1:89" x14ac:dyDescent="0.3">
      <c r="A231" s="155">
        <v>641</v>
      </c>
      <c r="B231" t="s">
        <v>1715</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34363</v>
      </c>
      <c r="AA231">
        <v>0</v>
      </c>
      <c r="AB231">
        <v>0</v>
      </c>
      <c r="AC231">
        <v>0</v>
      </c>
      <c r="AD231">
        <v>0</v>
      </c>
      <c r="AE231">
        <v>0</v>
      </c>
      <c r="AF231">
        <v>32194</v>
      </c>
      <c r="AG231">
        <v>0</v>
      </c>
      <c r="AH231">
        <v>0</v>
      </c>
      <c r="AI231">
        <v>0</v>
      </c>
      <c r="AJ231">
        <v>0</v>
      </c>
      <c r="AK231">
        <v>0</v>
      </c>
      <c r="AL231">
        <v>0</v>
      </c>
      <c r="AM231">
        <v>0</v>
      </c>
      <c r="AN231">
        <v>0</v>
      </c>
      <c r="AO231">
        <v>0</v>
      </c>
      <c r="AP231">
        <v>0</v>
      </c>
      <c r="AQ231">
        <v>350950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4000</v>
      </c>
      <c r="BM231">
        <v>0</v>
      </c>
      <c r="BN231">
        <v>0</v>
      </c>
      <c r="BO231">
        <v>0</v>
      </c>
      <c r="BP231">
        <v>0</v>
      </c>
      <c r="BQ231">
        <v>0</v>
      </c>
      <c r="BR231">
        <v>0</v>
      </c>
      <c r="BS231">
        <v>0</v>
      </c>
      <c r="BU231">
        <v>0</v>
      </c>
      <c r="BV231">
        <v>0</v>
      </c>
      <c r="BW231">
        <v>0</v>
      </c>
      <c r="BX231">
        <v>14918</v>
      </c>
      <c r="BY231">
        <v>73439</v>
      </c>
      <c r="BZ231">
        <v>0</v>
      </c>
      <c r="CA231">
        <v>0</v>
      </c>
      <c r="CB231">
        <v>0</v>
      </c>
      <c r="CC231">
        <v>0</v>
      </c>
      <c r="CD231">
        <v>0</v>
      </c>
      <c r="CE231">
        <v>0</v>
      </c>
      <c r="CF231">
        <v>0</v>
      </c>
      <c r="CG231">
        <v>0</v>
      </c>
      <c r="CH231">
        <v>20480</v>
      </c>
      <c r="CI231">
        <v>0</v>
      </c>
      <c r="CK231">
        <v>0</v>
      </c>
    </row>
    <row r="232" spans="1:89" x14ac:dyDescent="0.3">
      <c r="A232" s="155">
        <v>642</v>
      </c>
      <c r="B232" t="s">
        <v>1716</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U232">
        <v>0</v>
      </c>
      <c r="BV232">
        <v>0</v>
      </c>
      <c r="BW232">
        <v>0</v>
      </c>
      <c r="BX232">
        <v>0</v>
      </c>
      <c r="BY232">
        <v>0</v>
      </c>
      <c r="BZ232">
        <v>0</v>
      </c>
      <c r="CA232">
        <v>0</v>
      </c>
      <c r="CB232">
        <v>0</v>
      </c>
      <c r="CC232">
        <v>0</v>
      </c>
      <c r="CD232">
        <v>0</v>
      </c>
      <c r="CE232">
        <v>0</v>
      </c>
      <c r="CF232">
        <v>0</v>
      </c>
      <c r="CG232">
        <v>0</v>
      </c>
      <c r="CH232">
        <v>0</v>
      </c>
      <c r="CI232">
        <v>0</v>
      </c>
      <c r="CK232">
        <v>0</v>
      </c>
    </row>
    <row r="233" spans="1:89" x14ac:dyDescent="0.3">
      <c r="A233" s="155">
        <v>643</v>
      </c>
      <c r="B233" t="s">
        <v>1717</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155104</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165348</v>
      </c>
      <c r="AX233">
        <v>0</v>
      </c>
      <c r="AY233">
        <v>0</v>
      </c>
      <c r="AZ233">
        <v>0</v>
      </c>
      <c r="BA233">
        <v>0</v>
      </c>
      <c r="BB233">
        <v>0</v>
      </c>
      <c r="BC233">
        <v>204402</v>
      </c>
      <c r="BD233">
        <v>0</v>
      </c>
      <c r="BE233">
        <v>0</v>
      </c>
      <c r="BF233">
        <v>0</v>
      </c>
      <c r="BG233">
        <v>0</v>
      </c>
      <c r="BH233">
        <v>0</v>
      </c>
      <c r="BI233">
        <v>0</v>
      </c>
      <c r="BJ233">
        <v>0</v>
      </c>
      <c r="BK233">
        <v>0</v>
      </c>
      <c r="BL233">
        <v>0</v>
      </c>
      <c r="BM233">
        <v>0</v>
      </c>
      <c r="BN233">
        <v>0</v>
      </c>
      <c r="BO233">
        <v>0</v>
      </c>
      <c r="BP233">
        <v>0</v>
      </c>
      <c r="BQ233">
        <v>0</v>
      </c>
      <c r="BR233">
        <v>0</v>
      </c>
      <c r="BS233">
        <v>0</v>
      </c>
      <c r="BU233">
        <v>0</v>
      </c>
      <c r="BV233">
        <v>0</v>
      </c>
      <c r="BW233">
        <v>0</v>
      </c>
      <c r="BX233">
        <v>0</v>
      </c>
      <c r="BY233">
        <v>791188</v>
      </c>
      <c r="BZ233">
        <v>0</v>
      </c>
      <c r="CA233">
        <v>0</v>
      </c>
      <c r="CB233">
        <v>0</v>
      </c>
      <c r="CC233">
        <v>0</v>
      </c>
      <c r="CD233">
        <v>0</v>
      </c>
      <c r="CE233">
        <v>0</v>
      </c>
      <c r="CF233">
        <v>0</v>
      </c>
      <c r="CG233">
        <v>0</v>
      </c>
      <c r="CH233">
        <v>89945</v>
      </c>
      <c r="CI233">
        <v>0</v>
      </c>
      <c r="CK233">
        <v>0</v>
      </c>
    </row>
    <row r="234" spans="1:89" x14ac:dyDescent="0.3">
      <c r="A234" s="155">
        <v>644</v>
      </c>
      <c r="B234" t="s">
        <v>1718</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U234">
        <v>0</v>
      </c>
      <c r="BV234">
        <v>0</v>
      </c>
      <c r="BW234">
        <v>0</v>
      </c>
      <c r="BX234">
        <v>0</v>
      </c>
      <c r="BY234">
        <v>0</v>
      </c>
      <c r="BZ234">
        <v>0</v>
      </c>
      <c r="CA234">
        <v>0</v>
      </c>
      <c r="CB234">
        <v>0</v>
      </c>
      <c r="CC234">
        <v>0</v>
      </c>
      <c r="CD234">
        <v>0</v>
      </c>
      <c r="CE234">
        <v>0</v>
      </c>
      <c r="CF234">
        <v>0</v>
      </c>
      <c r="CG234">
        <v>0</v>
      </c>
      <c r="CH234">
        <v>0</v>
      </c>
      <c r="CI234">
        <v>0</v>
      </c>
      <c r="CK234">
        <v>0</v>
      </c>
    </row>
    <row r="235" spans="1:89" x14ac:dyDescent="0.3">
      <c r="A235" s="155">
        <v>645</v>
      </c>
      <c r="B235" t="s">
        <v>386</v>
      </c>
      <c r="D235">
        <v>73009</v>
      </c>
      <c r="E235">
        <v>0</v>
      </c>
      <c r="F235">
        <v>0</v>
      </c>
      <c r="G235">
        <v>0</v>
      </c>
      <c r="H235">
        <v>0</v>
      </c>
      <c r="I235">
        <v>256511</v>
      </c>
      <c r="J235">
        <v>76157</v>
      </c>
      <c r="K235">
        <v>2300000</v>
      </c>
      <c r="L235">
        <v>159700</v>
      </c>
      <c r="M235">
        <v>3189720</v>
      </c>
      <c r="N235">
        <v>0</v>
      </c>
      <c r="O235">
        <v>27001182</v>
      </c>
      <c r="P235">
        <v>0</v>
      </c>
      <c r="Q235">
        <v>0</v>
      </c>
      <c r="R235">
        <v>0</v>
      </c>
      <c r="S235">
        <v>32728</v>
      </c>
      <c r="T235">
        <v>193753</v>
      </c>
      <c r="U235">
        <v>18131</v>
      </c>
      <c r="V235">
        <v>0</v>
      </c>
      <c r="W235">
        <v>44727</v>
      </c>
      <c r="X235">
        <v>2776452</v>
      </c>
      <c r="Y235">
        <v>0</v>
      </c>
      <c r="Z235">
        <v>0</v>
      </c>
      <c r="AA235">
        <v>201013</v>
      </c>
      <c r="AB235">
        <v>62123</v>
      </c>
      <c r="AC235">
        <v>0</v>
      </c>
      <c r="AD235">
        <v>602098</v>
      </c>
      <c r="AE235">
        <v>0</v>
      </c>
      <c r="AF235">
        <v>4068519</v>
      </c>
      <c r="AG235">
        <v>3674853</v>
      </c>
      <c r="AH235">
        <v>0</v>
      </c>
      <c r="AI235">
        <v>1404470</v>
      </c>
      <c r="AJ235">
        <v>250164</v>
      </c>
      <c r="AK235">
        <v>0</v>
      </c>
      <c r="AL235">
        <v>237732</v>
      </c>
      <c r="AM235">
        <v>0</v>
      </c>
      <c r="AN235">
        <v>0</v>
      </c>
      <c r="AO235">
        <v>22015</v>
      </c>
      <c r="AP235">
        <v>0</v>
      </c>
      <c r="AQ235">
        <v>0</v>
      </c>
      <c r="AR235">
        <v>80425</v>
      </c>
      <c r="AS235">
        <v>408484</v>
      </c>
      <c r="AT235">
        <v>483863</v>
      </c>
      <c r="AU235">
        <v>126800</v>
      </c>
      <c r="AV235">
        <v>35921</v>
      </c>
      <c r="AW235">
        <v>889140</v>
      </c>
      <c r="AX235">
        <v>0</v>
      </c>
      <c r="AY235">
        <v>500000</v>
      </c>
      <c r="AZ235">
        <v>483481</v>
      </c>
      <c r="BA235">
        <v>4501</v>
      </c>
      <c r="BB235">
        <v>3750</v>
      </c>
      <c r="BC235">
        <v>487104</v>
      </c>
      <c r="BD235">
        <v>0</v>
      </c>
      <c r="BE235">
        <v>3699266</v>
      </c>
      <c r="BF235">
        <v>0</v>
      </c>
      <c r="BG235">
        <v>0</v>
      </c>
      <c r="BH235">
        <v>1162</v>
      </c>
      <c r="BI235">
        <v>27000</v>
      </c>
      <c r="BJ235">
        <v>0</v>
      </c>
      <c r="BK235">
        <v>0</v>
      </c>
      <c r="BL235">
        <v>0</v>
      </c>
      <c r="BM235">
        <v>106560</v>
      </c>
      <c r="BN235">
        <v>0</v>
      </c>
      <c r="BO235">
        <v>350000</v>
      </c>
      <c r="BP235">
        <v>0</v>
      </c>
      <c r="BQ235">
        <v>2571</v>
      </c>
      <c r="BR235">
        <v>0</v>
      </c>
      <c r="BS235">
        <v>0</v>
      </c>
      <c r="BU235">
        <v>0</v>
      </c>
      <c r="BV235">
        <v>0</v>
      </c>
      <c r="BW235">
        <v>575000</v>
      </c>
      <c r="BX235">
        <v>0</v>
      </c>
      <c r="BY235">
        <v>4760188</v>
      </c>
      <c r="BZ235">
        <v>167569</v>
      </c>
      <c r="CA235">
        <v>28500</v>
      </c>
      <c r="CB235">
        <v>0</v>
      </c>
      <c r="CC235">
        <v>110000</v>
      </c>
      <c r="CD235">
        <v>54741</v>
      </c>
      <c r="CE235">
        <v>0</v>
      </c>
      <c r="CF235">
        <v>112194</v>
      </c>
      <c r="CG235">
        <v>0</v>
      </c>
      <c r="CH235">
        <v>129374</v>
      </c>
      <c r="CI235">
        <v>0</v>
      </c>
      <c r="CK235">
        <v>5750</v>
      </c>
    </row>
    <row r="236" spans="1:89" x14ac:dyDescent="0.3">
      <c r="A236" s="155">
        <v>646</v>
      </c>
      <c r="B236" t="s">
        <v>361</v>
      </c>
      <c r="D236">
        <v>2949061</v>
      </c>
      <c r="E236">
        <v>1658538</v>
      </c>
      <c r="F236">
        <v>712389</v>
      </c>
      <c r="G236">
        <v>531378</v>
      </c>
      <c r="H236">
        <v>665854</v>
      </c>
      <c r="I236">
        <v>2793538</v>
      </c>
      <c r="J236">
        <v>1693619</v>
      </c>
      <c r="K236">
        <v>5105686</v>
      </c>
      <c r="L236">
        <v>3107999</v>
      </c>
      <c r="M236">
        <v>11595919</v>
      </c>
      <c r="N236">
        <v>1324129</v>
      </c>
      <c r="O236">
        <v>43632881</v>
      </c>
      <c r="P236">
        <v>79873</v>
      </c>
      <c r="Q236">
        <v>211415</v>
      </c>
      <c r="R236">
        <v>360350</v>
      </c>
      <c r="S236">
        <v>844948</v>
      </c>
      <c r="T236">
        <v>1048802</v>
      </c>
      <c r="U236">
        <v>211125</v>
      </c>
      <c r="V236">
        <v>222757</v>
      </c>
      <c r="W236">
        <v>2199037</v>
      </c>
      <c r="X236">
        <v>20989439</v>
      </c>
      <c r="Y236">
        <v>120115000</v>
      </c>
      <c r="Z236">
        <v>1098859</v>
      </c>
      <c r="AA236">
        <v>159209</v>
      </c>
      <c r="AB236">
        <v>2217170</v>
      </c>
      <c r="AC236">
        <v>-374113</v>
      </c>
      <c r="AD236">
        <v>3539847</v>
      </c>
      <c r="AE236">
        <v>2168451</v>
      </c>
      <c r="AF236">
        <v>16270223</v>
      </c>
      <c r="AG236">
        <v>3521615</v>
      </c>
      <c r="AH236">
        <v>3621636</v>
      </c>
      <c r="AI236">
        <v>3950507</v>
      </c>
      <c r="AJ236">
        <v>1008079</v>
      </c>
      <c r="AK236">
        <v>1475711</v>
      </c>
      <c r="AL236">
        <v>580920</v>
      </c>
      <c r="AM236">
        <v>338734</v>
      </c>
      <c r="AN236">
        <v>976968</v>
      </c>
      <c r="AO236">
        <v>742038</v>
      </c>
      <c r="AP236">
        <v>73843</v>
      </c>
      <c r="AQ236">
        <v>54743932</v>
      </c>
      <c r="AR236">
        <v>336412</v>
      </c>
      <c r="AS236">
        <v>1516254</v>
      </c>
      <c r="AT236">
        <v>7234282</v>
      </c>
      <c r="AU236">
        <v>360880</v>
      </c>
      <c r="AV236">
        <v>917849</v>
      </c>
      <c r="AW236">
        <v>19229981</v>
      </c>
      <c r="AX236">
        <v>160031</v>
      </c>
      <c r="AY236">
        <v>2528742</v>
      </c>
      <c r="AZ236">
        <v>7883504</v>
      </c>
      <c r="BA236">
        <v>467710</v>
      </c>
      <c r="BB236">
        <v>199088</v>
      </c>
      <c r="BC236">
        <v>2643407</v>
      </c>
      <c r="BD236">
        <v>0</v>
      </c>
      <c r="BE236">
        <v>7474459</v>
      </c>
      <c r="BF236">
        <v>1381137</v>
      </c>
      <c r="BG236">
        <v>1184069</v>
      </c>
      <c r="BH236">
        <v>420132</v>
      </c>
      <c r="BI236">
        <v>1287195</v>
      </c>
      <c r="BJ236">
        <v>3038299</v>
      </c>
      <c r="BK236">
        <v>201796</v>
      </c>
      <c r="BL236">
        <v>1824413</v>
      </c>
      <c r="BM236">
        <v>597103</v>
      </c>
      <c r="BN236">
        <v>6708257</v>
      </c>
      <c r="BO236">
        <v>4201962</v>
      </c>
      <c r="BP236">
        <v>61837536</v>
      </c>
      <c r="BQ236">
        <v>62242</v>
      </c>
      <c r="BR236">
        <v>164745</v>
      </c>
      <c r="BS236">
        <v>797978</v>
      </c>
      <c r="BU236">
        <v>503062</v>
      </c>
      <c r="BV236">
        <v>5754464</v>
      </c>
      <c r="BW236">
        <v>9243232</v>
      </c>
      <c r="BX236">
        <v>3003552</v>
      </c>
      <c r="BY236">
        <v>2538188</v>
      </c>
      <c r="BZ236">
        <v>438535</v>
      </c>
      <c r="CA236">
        <v>489909</v>
      </c>
      <c r="CB236">
        <v>3349783</v>
      </c>
      <c r="CC236">
        <v>838081</v>
      </c>
      <c r="CD236">
        <v>179190</v>
      </c>
      <c r="CE236">
        <v>223136</v>
      </c>
      <c r="CF236">
        <v>7248318</v>
      </c>
      <c r="CG236">
        <v>2373307</v>
      </c>
      <c r="CH236">
        <v>119199</v>
      </c>
      <c r="CI236">
        <v>2804839</v>
      </c>
      <c r="CK236">
        <v>24407</v>
      </c>
    </row>
    <row r="237" spans="1:89" x14ac:dyDescent="0.3">
      <c r="A237" s="155">
        <v>647</v>
      </c>
      <c r="B237" t="s">
        <v>968</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183433000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19205491</v>
      </c>
      <c r="BQ237">
        <v>0</v>
      </c>
      <c r="BR237">
        <v>0</v>
      </c>
      <c r="BS237">
        <v>0</v>
      </c>
      <c r="BU237">
        <v>0</v>
      </c>
      <c r="BV237">
        <v>0</v>
      </c>
      <c r="BW237">
        <v>0</v>
      </c>
      <c r="BX237">
        <v>0</v>
      </c>
      <c r="BY237">
        <v>0</v>
      </c>
      <c r="BZ237">
        <v>0</v>
      </c>
      <c r="CA237">
        <v>0</v>
      </c>
      <c r="CB237">
        <v>0</v>
      </c>
      <c r="CC237">
        <v>0</v>
      </c>
      <c r="CD237">
        <v>0</v>
      </c>
      <c r="CE237">
        <v>0</v>
      </c>
      <c r="CF237">
        <v>0</v>
      </c>
      <c r="CG237">
        <v>0</v>
      </c>
      <c r="CH237">
        <v>0</v>
      </c>
      <c r="CI237">
        <v>0</v>
      </c>
      <c r="CK237">
        <v>0</v>
      </c>
    </row>
    <row r="238" spans="1:89" x14ac:dyDescent="0.3">
      <c r="A238" s="155">
        <v>648</v>
      </c>
      <c r="B238" t="s">
        <v>608</v>
      </c>
      <c r="D238">
        <v>0</v>
      </c>
      <c r="E238">
        <v>8.7499999999999994E-2</v>
      </c>
      <c r="F238">
        <v>0.47</v>
      </c>
      <c r="G238">
        <v>57.5</v>
      </c>
      <c r="H238">
        <v>0</v>
      </c>
      <c r="I238">
        <v>0.57999999999999996</v>
      </c>
      <c r="J238">
        <v>0.21249999999999999</v>
      </c>
      <c r="K238">
        <v>0.245</v>
      </c>
      <c r="L238">
        <v>0.1016</v>
      </c>
      <c r="M238">
        <v>0.59940000000000004</v>
      </c>
      <c r="N238">
        <v>5.0999999999999997E-2</v>
      </c>
      <c r="O238">
        <v>0</v>
      </c>
      <c r="P238">
        <v>0.05</v>
      </c>
      <c r="Q238">
        <v>0.32</v>
      </c>
      <c r="R238">
        <v>0</v>
      </c>
      <c r="S238">
        <v>0.57999999999999996</v>
      </c>
      <c r="T238">
        <v>0</v>
      </c>
      <c r="U238">
        <v>0.15</v>
      </c>
      <c r="V238">
        <v>0</v>
      </c>
      <c r="W238">
        <v>0.62</v>
      </c>
      <c r="X238">
        <v>0.54400000000000004</v>
      </c>
      <c r="Y238">
        <v>0</v>
      </c>
      <c r="Z238">
        <v>0.52</v>
      </c>
      <c r="AA238">
        <v>0.14000000000000001</v>
      </c>
      <c r="AB238">
        <v>0.54</v>
      </c>
      <c r="AC238">
        <v>0.67</v>
      </c>
      <c r="AD238">
        <v>0.49</v>
      </c>
      <c r="AE238">
        <v>0.61</v>
      </c>
      <c r="AF238">
        <v>0.57999999999999996</v>
      </c>
      <c r="AG238">
        <v>0.115</v>
      </c>
      <c r="AH238">
        <v>0.28000000000000003</v>
      </c>
      <c r="AI238">
        <v>0.4</v>
      </c>
      <c r="AJ238">
        <v>0.45</v>
      </c>
      <c r="AK238">
        <v>0.59</v>
      </c>
      <c r="AL238">
        <v>0.45</v>
      </c>
      <c r="AM238">
        <v>0.45</v>
      </c>
      <c r="AN238">
        <v>0.60099999999999998</v>
      </c>
      <c r="AO238">
        <v>0.52459999999999996</v>
      </c>
      <c r="AP238">
        <v>0.3</v>
      </c>
      <c r="AQ238">
        <v>0.48</v>
      </c>
      <c r="AR238">
        <v>0.19</v>
      </c>
      <c r="AS238">
        <v>0</v>
      </c>
      <c r="AT238">
        <v>0.5</v>
      </c>
      <c r="AU238">
        <v>0.47</v>
      </c>
      <c r="AV238">
        <v>0</v>
      </c>
      <c r="AW238">
        <v>0.222</v>
      </c>
      <c r="AX238">
        <v>0.27</v>
      </c>
      <c r="AY238">
        <v>0.47499999999999998</v>
      </c>
      <c r="AZ238">
        <v>0.61499999999999999</v>
      </c>
      <c r="BA238">
        <v>0</v>
      </c>
      <c r="BB238">
        <v>0.3</v>
      </c>
      <c r="BC238">
        <v>0.4</v>
      </c>
      <c r="BD238">
        <v>0.27</v>
      </c>
      <c r="BE238">
        <v>0.28999999999999998</v>
      </c>
      <c r="BF238">
        <v>0.6</v>
      </c>
      <c r="BG238">
        <v>0.21</v>
      </c>
      <c r="BH238">
        <v>0.6</v>
      </c>
      <c r="BI238">
        <v>0.43</v>
      </c>
      <c r="BJ238">
        <v>0</v>
      </c>
      <c r="BK238">
        <v>0.35</v>
      </c>
      <c r="BL238">
        <v>0.38</v>
      </c>
      <c r="BM238">
        <v>0.49</v>
      </c>
      <c r="BN238">
        <v>0.19639999999999999</v>
      </c>
      <c r="BO238">
        <v>0.5</v>
      </c>
      <c r="BP238">
        <v>0.53169999999999995</v>
      </c>
      <c r="BQ238">
        <v>0.18</v>
      </c>
      <c r="BR238">
        <v>0.36</v>
      </c>
      <c r="BS238">
        <v>0.5</v>
      </c>
      <c r="BU238">
        <v>0.66</v>
      </c>
      <c r="BV238">
        <v>0</v>
      </c>
      <c r="BW238">
        <v>0</v>
      </c>
      <c r="BX238">
        <v>0.38500000000000001</v>
      </c>
      <c r="BY238">
        <v>0.65500000000000003</v>
      </c>
      <c r="BZ238">
        <v>0.61499999999999999</v>
      </c>
      <c r="CA238">
        <v>0.3</v>
      </c>
      <c r="CB238">
        <v>5.4999999999999997E-3</v>
      </c>
      <c r="CC238">
        <v>0.22</v>
      </c>
      <c r="CD238">
        <v>0.7</v>
      </c>
      <c r="CE238">
        <v>0</v>
      </c>
      <c r="CF238">
        <v>0.45</v>
      </c>
      <c r="CG238">
        <v>0.155</v>
      </c>
      <c r="CH238">
        <v>0.92700000000000005</v>
      </c>
      <c r="CI238">
        <v>0</v>
      </c>
      <c r="CK238">
        <v>0.4</v>
      </c>
    </row>
    <row r="239" spans="1:89" x14ac:dyDescent="0.3">
      <c r="A239" s="155">
        <v>654</v>
      </c>
      <c r="B239" t="s">
        <v>416</v>
      </c>
      <c r="D239">
        <v>162659</v>
      </c>
      <c r="E239">
        <v>0</v>
      </c>
      <c r="F239">
        <v>1099114</v>
      </c>
      <c r="G239">
        <v>253250</v>
      </c>
      <c r="H239">
        <v>491890</v>
      </c>
      <c r="I239">
        <v>4845999</v>
      </c>
      <c r="J239">
        <v>0</v>
      </c>
      <c r="K239">
        <v>5860865</v>
      </c>
      <c r="L239">
        <v>0</v>
      </c>
      <c r="M239">
        <v>0</v>
      </c>
      <c r="N239">
        <v>1980449</v>
      </c>
      <c r="O239">
        <v>287656452</v>
      </c>
      <c r="P239">
        <v>0</v>
      </c>
      <c r="Q239">
        <v>0</v>
      </c>
      <c r="R239">
        <v>0</v>
      </c>
      <c r="S239">
        <v>0</v>
      </c>
      <c r="T239">
        <v>0</v>
      </c>
      <c r="U239">
        <v>0</v>
      </c>
      <c r="V239">
        <v>137282</v>
      </c>
      <c r="W239">
        <v>2153979</v>
      </c>
      <c r="X239">
        <v>0</v>
      </c>
      <c r="Y239">
        <v>316578000</v>
      </c>
      <c r="Z239">
        <v>7195081</v>
      </c>
      <c r="AA239">
        <v>226573</v>
      </c>
      <c r="AB239">
        <v>0</v>
      </c>
      <c r="AC239">
        <v>1136705</v>
      </c>
      <c r="AD239">
        <v>3806657</v>
      </c>
      <c r="AE239">
        <v>748419</v>
      </c>
      <c r="AF239">
        <v>22496308</v>
      </c>
      <c r="AG239">
        <v>0</v>
      </c>
      <c r="AH239">
        <v>2849453</v>
      </c>
      <c r="AI239">
        <v>6359826</v>
      </c>
      <c r="AJ239">
        <v>1201831</v>
      </c>
      <c r="AK239">
        <v>934817</v>
      </c>
      <c r="AL239">
        <v>524541</v>
      </c>
      <c r="AM239">
        <v>128174</v>
      </c>
      <c r="AN239">
        <v>3742106</v>
      </c>
      <c r="AO239">
        <v>1483269</v>
      </c>
      <c r="AP239">
        <v>0</v>
      </c>
      <c r="AQ239">
        <v>100064296</v>
      </c>
      <c r="AR239">
        <v>0</v>
      </c>
      <c r="AS239">
        <v>47917</v>
      </c>
      <c r="AT239">
        <v>8527628</v>
      </c>
      <c r="AU239">
        <v>1198112</v>
      </c>
      <c r="AV239">
        <v>0</v>
      </c>
      <c r="AW239">
        <v>0</v>
      </c>
      <c r="AX239">
        <v>154256</v>
      </c>
      <c r="AY239">
        <v>0</v>
      </c>
      <c r="AZ239">
        <v>0</v>
      </c>
      <c r="BA239">
        <v>353800</v>
      </c>
      <c r="BB239">
        <v>78879</v>
      </c>
      <c r="BC239">
        <v>2670329</v>
      </c>
      <c r="BD239">
        <v>0</v>
      </c>
      <c r="BE239">
        <v>0</v>
      </c>
      <c r="BF239">
        <v>980276</v>
      </c>
      <c r="BG239">
        <v>0</v>
      </c>
      <c r="BH239">
        <v>0</v>
      </c>
      <c r="BI239">
        <v>1410485</v>
      </c>
      <c r="BJ239">
        <v>0</v>
      </c>
      <c r="BK239">
        <v>67637</v>
      </c>
      <c r="BL239">
        <v>644794</v>
      </c>
      <c r="BM239">
        <v>404972</v>
      </c>
      <c r="BN239">
        <v>0</v>
      </c>
      <c r="BO239">
        <v>4054583</v>
      </c>
      <c r="BP239">
        <v>159323103</v>
      </c>
      <c r="BQ239">
        <v>0</v>
      </c>
      <c r="BR239">
        <v>120856</v>
      </c>
      <c r="BS239">
        <v>459647</v>
      </c>
      <c r="BU239">
        <v>348644</v>
      </c>
      <c r="BV239">
        <v>0</v>
      </c>
      <c r="BW239">
        <v>9694318</v>
      </c>
      <c r="BX239">
        <v>1135643</v>
      </c>
      <c r="BY239">
        <v>9508727</v>
      </c>
      <c r="BZ239">
        <v>2932500</v>
      </c>
      <c r="CA239">
        <v>210275</v>
      </c>
      <c r="CB239">
        <v>2418570</v>
      </c>
      <c r="CC239">
        <v>1257465</v>
      </c>
      <c r="CD239">
        <v>106649</v>
      </c>
      <c r="CE239">
        <v>412212</v>
      </c>
      <c r="CF239">
        <v>4602985</v>
      </c>
      <c r="CG239">
        <v>0</v>
      </c>
      <c r="CH239">
        <v>1022570</v>
      </c>
      <c r="CI239">
        <v>0</v>
      </c>
      <c r="CK239">
        <v>29020</v>
      </c>
    </row>
    <row r="240" spans="1:89" x14ac:dyDescent="0.3">
      <c r="A240" s="155">
        <v>655</v>
      </c>
      <c r="B240" t="s">
        <v>969</v>
      </c>
      <c r="D240">
        <v>0</v>
      </c>
      <c r="E240">
        <v>0</v>
      </c>
      <c r="F240">
        <v>27670</v>
      </c>
      <c r="G240">
        <v>4014</v>
      </c>
      <c r="H240">
        <v>2389</v>
      </c>
      <c r="I240">
        <v>6335</v>
      </c>
      <c r="J240">
        <v>0</v>
      </c>
      <c r="K240">
        <v>1544173</v>
      </c>
      <c r="L240">
        <v>0</v>
      </c>
      <c r="M240">
        <v>0</v>
      </c>
      <c r="N240">
        <v>968613</v>
      </c>
      <c r="O240">
        <v>2110147</v>
      </c>
      <c r="P240">
        <v>0</v>
      </c>
      <c r="Q240">
        <v>0</v>
      </c>
      <c r="R240">
        <v>0</v>
      </c>
      <c r="S240">
        <v>0</v>
      </c>
      <c r="T240">
        <v>0</v>
      </c>
      <c r="U240">
        <v>0</v>
      </c>
      <c r="V240">
        <v>3480</v>
      </c>
      <c r="W240">
        <v>82032</v>
      </c>
      <c r="X240">
        <v>0</v>
      </c>
      <c r="Y240">
        <v>210000</v>
      </c>
      <c r="Z240">
        <v>5872639</v>
      </c>
      <c r="AA240">
        <v>0</v>
      </c>
      <c r="AB240">
        <v>0</v>
      </c>
      <c r="AC240">
        <v>141594</v>
      </c>
      <c r="AD240">
        <v>39284</v>
      </c>
      <c r="AE240">
        <v>309888</v>
      </c>
      <c r="AF240">
        <v>8210576</v>
      </c>
      <c r="AG240">
        <v>0</v>
      </c>
      <c r="AH240">
        <v>12450</v>
      </c>
      <c r="AI240">
        <v>185400</v>
      </c>
      <c r="AJ240">
        <v>42000</v>
      </c>
      <c r="AK240">
        <v>62051</v>
      </c>
      <c r="AL240">
        <v>1850</v>
      </c>
      <c r="AM240">
        <v>0</v>
      </c>
      <c r="AN240">
        <v>1078270</v>
      </c>
      <c r="AO240">
        <v>111462</v>
      </c>
      <c r="AP240">
        <v>0</v>
      </c>
      <c r="AQ240">
        <v>0</v>
      </c>
      <c r="AR240">
        <v>0</v>
      </c>
      <c r="AS240">
        <v>0</v>
      </c>
      <c r="AT240">
        <v>0</v>
      </c>
      <c r="AU240">
        <v>0</v>
      </c>
      <c r="AV240">
        <v>0</v>
      </c>
      <c r="AW240">
        <v>0</v>
      </c>
      <c r="AX240">
        <v>17229</v>
      </c>
      <c r="AY240">
        <v>0</v>
      </c>
      <c r="AZ240">
        <v>0</v>
      </c>
      <c r="BA240">
        <v>6800</v>
      </c>
      <c r="BB240">
        <v>4250</v>
      </c>
      <c r="BC240">
        <v>75241</v>
      </c>
      <c r="BD240">
        <v>0</v>
      </c>
      <c r="BE240">
        <v>0</v>
      </c>
      <c r="BF240">
        <v>98950</v>
      </c>
      <c r="BG240">
        <v>0</v>
      </c>
      <c r="BH240">
        <v>0</v>
      </c>
      <c r="BI240">
        <v>40660</v>
      </c>
      <c r="BJ240">
        <v>0</v>
      </c>
      <c r="BK240">
        <v>19661</v>
      </c>
      <c r="BL240">
        <v>0</v>
      </c>
      <c r="BM240">
        <v>24335</v>
      </c>
      <c r="BN240">
        <v>0</v>
      </c>
      <c r="BO240">
        <v>132024</v>
      </c>
      <c r="BP240">
        <v>0</v>
      </c>
      <c r="BQ240">
        <v>0</v>
      </c>
      <c r="BR240">
        <v>3457</v>
      </c>
      <c r="BS240">
        <v>11115</v>
      </c>
      <c r="BU240">
        <v>23941</v>
      </c>
      <c r="BV240">
        <v>0</v>
      </c>
      <c r="BW240">
        <v>365420</v>
      </c>
      <c r="BX240">
        <v>0</v>
      </c>
      <c r="BY240">
        <v>998530</v>
      </c>
      <c r="BZ240">
        <v>183740</v>
      </c>
      <c r="CA240">
        <v>15940</v>
      </c>
      <c r="CB240">
        <v>48463</v>
      </c>
      <c r="CC240">
        <v>362340</v>
      </c>
      <c r="CD240">
        <v>0</v>
      </c>
      <c r="CE240">
        <v>0</v>
      </c>
      <c r="CF240">
        <v>291195</v>
      </c>
      <c r="CG240">
        <v>0</v>
      </c>
      <c r="CH240">
        <v>36920</v>
      </c>
      <c r="CI240">
        <v>0</v>
      </c>
      <c r="CK240">
        <v>9881</v>
      </c>
    </row>
    <row r="241" spans="1:89" x14ac:dyDescent="0.3">
      <c r="A241" s="155">
        <v>656</v>
      </c>
      <c r="B241" t="s">
        <v>422</v>
      </c>
      <c r="D241">
        <v>0</v>
      </c>
      <c r="E241">
        <v>2</v>
      </c>
      <c r="F241">
        <v>2</v>
      </c>
      <c r="G241">
        <v>0</v>
      </c>
      <c r="H241">
        <v>2</v>
      </c>
      <c r="I241">
        <v>2</v>
      </c>
      <c r="J241">
        <v>2</v>
      </c>
      <c r="K241">
        <v>2</v>
      </c>
      <c r="L241">
        <v>2</v>
      </c>
      <c r="M241">
        <v>2</v>
      </c>
      <c r="N241">
        <v>2</v>
      </c>
      <c r="O241">
        <v>0</v>
      </c>
      <c r="P241">
        <v>0</v>
      </c>
      <c r="Q241">
        <v>0</v>
      </c>
      <c r="R241">
        <v>0</v>
      </c>
      <c r="S241">
        <v>0</v>
      </c>
      <c r="T241">
        <v>2</v>
      </c>
      <c r="U241">
        <v>2</v>
      </c>
      <c r="V241">
        <v>0</v>
      </c>
      <c r="W241">
        <v>0</v>
      </c>
      <c r="X241">
        <v>2</v>
      </c>
      <c r="Y241">
        <v>2</v>
      </c>
      <c r="Z241">
        <v>2</v>
      </c>
      <c r="AA241">
        <v>0</v>
      </c>
      <c r="AB241">
        <v>0</v>
      </c>
      <c r="AC241">
        <v>2</v>
      </c>
      <c r="AD241">
        <v>0</v>
      </c>
      <c r="AE241">
        <v>2</v>
      </c>
      <c r="AF241">
        <v>2</v>
      </c>
      <c r="AG241">
        <v>0</v>
      </c>
      <c r="AH241">
        <v>2</v>
      </c>
      <c r="AI241">
        <v>0</v>
      </c>
      <c r="AJ241">
        <v>0</v>
      </c>
      <c r="AK241">
        <v>2</v>
      </c>
      <c r="AL241">
        <v>0</v>
      </c>
      <c r="AM241">
        <v>0</v>
      </c>
      <c r="AN241">
        <v>0</v>
      </c>
      <c r="AO241">
        <v>0</v>
      </c>
      <c r="AP241">
        <v>0</v>
      </c>
      <c r="AQ241">
        <v>2</v>
      </c>
      <c r="AR241">
        <v>2</v>
      </c>
      <c r="AS241">
        <v>2</v>
      </c>
      <c r="AT241">
        <v>0</v>
      </c>
      <c r="AU241">
        <v>0</v>
      </c>
      <c r="AV241">
        <v>0</v>
      </c>
      <c r="AW241">
        <v>2</v>
      </c>
      <c r="AX241">
        <v>0</v>
      </c>
      <c r="AY241">
        <v>2</v>
      </c>
      <c r="AZ241">
        <v>0</v>
      </c>
      <c r="BA241">
        <v>0</v>
      </c>
      <c r="BB241">
        <v>2</v>
      </c>
      <c r="BC241">
        <v>2</v>
      </c>
      <c r="BD241">
        <v>2</v>
      </c>
      <c r="BE241">
        <v>0</v>
      </c>
      <c r="BF241">
        <v>2</v>
      </c>
      <c r="BG241">
        <v>2</v>
      </c>
      <c r="BH241">
        <v>2</v>
      </c>
      <c r="BI241">
        <v>2</v>
      </c>
      <c r="BJ241">
        <v>0</v>
      </c>
      <c r="BK241">
        <v>0</v>
      </c>
      <c r="BL241">
        <v>2</v>
      </c>
      <c r="BM241">
        <v>2</v>
      </c>
      <c r="BN241">
        <v>0</v>
      </c>
      <c r="BO241">
        <v>0</v>
      </c>
      <c r="BP241">
        <v>0</v>
      </c>
      <c r="BQ241">
        <v>0</v>
      </c>
      <c r="BR241">
        <v>0</v>
      </c>
      <c r="BS241">
        <v>0</v>
      </c>
      <c r="BU241">
        <v>2</v>
      </c>
      <c r="BV241">
        <v>2</v>
      </c>
      <c r="BW241">
        <v>2</v>
      </c>
      <c r="BX241">
        <v>2</v>
      </c>
      <c r="BY241">
        <v>2</v>
      </c>
      <c r="BZ241">
        <v>0</v>
      </c>
      <c r="CA241">
        <v>2</v>
      </c>
      <c r="CB241">
        <v>2</v>
      </c>
      <c r="CC241">
        <v>0</v>
      </c>
      <c r="CD241">
        <v>2</v>
      </c>
      <c r="CE241">
        <v>2</v>
      </c>
      <c r="CF241">
        <v>2</v>
      </c>
      <c r="CG241">
        <v>2</v>
      </c>
      <c r="CH241">
        <v>0</v>
      </c>
      <c r="CI241">
        <v>0</v>
      </c>
      <c r="CK241">
        <v>0</v>
      </c>
    </row>
    <row r="242" spans="1:89" x14ac:dyDescent="0.3">
      <c r="A242" s="155">
        <v>657</v>
      </c>
      <c r="B242" t="s">
        <v>970</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4816816</v>
      </c>
      <c r="AA242">
        <v>0</v>
      </c>
      <c r="AB242">
        <v>0</v>
      </c>
      <c r="AC242">
        <v>0</v>
      </c>
      <c r="AD242">
        <v>0</v>
      </c>
      <c r="AE242">
        <v>0</v>
      </c>
      <c r="AF242">
        <v>8235400</v>
      </c>
      <c r="AG242">
        <v>0</v>
      </c>
      <c r="AH242">
        <v>0</v>
      </c>
      <c r="AI242">
        <v>0</v>
      </c>
      <c r="AJ242">
        <v>0</v>
      </c>
      <c r="AK242">
        <v>0</v>
      </c>
      <c r="AL242">
        <v>0</v>
      </c>
      <c r="AM242">
        <v>0</v>
      </c>
      <c r="AN242">
        <v>0</v>
      </c>
      <c r="AO242">
        <v>0</v>
      </c>
      <c r="AP242">
        <v>0</v>
      </c>
      <c r="AQ242">
        <v>139864990</v>
      </c>
      <c r="AR242">
        <v>0</v>
      </c>
      <c r="AS242">
        <v>0</v>
      </c>
      <c r="AT242">
        <v>0</v>
      </c>
      <c r="AU242">
        <v>0</v>
      </c>
      <c r="AV242">
        <v>0</v>
      </c>
      <c r="AW242">
        <v>6554184</v>
      </c>
      <c r="AX242">
        <v>0</v>
      </c>
      <c r="AY242">
        <v>0</v>
      </c>
      <c r="AZ242">
        <v>0</v>
      </c>
      <c r="BA242">
        <v>0</v>
      </c>
      <c r="BB242">
        <v>0</v>
      </c>
      <c r="BC242">
        <v>5324648</v>
      </c>
      <c r="BD242">
        <v>0</v>
      </c>
      <c r="BE242">
        <v>0</v>
      </c>
      <c r="BF242">
        <v>0</v>
      </c>
      <c r="BG242">
        <v>0</v>
      </c>
      <c r="BH242">
        <v>0</v>
      </c>
      <c r="BI242">
        <v>0</v>
      </c>
      <c r="BJ242">
        <v>0</v>
      </c>
      <c r="BK242">
        <v>0</v>
      </c>
      <c r="BL242">
        <v>4115364</v>
      </c>
      <c r="BM242">
        <v>0</v>
      </c>
      <c r="BN242">
        <v>0</v>
      </c>
      <c r="BO242">
        <v>0</v>
      </c>
      <c r="BP242">
        <v>0</v>
      </c>
      <c r="BQ242">
        <v>0</v>
      </c>
      <c r="BR242">
        <v>0</v>
      </c>
      <c r="BS242">
        <v>0</v>
      </c>
      <c r="BU242">
        <v>0</v>
      </c>
      <c r="BV242">
        <v>0</v>
      </c>
      <c r="BW242">
        <v>0</v>
      </c>
      <c r="BX242">
        <v>2744671</v>
      </c>
      <c r="BY242">
        <v>15385144</v>
      </c>
      <c r="BZ242">
        <v>0</v>
      </c>
      <c r="CA242">
        <v>0</v>
      </c>
      <c r="CB242">
        <v>0</v>
      </c>
      <c r="CC242">
        <v>0</v>
      </c>
      <c r="CD242">
        <v>0</v>
      </c>
      <c r="CE242">
        <v>0</v>
      </c>
      <c r="CF242">
        <v>0</v>
      </c>
      <c r="CG242">
        <v>0</v>
      </c>
      <c r="CH242">
        <v>8079046</v>
      </c>
      <c r="CI242">
        <v>0</v>
      </c>
      <c r="CK242">
        <v>0</v>
      </c>
    </row>
    <row r="243" spans="1:89" x14ac:dyDescent="0.3">
      <c r="A243" s="155">
        <v>658</v>
      </c>
      <c r="B243" t="s">
        <v>971</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192582</v>
      </c>
      <c r="AA243">
        <v>0</v>
      </c>
      <c r="AB243">
        <v>0</v>
      </c>
      <c r="AC243">
        <v>0</v>
      </c>
      <c r="AD243">
        <v>0</v>
      </c>
      <c r="AE243">
        <v>0</v>
      </c>
      <c r="AF243">
        <v>133467</v>
      </c>
      <c r="AG243">
        <v>0</v>
      </c>
      <c r="AH243">
        <v>0</v>
      </c>
      <c r="AI243">
        <v>0</v>
      </c>
      <c r="AJ243">
        <v>0</v>
      </c>
      <c r="AK243">
        <v>0</v>
      </c>
      <c r="AL243">
        <v>0</v>
      </c>
      <c r="AM243">
        <v>0</v>
      </c>
      <c r="AN243">
        <v>0</v>
      </c>
      <c r="AO243">
        <v>0</v>
      </c>
      <c r="AP243">
        <v>0</v>
      </c>
      <c r="AQ243">
        <v>0</v>
      </c>
      <c r="AR243">
        <v>0</v>
      </c>
      <c r="AS243">
        <v>0</v>
      </c>
      <c r="AT243">
        <v>0</v>
      </c>
      <c r="AU243">
        <v>0</v>
      </c>
      <c r="AV243">
        <v>0</v>
      </c>
      <c r="AW243">
        <v>165348</v>
      </c>
      <c r="AX243">
        <v>0</v>
      </c>
      <c r="AY243">
        <v>0</v>
      </c>
      <c r="AZ243">
        <v>0</v>
      </c>
      <c r="BA243">
        <v>0</v>
      </c>
      <c r="BB243">
        <v>0</v>
      </c>
      <c r="BC243">
        <v>204408</v>
      </c>
      <c r="BD243">
        <v>0</v>
      </c>
      <c r="BE243">
        <v>0</v>
      </c>
      <c r="BF243">
        <v>0</v>
      </c>
      <c r="BG243">
        <v>0</v>
      </c>
      <c r="BH243">
        <v>0</v>
      </c>
      <c r="BI243">
        <v>0</v>
      </c>
      <c r="BJ243">
        <v>0</v>
      </c>
      <c r="BK243">
        <v>0</v>
      </c>
      <c r="BL243">
        <v>0</v>
      </c>
      <c r="BM243">
        <v>0</v>
      </c>
      <c r="BN243">
        <v>0</v>
      </c>
      <c r="BO243">
        <v>0</v>
      </c>
      <c r="BP243">
        <v>0</v>
      </c>
      <c r="BQ243">
        <v>0</v>
      </c>
      <c r="BR243">
        <v>0</v>
      </c>
      <c r="BS243">
        <v>0</v>
      </c>
      <c r="BU243">
        <v>0</v>
      </c>
      <c r="BV243">
        <v>0</v>
      </c>
      <c r="BW243">
        <v>0</v>
      </c>
      <c r="BX243">
        <v>0</v>
      </c>
      <c r="BY243">
        <v>791188</v>
      </c>
      <c r="BZ243">
        <v>0</v>
      </c>
      <c r="CA243">
        <v>0</v>
      </c>
      <c r="CB243">
        <v>0</v>
      </c>
      <c r="CC243">
        <v>0</v>
      </c>
      <c r="CD243">
        <v>0</v>
      </c>
      <c r="CE243">
        <v>0</v>
      </c>
      <c r="CF243">
        <v>0</v>
      </c>
      <c r="CG243">
        <v>0</v>
      </c>
      <c r="CH243">
        <v>89945</v>
      </c>
      <c r="CI243">
        <v>0</v>
      </c>
      <c r="CK243">
        <v>0</v>
      </c>
    </row>
    <row r="244" spans="1:89" x14ac:dyDescent="0.3">
      <c r="A244" s="155">
        <v>659</v>
      </c>
      <c r="B244" t="s">
        <v>972</v>
      </c>
      <c r="D244">
        <v>0</v>
      </c>
      <c r="E244">
        <v>0</v>
      </c>
      <c r="F244">
        <v>0</v>
      </c>
      <c r="G244">
        <v>0</v>
      </c>
      <c r="H244">
        <v>152927</v>
      </c>
      <c r="I244">
        <v>13158320</v>
      </c>
      <c r="J244">
        <v>0</v>
      </c>
      <c r="K244">
        <v>0</v>
      </c>
      <c r="L244">
        <v>723663</v>
      </c>
      <c r="M244">
        <v>20948477</v>
      </c>
      <c r="N244">
        <v>0</v>
      </c>
      <c r="O244">
        <v>188539482</v>
      </c>
      <c r="P244">
        <v>0</v>
      </c>
      <c r="Q244">
        <v>0</v>
      </c>
      <c r="R244">
        <v>0</v>
      </c>
      <c r="S244">
        <v>493784</v>
      </c>
      <c r="T244">
        <v>0</v>
      </c>
      <c r="U244">
        <v>0</v>
      </c>
      <c r="V244">
        <v>0</v>
      </c>
      <c r="W244">
        <v>13520</v>
      </c>
      <c r="X244">
        <v>32151979</v>
      </c>
      <c r="Y244">
        <v>346614000</v>
      </c>
      <c r="Z244">
        <v>1969088</v>
      </c>
      <c r="AA244">
        <v>0</v>
      </c>
      <c r="AB244">
        <v>0</v>
      </c>
      <c r="AC244">
        <v>0</v>
      </c>
      <c r="AD244">
        <v>67768</v>
      </c>
      <c r="AE244">
        <v>0</v>
      </c>
      <c r="AF244">
        <v>1198878</v>
      </c>
      <c r="AG244">
        <v>0</v>
      </c>
      <c r="AH244">
        <v>0</v>
      </c>
      <c r="AI244">
        <v>3496197</v>
      </c>
      <c r="AJ244">
        <v>407911</v>
      </c>
      <c r="AK244">
        <v>0</v>
      </c>
      <c r="AL244">
        <v>0</v>
      </c>
      <c r="AM244">
        <v>0</v>
      </c>
      <c r="AN244">
        <v>705802</v>
      </c>
      <c r="AO244">
        <v>0</v>
      </c>
      <c r="AP244">
        <v>0</v>
      </c>
      <c r="AQ244">
        <v>45358283</v>
      </c>
      <c r="AR244">
        <v>0</v>
      </c>
      <c r="AS244">
        <v>0</v>
      </c>
      <c r="AT244">
        <v>0</v>
      </c>
      <c r="AU244">
        <v>138533</v>
      </c>
      <c r="AV244">
        <v>0</v>
      </c>
      <c r="AW244">
        <v>2567123</v>
      </c>
      <c r="AX244">
        <v>0</v>
      </c>
      <c r="AY244">
        <v>674143</v>
      </c>
      <c r="AZ244">
        <v>2760481</v>
      </c>
      <c r="BA244">
        <v>0</v>
      </c>
      <c r="BB244">
        <v>0</v>
      </c>
      <c r="BC244">
        <v>0</v>
      </c>
      <c r="BD244">
        <v>0</v>
      </c>
      <c r="BE244">
        <v>0</v>
      </c>
      <c r="BF244">
        <v>0</v>
      </c>
      <c r="BG244">
        <v>0</v>
      </c>
      <c r="BH244">
        <v>0</v>
      </c>
      <c r="BI244">
        <v>228958</v>
      </c>
      <c r="BJ244">
        <v>0</v>
      </c>
      <c r="BK244">
        <v>0</v>
      </c>
      <c r="BL244">
        <v>0</v>
      </c>
      <c r="BM244">
        <v>0</v>
      </c>
      <c r="BN244">
        <v>0</v>
      </c>
      <c r="BO244">
        <v>7268016</v>
      </c>
      <c r="BP244">
        <v>164490388</v>
      </c>
      <c r="BQ244">
        <v>0</v>
      </c>
      <c r="BR244">
        <v>0</v>
      </c>
      <c r="BS244">
        <v>0</v>
      </c>
      <c r="BU244">
        <v>0</v>
      </c>
      <c r="BV244">
        <v>14435</v>
      </c>
      <c r="BW244">
        <v>9647105</v>
      </c>
      <c r="BX244">
        <v>1438394</v>
      </c>
      <c r="BY244">
        <v>-15154191</v>
      </c>
      <c r="BZ244">
        <v>0</v>
      </c>
      <c r="CA244">
        <v>488225</v>
      </c>
      <c r="CB244">
        <v>48193</v>
      </c>
      <c r="CC244">
        <v>0</v>
      </c>
      <c r="CD244">
        <v>155985</v>
      </c>
      <c r="CE244">
        <v>0</v>
      </c>
      <c r="CF244">
        <v>0</v>
      </c>
      <c r="CG244">
        <v>0</v>
      </c>
      <c r="CH244">
        <v>0</v>
      </c>
      <c r="CI244">
        <v>680173</v>
      </c>
      <c r="CK244">
        <v>0</v>
      </c>
    </row>
    <row r="245" spans="1:89" x14ac:dyDescent="0.3">
      <c r="A245" s="155">
        <v>660</v>
      </c>
      <c r="B245" t="s">
        <v>973</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6564151</v>
      </c>
      <c r="Y245">
        <v>161748000</v>
      </c>
      <c r="Z245">
        <v>0</v>
      </c>
      <c r="AA245">
        <v>0</v>
      </c>
      <c r="AB245">
        <v>0</v>
      </c>
      <c r="AC245">
        <v>0</v>
      </c>
      <c r="AD245">
        <v>0</v>
      </c>
      <c r="AE245">
        <v>0</v>
      </c>
      <c r="AF245">
        <v>0</v>
      </c>
      <c r="AG245">
        <v>0</v>
      </c>
      <c r="AH245">
        <v>0</v>
      </c>
      <c r="AI245">
        <v>0</v>
      </c>
      <c r="AJ245">
        <v>0</v>
      </c>
      <c r="AK245">
        <v>0</v>
      </c>
      <c r="AL245">
        <v>0</v>
      </c>
      <c r="AM245">
        <v>0</v>
      </c>
      <c r="AN245">
        <v>0</v>
      </c>
      <c r="AO245">
        <v>0</v>
      </c>
      <c r="AP245">
        <v>0</v>
      </c>
      <c r="AQ245">
        <v>14565926</v>
      </c>
      <c r="AR245">
        <v>0</v>
      </c>
      <c r="AS245">
        <v>0</v>
      </c>
      <c r="AT245">
        <v>0</v>
      </c>
      <c r="AU245">
        <v>0</v>
      </c>
      <c r="AV245">
        <v>0</v>
      </c>
      <c r="AW245">
        <v>209748</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U245">
        <v>0</v>
      </c>
      <c r="BV245">
        <v>0</v>
      </c>
      <c r="BW245">
        <v>0</v>
      </c>
      <c r="BX245">
        <v>0</v>
      </c>
      <c r="BY245">
        <v>0</v>
      </c>
      <c r="BZ245">
        <v>0</v>
      </c>
      <c r="CA245">
        <v>0</v>
      </c>
      <c r="CB245">
        <v>0</v>
      </c>
      <c r="CC245">
        <v>0</v>
      </c>
      <c r="CD245">
        <v>0</v>
      </c>
      <c r="CE245">
        <v>0</v>
      </c>
      <c r="CF245">
        <v>0</v>
      </c>
      <c r="CG245">
        <v>0</v>
      </c>
      <c r="CH245">
        <v>0</v>
      </c>
      <c r="CI245">
        <v>0</v>
      </c>
      <c r="CK245">
        <v>0</v>
      </c>
    </row>
    <row r="246" spans="1:89" x14ac:dyDescent="0.3">
      <c r="A246" s="155">
        <v>661</v>
      </c>
      <c r="B246" t="s">
        <v>421</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20.399999999999999</v>
      </c>
      <c r="Y246">
        <v>46.7</v>
      </c>
      <c r="Z246">
        <v>0</v>
      </c>
      <c r="AA246">
        <v>0</v>
      </c>
      <c r="AB246">
        <v>0</v>
      </c>
      <c r="AC246">
        <v>0</v>
      </c>
      <c r="AD246">
        <v>0</v>
      </c>
      <c r="AE246">
        <v>0</v>
      </c>
      <c r="AF246">
        <v>0</v>
      </c>
      <c r="AG246">
        <v>0</v>
      </c>
      <c r="AH246">
        <v>0</v>
      </c>
      <c r="AI246">
        <v>0</v>
      </c>
      <c r="AJ246">
        <v>0</v>
      </c>
      <c r="AK246">
        <v>0</v>
      </c>
      <c r="AL246">
        <v>0</v>
      </c>
      <c r="AM246">
        <v>0</v>
      </c>
      <c r="AN246">
        <v>0</v>
      </c>
      <c r="AO246">
        <v>0</v>
      </c>
      <c r="AP246">
        <v>0</v>
      </c>
      <c r="AQ246">
        <v>32.1</v>
      </c>
      <c r="AR246">
        <v>0</v>
      </c>
      <c r="AS246">
        <v>0</v>
      </c>
      <c r="AT246">
        <v>0</v>
      </c>
      <c r="AU246">
        <v>0</v>
      </c>
      <c r="AV246">
        <v>0</v>
      </c>
      <c r="AW246">
        <v>8.1999999999999993</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U246">
        <v>0</v>
      </c>
      <c r="BV246">
        <v>0</v>
      </c>
      <c r="BW246">
        <v>0</v>
      </c>
      <c r="BX246">
        <v>0</v>
      </c>
      <c r="BY246">
        <v>0</v>
      </c>
      <c r="BZ246">
        <v>0</v>
      </c>
      <c r="CA246">
        <v>0</v>
      </c>
      <c r="CB246">
        <v>0</v>
      </c>
      <c r="CC246">
        <v>0</v>
      </c>
      <c r="CD246">
        <v>0</v>
      </c>
      <c r="CE246">
        <v>0</v>
      </c>
      <c r="CF246">
        <v>0</v>
      </c>
      <c r="CG246">
        <v>0</v>
      </c>
      <c r="CH246">
        <v>0</v>
      </c>
      <c r="CI246">
        <v>0</v>
      </c>
      <c r="CK246">
        <v>0</v>
      </c>
    </row>
    <row r="247" spans="1:89" x14ac:dyDescent="0.3">
      <c r="A247" s="155">
        <v>662</v>
      </c>
      <c r="B247" t="s">
        <v>451</v>
      </c>
      <c r="M247">
        <v>423034</v>
      </c>
      <c r="O247">
        <v>3441549</v>
      </c>
      <c r="T247">
        <v>33187</v>
      </c>
      <c r="X247">
        <v>1549347</v>
      </c>
      <c r="Y247">
        <v>135474115</v>
      </c>
      <c r="AD247">
        <v>30353</v>
      </c>
      <c r="AF247">
        <v>807913</v>
      </c>
      <c r="AG247">
        <v>21664</v>
      </c>
      <c r="AN247">
        <v>98321</v>
      </c>
      <c r="AO247">
        <v>70471</v>
      </c>
      <c r="AQ247">
        <v>1046983</v>
      </c>
      <c r="AT247">
        <v>173794</v>
      </c>
      <c r="AW247">
        <v>111058</v>
      </c>
      <c r="BA247">
        <v>0</v>
      </c>
      <c r="BI247">
        <v>37156</v>
      </c>
      <c r="BO247">
        <v>290881</v>
      </c>
      <c r="BP247">
        <v>1224424</v>
      </c>
      <c r="BW247">
        <v>348309</v>
      </c>
      <c r="BX247">
        <v>85516</v>
      </c>
      <c r="BY247">
        <v>468236</v>
      </c>
      <c r="BZ247">
        <v>131081</v>
      </c>
      <c r="CB247">
        <v>161115</v>
      </c>
      <c r="CG247">
        <v>85249</v>
      </c>
      <c r="CH247">
        <v>0</v>
      </c>
    </row>
    <row r="248" spans="1:89" x14ac:dyDescent="0.3">
      <c r="A248" s="155">
        <v>663</v>
      </c>
      <c r="B248" t="s">
        <v>974</v>
      </c>
      <c r="M248">
        <v>0</v>
      </c>
      <c r="O248">
        <v>2944223</v>
      </c>
      <c r="T248">
        <v>0</v>
      </c>
      <c r="X248">
        <v>463618</v>
      </c>
      <c r="Y248">
        <v>141370209</v>
      </c>
      <c r="AD248">
        <v>0</v>
      </c>
      <c r="AF248">
        <v>0</v>
      </c>
      <c r="AG248">
        <v>0</v>
      </c>
      <c r="AN248">
        <v>0</v>
      </c>
      <c r="AO248">
        <v>0</v>
      </c>
      <c r="AQ248">
        <v>3645828</v>
      </c>
      <c r="AT248">
        <v>0</v>
      </c>
      <c r="AW248">
        <v>0</v>
      </c>
      <c r="BA248">
        <v>0</v>
      </c>
      <c r="BI248">
        <v>0</v>
      </c>
      <c r="BO248">
        <v>0</v>
      </c>
      <c r="BP248">
        <v>8340700</v>
      </c>
      <c r="BW248">
        <v>0</v>
      </c>
      <c r="BX248">
        <v>0</v>
      </c>
      <c r="BY248">
        <v>29444</v>
      </c>
      <c r="BZ248">
        <v>0</v>
      </c>
      <c r="CB248">
        <v>0</v>
      </c>
      <c r="CG248">
        <v>708</v>
      </c>
      <c r="CH248">
        <v>0</v>
      </c>
    </row>
    <row r="249" spans="1:89" x14ac:dyDescent="0.3">
      <c r="A249" s="155">
        <v>906</v>
      </c>
      <c r="B249" t="s">
        <v>975</v>
      </c>
      <c r="D249">
        <v>1</v>
      </c>
      <c r="E249">
        <v>1</v>
      </c>
      <c r="F249">
        <v>1</v>
      </c>
      <c r="G249">
        <v>1</v>
      </c>
      <c r="H249">
        <v>1</v>
      </c>
      <c r="I249">
        <v>1</v>
      </c>
      <c r="J249">
        <v>1</v>
      </c>
      <c r="K249">
        <v>1</v>
      </c>
      <c r="L249">
        <v>1</v>
      </c>
      <c r="M249">
        <v>1</v>
      </c>
      <c r="N249">
        <v>1</v>
      </c>
      <c r="O249">
        <v>1</v>
      </c>
      <c r="P249">
        <v>1</v>
      </c>
      <c r="Q249">
        <v>1</v>
      </c>
      <c r="R249">
        <v>1</v>
      </c>
      <c r="S249">
        <v>1</v>
      </c>
      <c r="T249">
        <v>1</v>
      </c>
      <c r="U249">
        <v>1</v>
      </c>
      <c r="V249">
        <v>1</v>
      </c>
      <c r="W249">
        <v>1</v>
      </c>
      <c r="X249">
        <v>1</v>
      </c>
      <c r="Y249">
        <v>1</v>
      </c>
      <c r="Z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c r="BS249">
        <v>1</v>
      </c>
      <c r="BU249">
        <v>1</v>
      </c>
      <c r="BV249">
        <v>1</v>
      </c>
      <c r="BW249">
        <v>1</v>
      </c>
      <c r="BX249">
        <v>1</v>
      </c>
      <c r="BY249">
        <v>1</v>
      </c>
      <c r="BZ249">
        <v>1</v>
      </c>
      <c r="CA249">
        <v>1</v>
      </c>
      <c r="CB249">
        <v>1</v>
      </c>
      <c r="CC249">
        <v>1</v>
      </c>
      <c r="CD249">
        <v>1</v>
      </c>
      <c r="CE249">
        <v>1</v>
      </c>
      <c r="CF249">
        <v>1</v>
      </c>
      <c r="CG249">
        <v>1</v>
      </c>
      <c r="CH249">
        <v>1</v>
      </c>
      <c r="CI249">
        <v>1</v>
      </c>
      <c r="CK249">
        <v>1</v>
      </c>
    </row>
    <row r="250" spans="1:89" x14ac:dyDescent="0.3">
      <c r="A250" s="155">
        <v>907</v>
      </c>
      <c r="B250" t="s">
        <v>976</v>
      </c>
      <c r="D250">
        <v>1</v>
      </c>
      <c r="E250">
        <v>1</v>
      </c>
      <c r="F250">
        <v>2</v>
      </c>
      <c r="G250">
        <v>1</v>
      </c>
      <c r="H250">
        <v>2</v>
      </c>
      <c r="I250">
        <v>2</v>
      </c>
      <c r="J250">
        <v>2</v>
      </c>
      <c r="K250">
        <v>2</v>
      </c>
      <c r="L250">
        <v>2</v>
      </c>
      <c r="M250">
        <v>2</v>
      </c>
      <c r="N250">
        <v>1</v>
      </c>
      <c r="O250">
        <v>2</v>
      </c>
      <c r="P250">
        <v>1</v>
      </c>
      <c r="Q250">
        <v>2</v>
      </c>
      <c r="R250">
        <v>1</v>
      </c>
      <c r="S250">
        <v>2</v>
      </c>
      <c r="T250">
        <v>2</v>
      </c>
      <c r="U250">
        <v>2</v>
      </c>
      <c r="V250">
        <v>1</v>
      </c>
      <c r="W250">
        <v>2</v>
      </c>
      <c r="X250">
        <v>2</v>
      </c>
      <c r="Y250">
        <v>2</v>
      </c>
      <c r="Z250">
        <v>2</v>
      </c>
      <c r="AA250">
        <v>2</v>
      </c>
      <c r="AB250">
        <v>2</v>
      </c>
      <c r="AC250">
        <v>1</v>
      </c>
      <c r="AD250">
        <v>2</v>
      </c>
      <c r="AE250">
        <v>1</v>
      </c>
      <c r="AF250">
        <v>2</v>
      </c>
      <c r="AG250">
        <v>1</v>
      </c>
      <c r="AH250">
        <v>2</v>
      </c>
      <c r="AI250">
        <v>2</v>
      </c>
      <c r="AJ250">
        <v>2</v>
      </c>
      <c r="AK250">
        <v>2</v>
      </c>
      <c r="AL250">
        <v>2</v>
      </c>
      <c r="AM250">
        <v>1</v>
      </c>
      <c r="AN250">
        <v>1</v>
      </c>
      <c r="AO250">
        <v>2</v>
      </c>
      <c r="AP250">
        <v>1</v>
      </c>
      <c r="AQ250">
        <v>2</v>
      </c>
      <c r="AR250">
        <v>1</v>
      </c>
      <c r="AS250">
        <v>1</v>
      </c>
      <c r="AT250">
        <v>2</v>
      </c>
      <c r="AU250">
        <v>1</v>
      </c>
      <c r="AV250">
        <v>1</v>
      </c>
      <c r="AW250">
        <v>2</v>
      </c>
      <c r="AX250">
        <v>1</v>
      </c>
      <c r="AY250">
        <v>2</v>
      </c>
      <c r="AZ250">
        <v>2</v>
      </c>
      <c r="BA250">
        <v>2</v>
      </c>
      <c r="BB250">
        <v>1</v>
      </c>
      <c r="BC250">
        <v>2</v>
      </c>
      <c r="BD250">
        <v>1</v>
      </c>
      <c r="BE250">
        <v>2</v>
      </c>
      <c r="BF250">
        <v>2</v>
      </c>
      <c r="BG250">
        <v>1</v>
      </c>
      <c r="BH250">
        <v>1</v>
      </c>
      <c r="BI250">
        <v>2</v>
      </c>
      <c r="BJ250">
        <v>2</v>
      </c>
      <c r="BK250">
        <v>2</v>
      </c>
      <c r="BL250">
        <v>2</v>
      </c>
      <c r="BM250">
        <v>1</v>
      </c>
      <c r="BN250">
        <v>2</v>
      </c>
      <c r="BO250">
        <v>2</v>
      </c>
      <c r="BP250">
        <v>2</v>
      </c>
      <c r="BQ250">
        <v>1</v>
      </c>
      <c r="BR250">
        <v>1</v>
      </c>
      <c r="BS250">
        <v>2</v>
      </c>
      <c r="BU250">
        <v>2</v>
      </c>
      <c r="BV250">
        <v>1</v>
      </c>
      <c r="BW250">
        <v>2</v>
      </c>
      <c r="BX250">
        <v>1</v>
      </c>
      <c r="BY250">
        <v>2</v>
      </c>
      <c r="BZ250">
        <v>1</v>
      </c>
      <c r="CA250">
        <v>1</v>
      </c>
      <c r="CB250">
        <v>1</v>
      </c>
      <c r="CC250">
        <v>1</v>
      </c>
      <c r="CD250">
        <v>1</v>
      </c>
      <c r="CE250">
        <v>1</v>
      </c>
      <c r="CF250">
        <v>2</v>
      </c>
      <c r="CG250">
        <v>2</v>
      </c>
      <c r="CH250">
        <v>2</v>
      </c>
      <c r="CI250">
        <v>1</v>
      </c>
      <c r="CK250">
        <v>1</v>
      </c>
    </row>
    <row r="251" spans="1:89" x14ac:dyDescent="0.3">
      <c r="A251" s="155">
        <v>947</v>
      </c>
      <c r="B251" t="s">
        <v>977</v>
      </c>
      <c r="D251" t="s">
        <v>2061</v>
      </c>
      <c r="E251" t="s">
        <v>2062</v>
      </c>
      <c r="F251" t="s">
        <v>2063</v>
      </c>
      <c r="G251" t="s">
        <v>2064</v>
      </c>
      <c r="H251" t="s">
        <v>1649</v>
      </c>
      <c r="I251" t="s">
        <v>2065</v>
      </c>
      <c r="J251" t="s">
        <v>2066</v>
      </c>
      <c r="K251" t="s">
        <v>2067</v>
      </c>
      <c r="L251" t="s">
        <v>1644</v>
      </c>
      <c r="M251" t="s">
        <v>2068</v>
      </c>
      <c r="N251" t="s">
        <v>2069</v>
      </c>
      <c r="O251" t="s">
        <v>2070</v>
      </c>
      <c r="P251" t="s">
        <v>2071</v>
      </c>
      <c r="Q251" t="s">
        <v>2072</v>
      </c>
      <c r="R251" t="s">
        <v>2073</v>
      </c>
      <c r="S251" t="s">
        <v>2066</v>
      </c>
      <c r="T251" t="s">
        <v>1719</v>
      </c>
      <c r="U251" t="s">
        <v>2074</v>
      </c>
      <c r="V251" t="s">
        <v>2075</v>
      </c>
      <c r="W251" t="s">
        <v>2076</v>
      </c>
      <c r="X251" t="s">
        <v>978</v>
      </c>
      <c r="Y251" t="s">
        <v>2077</v>
      </c>
      <c r="Z251" t="s">
        <v>2078</v>
      </c>
      <c r="AA251" t="s">
        <v>2079</v>
      </c>
      <c r="AB251" t="s">
        <v>2080</v>
      </c>
      <c r="AC251" t="s">
        <v>2081</v>
      </c>
      <c r="AD251" t="s">
        <v>2082</v>
      </c>
      <c r="AE251" t="s">
        <v>2083</v>
      </c>
      <c r="AF251" t="s">
        <v>2084</v>
      </c>
      <c r="AG251" t="s">
        <v>2085</v>
      </c>
      <c r="AH251" t="s">
        <v>2086</v>
      </c>
      <c r="AI251" t="s">
        <v>2087</v>
      </c>
      <c r="AJ251" t="s">
        <v>2088</v>
      </c>
      <c r="AK251" t="s">
        <v>2070</v>
      </c>
      <c r="AL251" t="s">
        <v>2089</v>
      </c>
      <c r="AM251" t="s">
        <v>2090</v>
      </c>
      <c r="AN251" t="s">
        <v>1646</v>
      </c>
      <c r="AO251" t="s">
        <v>2091</v>
      </c>
      <c r="AP251" t="s">
        <v>980</v>
      </c>
      <c r="AQ251" t="s">
        <v>2092</v>
      </c>
      <c r="AR251" t="s">
        <v>2093</v>
      </c>
      <c r="AS251" t="s">
        <v>1155</v>
      </c>
      <c r="AT251" t="s">
        <v>2094</v>
      </c>
      <c r="AU251" t="s">
        <v>2095</v>
      </c>
      <c r="AV251" t="s">
        <v>2096</v>
      </c>
      <c r="AW251" t="s">
        <v>2097</v>
      </c>
      <c r="AX251" t="s">
        <v>1650</v>
      </c>
      <c r="AY251" t="s">
        <v>2098</v>
      </c>
      <c r="AZ251" t="s">
        <v>2099</v>
      </c>
      <c r="BA251" t="s">
        <v>2100</v>
      </c>
      <c r="BB251" t="s">
        <v>2101</v>
      </c>
      <c r="BC251" t="s">
        <v>2102</v>
      </c>
      <c r="BD251" t="s">
        <v>2103</v>
      </c>
      <c r="BE251" t="s">
        <v>2104</v>
      </c>
      <c r="BF251" t="s">
        <v>2105</v>
      </c>
      <c r="BG251" t="s">
        <v>2067</v>
      </c>
      <c r="BH251" t="s">
        <v>1651</v>
      </c>
      <c r="BI251" t="s">
        <v>2106</v>
      </c>
      <c r="BJ251" t="s">
        <v>2107</v>
      </c>
      <c r="BK251" t="s">
        <v>1668</v>
      </c>
      <c r="BL251" t="s">
        <v>2108</v>
      </c>
      <c r="BM251" t="s">
        <v>2109</v>
      </c>
      <c r="BN251" t="s">
        <v>2110</v>
      </c>
      <c r="BO251" t="s">
        <v>2072</v>
      </c>
      <c r="BP251" t="s">
        <v>2111</v>
      </c>
      <c r="BQ251" t="s">
        <v>2112</v>
      </c>
      <c r="BR251" t="s">
        <v>2113</v>
      </c>
      <c r="BS251" t="s">
        <v>2114</v>
      </c>
      <c r="BU251" t="s">
        <v>2062</v>
      </c>
      <c r="BV251" t="s">
        <v>2115</v>
      </c>
      <c r="BW251" t="s">
        <v>2116</v>
      </c>
      <c r="BX251" t="s">
        <v>2117</v>
      </c>
      <c r="BY251" t="s">
        <v>2118</v>
      </c>
      <c r="BZ251" t="s">
        <v>2119</v>
      </c>
      <c r="CA251" t="s">
        <v>1154</v>
      </c>
      <c r="CB251" t="s">
        <v>2120</v>
      </c>
      <c r="CC251" t="s">
        <v>2077</v>
      </c>
      <c r="CD251" t="s">
        <v>2121</v>
      </c>
      <c r="CE251" t="s">
        <v>2122</v>
      </c>
      <c r="CF251" t="s">
        <v>2123</v>
      </c>
      <c r="CG251" t="s">
        <v>1648</v>
      </c>
      <c r="CH251" t="s">
        <v>2124</v>
      </c>
      <c r="CI251" t="s">
        <v>1156</v>
      </c>
      <c r="CK251" t="s">
        <v>2107</v>
      </c>
    </row>
    <row r="252" spans="1:89" x14ac:dyDescent="0.3">
      <c r="A252" s="155">
        <v>948</v>
      </c>
      <c r="B252" t="s">
        <v>981</v>
      </c>
      <c r="D252" t="s">
        <v>2125</v>
      </c>
      <c r="E252" t="s">
        <v>2126</v>
      </c>
      <c r="F252" t="s">
        <v>2127</v>
      </c>
      <c r="G252" t="s">
        <v>2064</v>
      </c>
      <c r="H252" t="s">
        <v>2128</v>
      </c>
      <c r="I252" t="s">
        <v>1720</v>
      </c>
      <c r="J252" t="s">
        <v>2129</v>
      </c>
      <c r="K252" t="s">
        <v>2130</v>
      </c>
      <c r="L252" t="s">
        <v>2131</v>
      </c>
      <c r="M252" t="s">
        <v>2132</v>
      </c>
      <c r="N252" t="s">
        <v>1396</v>
      </c>
      <c r="O252" t="s">
        <v>2133</v>
      </c>
      <c r="P252" t="s">
        <v>2134</v>
      </c>
      <c r="Q252" t="s">
        <v>2135</v>
      </c>
      <c r="R252" t="s">
        <v>2136</v>
      </c>
      <c r="S252" t="s">
        <v>1721</v>
      </c>
      <c r="T252" t="s">
        <v>2137</v>
      </c>
      <c r="U252" t="s">
        <v>2138</v>
      </c>
      <c r="V252" t="s">
        <v>2139</v>
      </c>
      <c r="W252" t="s">
        <v>2140</v>
      </c>
      <c r="X252" t="s">
        <v>2141</v>
      </c>
      <c r="Y252" t="s">
        <v>1652</v>
      </c>
      <c r="Z252" t="s">
        <v>2142</v>
      </c>
      <c r="AA252" t="s">
        <v>2143</v>
      </c>
      <c r="AB252" t="s">
        <v>2144</v>
      </c>
      <c r="AC252" t="s">
        <v>2145</v>
      </c>
      <c r="AD252" t="s">
        <v>2146</v>
      </c>
      <c r="AE252" t="s">
        <v>2147</v>
      </c>
      <c r="AF252" t="s">
        <v>2148</v>
      </c>
      <c r="AG252" t="s">
        <v>2149</v>
      </c>
      <c r="AH252" t="s">
        <v>2150</v>
      </c>
      <c r="AI252" t="s">
        <v>2151</v>
      </c>
      <c r="AJ252" t="s">
        <v>1305</v>
      </c>
      <c r="AK252" t="s">
        <v>2152</v>
      </c>
      <c r="AL252" t="s">
        <v>2153</v>
      </c>
      <c r="AM252" t="s">
        <v>2153</v>
      </c>
      <c r="AN252" t="s">
        <v>1722</v>
      </c>
      <c r="AO252" t="s">
        <v>2154</v>
      </c>
      <c r="AP252" t="s">
        <v>980</v>
      </c>
      <c r="AQ252" t="s">
        <v>1721</v>
      </c>
      <c r="AR252" t="s">
        <v>2155</v>
      </c>
      <c r="AS252" t="s">
        <v>2156</v>
      </c>
      <c r="AT252" t="s">
        <v>2157</v>
      </c>
      <c r="AU252" t="s">
        <v>2158</v>
      </c>
      <c r="AV252" t="s">
        <v>2159</v>
      </c>
      <c r="AW252" t="s">
        <v>2160</v>
      </c>
      <c r="AX252" t="s">
        <v>1721</v>
      </c>
      <c r="AY252" t="s">
        <v>2161</v>
      </c>
      <c r="AZ252" t="s">
        <v>2162</v>
      </c>
      <c r="BA252" t="s">
        <v>2163</v>
      </c>
      <c r="BB252" t="s">
        <v>2164</v>
      </c>
      <c r="BC252" t="s">
        <v>1430</v>
      </c>
      <c r="BD252" t="s">
        <v>2165</v>
      </c>
      <c r="BE252" t="s">
        <v>2166</v>
      </c>
      <c r="BF252" t="s">
        <v>1654</v>
      </c>
      <c r="BG252" t="s">
        <v>2167</v>
      </c>
      <c r="BH252" t="s">
        <v>518</v>
      </c>
      <c r="BI252" t="s">
        <v>2168</v>
      </c>
      <c r="BJ252" t="s">
        <v>2169</v>
      </c>
      <c r="BK252" t="s">
        <v>2170</v>
      </c>
      <c r="BL252" t="s">
        <v>2171</v>
      </c>
      <c r="BM252" t="s">
        <v>2172</v>
      </c>
      <c r="BN252" t="s">
        <v>2173</v>
      </c>
      <c r="BO252" t="s">
        <v>2174</v>
      </c>
      <c r="BP252" t="s">
        <v>2175</v>
      </c>
      <c r="BQ252" t="s">
        <v>2176</v>
      </c>
      <c r="BR252" t="s">
        <v>1652</v>
      </c>
      <c r="BS252" t="s">
        <v>1396</v>
      </c>
      <c r="BU252" t="s">
        <v>2177</v>
      </c>
      <c r="BV252" t="s">
        <v>2178</v>
      </c>
      <c r="BW252" t="s">
        <v>2179</v>
      </c>
      <c r="BX252" t="s">
        <v>1652</v>
      </c>
      <c r="BY252" t="s">
        <v>2180</v>
      </c>
      <c r="BZ252" t="s">
        <v>2181</v>
      </c>
      <c r="CA252" t="s">
        <v>2182</v>
      </c>
      <c r="CB252" t="s">
        <v>2183</v>
      </c>
      <c r="CC252" t="s">
        <v>2184</v>
      </c>
      <c r="CD252" t="s">
        <v>1652</v>
      </c>
      <c r="CE252" t="s">
        <v>2185</v>
      </c>
      <c r="CF252" t="s">
        <v>2186</v>
      </c>
      <c r="CG252" t="s">
        <v>2187</v>
      </c>
      <c r="CH252" t="s">
        <v>2188</v>
      </c>
      <c r="CI252" t="s">
        <v>1653</v>
      </c>
      <c r="CK252" t="s">
        <v>2189</v>
      </c>
    </row>
    <row r="253" spans="1:89" x14ac:dyDescent="0.3">
      <c r="A253" s="155">
        <v>949</v>
      </c>
      <c r="B253" t="s">
        <v>982</v>
      </c>
      <c r="D253" t="s">
        <v>413</v>
      </c>
      <c r="E253" t="s">
        <v>413</v>
      </c>
      <c r="F253" t="s">
        <v>2190</v>
      </c>
      <c r="G253" t="s">
        <v>2064</v>
      </c>
      <c r="H253" t="s">
        <v>413</v>
      </c>
      <c r="I253" t="s">
        <v>413</v>
      </c>
      <c r="J253" t="s">
        <v>413</v>
      </c>
      <c r="K253" t="s">
        <v>413</v>
      </c>
      <c r="L253" t="s">
        <v>413</v>
      </c>
      <c r="M253" t="s">
        <v>413</v>
      </c>
      <c r="N253" t="s">
        <v>413</v>
      </c>
      <c r="O253" t="s">
        <v>413</v>
      </c>
      <c r="P253" t="s">
        <v>413</v>
      </c>
      <c r="Q253" t="s">
        <v>413</v>
      </c>
      <c r="R253" t="s">
        <v>413</v>
      </c>
      <c r="S253" t="s">
        <v>413</v>
      </c>
      <c r="T253" t="s">
        <v>413</v>
      </c>
      <c r="U253" t="s">
        <v>413</v>
      </c>
      <c r="V253" t="s">
        <v>413</v>
      </c>
      <c r="W253" t="s">
        <v>413</v>
      </c>
      <c r="X253" t="s">
        <v>413</v>
      </c>
      <c r="Y253" t="s">
        <v>413</v>
      </c>
      <c r="Z253" t="s">
        <v>413</v>
      </c>
      <c r="AA253" t="s">
        <v>413</v>
      </c>
      <c r="AB253" t="s">
        <v>413</v>
      </c>
      <c r="AC253" t="s">
        <v>413</v>
      </c>
      <c r="AD253" t="s">
        <v>413</v>
      </c>
      <c r="AE253" t="s">
        <v>413</v>
      </c>
      <c r="AF253" t="s">
        <v>413</v>
      </c>
      <c r="AG253" t="s">
        <v>413</v>
      </c>
      <c r="AH253" t="s">
        <v>413</v>
      </c>
      <c r="AI253" t="s">
        <v>413</v>
      </c>
      <c r="AJ253" t="s">
        <v>413</v>
      </c>
      <c r="AK253" t="s">
        <v>413</v>
      </c>
      <c r="AL253" t="s">
        <v>413</v>
      </c>
      <c r="AM253" t="s">
        <v>413</v>
      </c>
      <c r="AN253" t="s">
        <v>413</v>
      </c>
      <c r="AO253" t="s">
        <v>413</v>
      </c>
      <c r="AP253" t="s">
        <v>2191</v>
      </c>
      <c r="AQ253" t="s">
        <v>413</v>
      </c>
      <c r="AR253" t="s">
        <v>413</v>
      </c>
      <c r="AS253" t="s">
        <v>413</v>
      </c>
      <c r="AT253" t="s">
        <v>413</v>
      </c>
      <c r="AU253" t="s">
        <v>413</v>
      </c>
      <c r="AV253" t="s">
        <v>413</v>
      </c>
      <c r="AW253" t="s">
        <v>413</v>
      </c>
      <c r="AX253" t="s">
        <v>413</v>
      </c>
      <c r="AY253" t="s">
        <v>413</v>
      </c>
      <c r="AZ253" t="s">
        <v>413</v>
      </c>
      <c r="BA253" t="s">
        <v>413</v>
      </c>
      <c r="BB253" t="s">
        <v>413</v>
      </c>
      <c r="BC253" t="s">
        <v>413</v>
      </c>
      <c r="BD253" t="s">
        <v>413</v>
      </c>
      <c r="BE253" t="s">
        <v>413</v>
      </c>
      <c r="BF253" t="s">
        <v>413</v>
      </c>
      <c r="BG253" t="s">
        <v>413</v>
      </c>
      <c r="BH253" t="s">
        <v>413</v>
      </c>
      <c r="BI253" t="s">
        <v>413</v>
      </c>
      <c r="BJ253" t="s">
        <v>413</v>
      </c>
      <c r="BK253" t="s">
        <v>413</v>
      </c>
      <c r="BL253" t="s">
        <v>413</v>
      </c>
      <c r="BM253" t="s">
        <v>413</v>
      </c>
      <c r="BN253" t="s">
        <v>413</v>
      </c>
      <c r="BO253" t="s">
        <v>413</v>
      </c>
      <c r="BP253" t="s">
        <v>431</v>
      </c>
      <c r="BQ253" t="s">
        <v>413</v>
      </c>
      <c r="BR253" t="s">
        <v>413</v>
      </c>
      <c r="BS253" t="s">
        <v>413</v>
      </c>
      <c r="BU253" t="s">
        <v>413</v>
      </c>
      <c r="BV253" t="s">
        <v>413</v>
      </c>
      <c r="BW253" t="s">
        <v>413</v>
      </c>
      <c r="BX253" t="s">
        <v>413</v>
      </c>
      <c r="BY253" t="s">
        <v>413</v>
      </c>
      <c r="BZ253" t="s">
        <v>413</v>
      </c>
      <c r="CA253" t="s">
        <v>413</v>
      </c>
      <c r="CB253" t="s">
        <v>413</v>
      </c>
      <c r="CC253" t="s">
        <v>413</v>
      </c>
      <c r="CD253" t="s">
        <v>413</v>
      </c>
      <c r="CE253" t="s">
        <v>413</v>
      </c>
      <c r="CF253" t="s">
        <v>413</v>
      </c>
      <c r="CG253" t="s">
        <v>413</v>
      </c>
      <c r="CH253" t="s">
        <v>413</v>
      </c>
      <c r="CI253" t="s">
        <v>413</v>
      </c>
      <c r="CK253" t="s">
        <v>413</v>
      </c>
    </row>
    <row r="254" spans="1:89" x14ac:dyDescent="0.3">
      <c r="A254" s="155">
        <v>950</v>
      </c>
      <c r="B254" t="s">
        <v>983</v>
      </c>
      <c r="D254" t="s">
        <v>50</v>
      </c>
      <c r="E254" t="s">
        <v>50</v>
      </c>
      <c r="F254" t="s">
        <v>50</v>
      </c>
      <c r="G254" t="s">
        <v>51</v>
      </c>
      <c r="H254" t="s">
        <v>50</v>
      </c>
      <c r="I254" t="s">
        <v>50</v>
      </c>
      <c r="J254" t="s">
        <v>50</v>
      </c>
      <c r="K254" t="s">
        <v>50</v>
      </c>
      <c r="L254" t="s">
        <v>50</v>
      </c>
      <c r="M254" t="s">
        <v>50</v>
      </c>
      <c r="N254" t="s">
        <v>50</v>
      </c>
      <c r="O254" t="s">
        <v>50</v>
      </c>
      <c r="P254" t="s">
        <v>50</v>
      </c>
      <c r="Q254" t="s">
        <v>50</v>
      </c>
      <c r="R254" t="s">
        <v>50</v>
      </c>
      <c r="S254" t="s">
        <v>50</v>
      </c>
      <c r="T254" t="s">
        <v>50</v>
      </c>
      <c r="U254" t="s">
        <v>50</v>
      </c>
      <c r="V254" t="s">
        <v>50</v>
      </c>
      <c r="W254" t="s">
        <v>50</v>
      </c>
      <c r="X254" t="s">
        <v>50</v>
      </c>
      <c r="Y254" t="s">
        <v>50</v>
      </c>
      <c r="Z254" t="s">
        <v>50</v>
      </c>
      <c r="AA254" t="s">
        <v>50</v>
      </c>
      <c r="AB254" t="s">
        <v>50</v>
      </c>
      <c r="AC254" t="s">
        <v>50</v>
      </c>
      <c r="AD254" t="s">
        <v>50</v>
      </c>
      <c r="AE254" t="s">
        <v>50</v>
      </c>
      <c r="AF254" t="s">
        <v>50</v>
      </c>
      <c r="AG254" t="s">
        <v>50</v>
      </c>
      <c r="AH254" t="s">
        <v>50</v>
      </c>
      <c r="AI254" t="s">
        <v>50</v>
      </c>
      <c r="AJ254" t="s">
        <v>50</v>
      </c>
      <c r="AK254" t="s">
        <v>50</v>
      </c>
      <c r="AL254" t="s">
        <v>50</v>
      </c>
      <c r="AM254" t="s">
        <v>50</v>
      </c>
      <c r="AN254" t="s">
        <v>50</v>
      </c>
      <c r="AO254" t="s">
        <v>50</v>
      </c>
      <c r="AP254" t="s">
        <v>50</v>
      </c>
      <c r="AQ254" t="s">
        <v>50</v>
      </c>
      <c r="AR254" t="s">
        <v>50</v>
      </c>
      <c r="AS254" t="s">
        <v>50</v>
      </c>
      <c r="AT254" t="s">
        <v>50</v>
      </c>
      <c r="AU254" t="s">
        <v>50</v>
      </c>
      <c r="AV254" t="s">
        <v>50</v>
      </c>
      <c r="AW254" t="s">
        <v>50</v>
      </c>
      <c r="AX254" t="s">
        <v>50</v>
      </c>
      <c r="AY254" t="s">
        <v>50</v>
      </c>
      <c r="AZ254" t="s">
        <v>50</v>
      </c>
      <c r="BA254" t="s">
        <v>50</v>
      </c>
      <c r="BB254" t="s">
        <v>50</v>
      </c>
      <c r="BC254" t="s">
        <v>50</v>
      </c>
      <c r="BD254" t="s">
        <v>50</v>
      </c>
      <c r="BE254" t="s">
        <v>50</v>
      </c>
      <c r="BF254" t="s">
        <v>50</v>
      </c>
      <c r="BG254" t="s">
        <v>50</v>
      </c>
      <c r="BH254" t="s">
        <v>50</v>
      </c>
      <c r="BI254" t="s">
        <v>51</v>
      </c>
      <c r="BJ254" t="s">
        <v>50</v>
      </c>
      <c r="BK254" t="s">
        <v>50</v>
      </c>
      <c r="BL254" t="s">
        <v>50</v>
      </c>
      <c r="BM254" t="s">
        <v>50</v>
      </c>
      <c r="BN254" t="s">
        <v>50</v>
      </c>
      <c r="BO254" t="s">
        <v>50</v>
      </c>
      <c r="BP254" t="s">
        <v>50</v>
      </c>
      <c r="BQ254" t="s">
        <v>50</v>
      </c>
      <c r="BR254" t="s">
        <v>50</v>
      </c>
      <c r="BS254" t="s">
        <v>50</v>
      </c>
      <c r="BU254" t="s">
        <v>50</v>
      </c>
      <c r="BV254" t="s">
        <v>50</v>
      </c>
      <c r="BW254" t="s">
        <v>50</v>
      </c>
      <c r="BX254" t="s">
        <v>50</v>
      </c>
      <c r="BY254" t="s">
        <v>50</v>
      </c>
      <c r="BZ254" t="s">
        <v>50</v>
      </c>
      <c r="CA254" t="s">
        <v>50</v>
      </c>
      <c r="CB254" t="s">
        <v>50</v>
      </c>
      <c r="CC254" t="s">
        <v>50</v>
      </c>
      <c r="CD254" t="s">
        <v>50</v>
      </c>
      <c r="CE254" t="s">
        <v>50</v>
      </c>
      <c r="CF254" t="s">
        <v>50</v>
      </c>
      <c r="CG254" t="s">
        <v>50</v>
      </c>
      <c r="CH254" t="s">
        <v>50</v>
      </c>
      <c r="CI254" t="s">
        <v>50</v>
      </c>
      <c r="CK254" t="s">
        <v>50</v>
      </c>
    </row>
    <row r="255" spans="1:89" x14ac:dyDescent="0.3">
      <c r="A255" s="155">
        <v>951</v>
      </c>
      <c r="B255" t="s">
        <v>984</v>
      </c>
      <c r="D255">
        <v>2</v>
      </c>
      <c r="E255">
        <v>2</v>
      </c>
      <c r="F255">
        <v>2</v>
      </c>
      <c r="G255">
        <v>1</v>
      </c>
      <c r="H255">
        <v>2</v>
      </c>
      <c r="I255">
        <v>2</v>
      </c>
      <c r="J255">
        <v>2</v>
      </c>
      <c r="K255">
        <v>2</v>
      </c>
      <c r="L255">
        <v>2</v>
      </c>
      <c r="M255">
        <v>2</v>
      </c>
      <c r="N255">
        <v>2</v>
      </c>
      <c r="O255">
        <v>2</v>
      </c>
      <c r="P255">
        <v>1</v>
      </c>
      <c r="Q255">
        <v>2</v>
      </c>
      <c r="R255">
        <v>2</v>
      </c>
      <c r="S255">
        <v>2</v>
      </c>
      <c r="T255">
        <v>2</v>
      </c>
      <c r="U255">
        <v>2</v>
      </c>
      <c r="V255">
        <v>1</v>
      </c>
      <c r="W255">
        <v>2</v>
      </c>
      <c r="X255">
        <v>2</v>
      </c>
      <c r="Y255">
        <v>2</v>
      </c>
      <c r="Z255">
        <v>2</v>
      </c>
      <c r="AA255">
        <v>2</v>
      </c>
      <c r="AB255">
        <v>2</v>
      </c>
      <c r="AC255">
        <v>2</v>
      </c>
      <c r="AD255">
        <v>2</v>
      </c>
      <c r="AE255">
        <v>2</v>
      </c>
      <c r="AF255">
        <v>2</v>
      </c>
      <c r="AG255">
        <v>2</v>
      </c>
      <c r="AH255">
        <v>2</v>
      </c>
      <c r="AI255">
        <v>2</v>
      </c>
      <c r="AJ255">
        <v>2</v>
      </c>
      <c r="AK255">
        <v>2</v>
      </c>
      <c r="AL255">
        <v>2</v>
      </c>
      <c r="AM255">
        <v>1</v>
      </c>
      <c r="AN255">
        <v>2</v>
      </c>
      <c r="AO255">
        <v>2</v>
      </c>
      <c r="AP255">
        <v>1</v>
      </c>
      <c r="AQ255">
        <v>2</v>
      </c>
      <c r="AR255">
        <v>1</v>
      </c>
      <c r="AS255">
        <v>2</v>
      </c>
      <c r="AT255">
        <v>2</v>
      </c>
      <c r="AU255">
        <v>1</v>
      </c>
      <c r="AV255">
        <v>2</v>
      </c>
      <c r="AW255">
        <v>2</v>
      </c>
      <c r="AX255">
        <v>1</v>
      </c>
      <c r="AY255">
        <v>2</v>
      </c>
      <c r="AZ255">
        <v>2</v>
      </c>
      <c r="BA255">
        <v>2</v>
      </c>
      <c r="BB255">
        <v>2</v>
      </c>
      <c r="BC255">
        <v>2</v>
      </c>
      <c r="BD255">
        <v>2</v>
      </c>
      <c r="BE255">
        <v>2</v>
      </c>
      <c r="BF255">
        <v>2</v>
      </c>
      <c r="BG255">
        <v>2</v>
      </c>
      <c r="BH255">
        <v>2</v>
      </c>
      <c r="BI255">
        <v>2</v>
      </c>
      <c r="BJ255">
        <v>2</v>
      </c>
      <c r="BK255">
        <v>2</v>
      </c>
      <c r="BL255">
        <v>2</v>
      </c>
      <c r="BM255">
        <v>2</v>
      </c>
      <c r="BN255">
        <v>2</v>
      </c>
      <c r="BO255">
        <v>2</v>
      </c>
      <c r="BP255">
        <v>2</v>
      </c>
      <c r="BQ255">
        <v>1</v>
      </c>
      <c r="BR255">
        <v>2</v>
      </c>
      <c r="BS255">
        <v>2</v>
      </c>
      <c r="BU255">
        <v>1</v>
      </c>
      <c r="BV255">
        <v>1</v>
      </c>
      <c r="BW255">
        <v>2</v>
      </c>
      <c r="BX255">
        <v>2</v>
      </c>
      <c r="BY255">
        <v>1</v>
      </c>
      <c r="BZ255">
        <v>2</v>
      </c>
      <c r="CA255">
        <v>2</v>
      </c>
      <c r="CB255">
        <v>2</v>
      </c>
      <c r="CC255">
        <v>2</v>
      </c>
      <c r="CD255">
        <v>2</v>
      </c>
      <c r="CE255">
        <v>2</v>
      </c>
      <c r="CF255">
        <v>2</v>
      </c>
      <c r="CG255">
        <v>2</v>
      </c>
      <c r="CH255">
        <v>2</v>
      </c>
      <c r="CI255">
        <v>2</v>
      </c>
      <c r="CK255">
        <v>1</v>
      </c>
    </row>
    <row r="256" spans="1:89" x14ac:dyDescent="0.3">
      <c r="A256" s="155">
        <v>952</v>
      </c>
      <c r="B256" t="s">
        <v>985</v>
      </c>
      <c r="D256" t="s">
        <v>2192</v>
      </c>
      <c r="E256" t="s">
        <v>2193</v>
      </c>
      <c r="F256" t="s">
        <v>2194</v>
      </c>
      <c r="H256" t="s">
        <v>2195</v>
      </c>
      <c r="I256" t="s">
        <v>2196</v>
      </c>
      <c r="J256" t="s">
        <v>2197</v>
      </c>
      <c r="K256" t="s">
        <v>2198</v>
      </c>
      <c r="L256" t="s">
        <v>988</v>
      </c>
      <c r="M256" t="s">
        <v>2199</v>
      </c>
      <c r="N256" t="s">
        <v>2200</v>
      </c>
      <c r="O256" t="s">
        <v>2201</v>
      </c>
      <c r="P256" t="s">
        <v>2196</v>
      </c>
      <c r="R256" t="s">
        <v>990</v>
      </c>
      <c r="S256" t="s">
        <v>2202</v>
      </c>
      <c r="T256" t="s">
        <v>2192</v>
      </c>
      <c r="U256" t="s">
        <v>2203</v>
      </c>
      <c r="V256" t="s">
        <v>2204</v>
      </c>
      <c r="W256" t="s">
        <v>2205</v>
      </c>
      <c r="X256" t="s">
        <v>2206</v>
      </c>
      <c r="Y256" t="s">
        <v>2207</v>
      </c>
      <c r="Z256" t="s">
        <v>2208</v>
      </c>
      <c r="AB256" t="s">
        <v>1663</v>
      </c>
      <c r="AC256" t="s">
        <v>2209</v>
      </c>
      <c r="AD256" t="s">
        <v>2210</v>
      </c>
      <c r="AE256" t="s">
        <v>2211</v>
      </c>
      <c r="AG256" t="s">
        <v>2212</v>
      </c>
      <c r="AH256" t="s">
        <v>2195</v>
      </c>
      <c r="AI256" t="s">
        <v>2213</v>
      </c>
      <c r="AJ256" t="s">
        <v>987</v>
      </c>
      <c r="AK256" t="s">
        <v>2214</v>
      </c>
      <c r="AL256" t="s">
        <v>2215</v>
      </c>
      <c r="AM256" t="s">
        <v>1157</v>
      </c>
      <c r="AN256" t="s">
        <v>2216</v>
      </c>
      <c r="AO256" t="s">
        <v>2217</v>
      </c>
      <c r="AQ256" t="s">
        <v>2218</v>
      </c>
      <c r="AR256" t="s">
        <v>1667</v>
      </c>
      <c r="AS256" t="s">
        <v>2219</v>
      </c>
      <c r="AT256" t="s">
        <v>2220</v>
      </c>
      <c r="AU256" t="s">
        <v>990</v>
      </c>
      <c r="AV256" t="s">
        <v>986</v>
      </c>
      <c r="AW256" t="s">
        <v>2221</v>
      </c>
      <c r="AX256" t="s">
        <v>1655</v>
      </c>
      <c r="AY256" t="s">
        <v>989</v>
      </c>
      <c r="AZ256" t="s">
        <v>2222</v>
      </c>
      <c r="BA256" t="s">
        <v>2223</v>
      </c>
      <c r="BB256" t="s">
        <v>2224</v>
      </c>
      <c r="BC256" t="s">
        <v>2225</v>
      </c>
      <c r="BD256" t="s">
        <v>2226</v>
      </c>
      <c r="BE256" t="s">
        <v>2196</v>
      </c>
      <c r="BF256" t="s">
        <v>990</v>
      </c>
      <c r="BG256" t="s">
        <v>2227</v>
      </c>
      <c r="BH256" t="s">
        <v>2228</v>
      </c>
      <c r="BJ256" t="s">
        <v>2229</v>
      </c>
      <c r="BK256" t="s">
        <v>990</v>
      </c>
      <c r="BL256" t="s">
        <v>2230</v>
      </c>
      <c r="BM256" t="s">
        <v>2231</v>
      </c>
      <c r="BN256" t="s">
        <v>2232</v>
      </c>
      <c r="BP256" t="s">
        <v>2233</v>
      </c>
      <c r="BQ256" t="s">
        <v>2203</v>
      </c>
      <c r="BR256" t="s">
        <v>2234</v>
      </c>
      <c r="BS256" t="s">
        <v>2235</v>
      </c>
      <c r="BU256" t="s">
        <v>986</v>
      </c>
      <c r="BV256" t="s">
        <v>2236</v>
      </c>
      <c r="BW256" t="s">
        <v>2237</v>
      </c>
      <c r="BX256" t="s">
        <v>2238</v>
      </c>
      <c r="CA256" t="s">
        <v>2239</v>
      </c>
      <c r="CB256" t="s">
        <v>990</v>
      </c>
      <c r="CC256" t="s">
        <v>2240</v>
      </c>
      <c r="CD256" t="s">
        <v>2228</v>
      </c>
      <c r="CE256" t="s">
        <v>1028</v>
      </c>
      <c r="CF256" t="s">
        <v>990</v>
      </c>
      <c r="CG256" t="s">
        <v>2241</v>
      </c>
      <c r="CH256" t="s">
        <v>2242</v>
      </c>
      <c r="CI256" t="s">
        <v>2243</v>
      </c>
      <c r="CK256" t="s">
        <v>2244</v>
      </c>
    </row>
    <row r="257" spans="1:89" x14ac:dyDescent="0.3">
      <c r="A257" s="155">
        <v>953</v>
      </c>
      <c r="B257" t="s">
        <v>991</v>
      </c>
      <c r="D257">
        <v>2</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U257">
        <v>2</v>
      </c>
      <c r="AV257">
        <v>2</v>
      </c>
      <c r="AW257">
        <v>2</v>
      </c>
      <c r="AX257">
        <v>1</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c r="BS257">
        <v>2</v>
      </c>
      <c r="BU257">
        <v>2</v>
      </c>
      <c r="BV257">
        <v>2</v>
      </c>
      <c r="BW257">
        <v>2</v>
      </c>
      <c r="BX257">
        <v>2</v>
      </c>
      <c r="BY257">
        <v>2</v>
      </c>
      <c r="BZ257">
        <v>2</v>
      </c>
      <c r="CA257">
        <v>2</v>
      </c>
      <c r="CB257">
        <v>2</v>
      </c>
      <c r="CC257">
        <v>2</v>
      </c>
      <c r="CD257">
        <v>2</v>
      </c>
      <c r="CE257">
        <v>2</v>
      </c>
      <c r="CF257">
        <v>2</v>
      </c>
      <c r="CG257">
        <v>2</v>
      </c>
      <c r="CH257">
        <v>2</v>
      </c>
      <c r="CI257">
        <v>2</v>
      </c>
      <c r="CK257">
        <v>2</v>
      </c>
    </row>
    <row r="258" spans="1:89" x14ac:dyDescent="0.3">
      <c r="A258" s="155">
        <v>954</v>
      </c>
      <c r="B258" t="s">
        <v>411</v>
      </c>
      <c r="D258" t="s">
        <v>50</v>
      </c>
      <c r="E258" t="s">
        <v>50</v>
      </c>
      <c r="F258" t="s">
        <v>2245</v>
      </c>
      <c r="G258" t="s">
        <v>51</v>
      </c>
      <c r="H258" t="s">
        <v>50</v>
      </c>
      <c r="I258" t="s">
        <v>50</v>
      </c>
      <c r="J258" t="s">
        <v>50</v>
      </c>
      <c r="K258" t="s">
        <v>50</v>
      </c>
      <c r="L258" t="s">
        <v>50</v>
      </c>
      <c r="M258" t="s">
        <v>50</v>
      </c>
      <c r="N258" t="s">
        <v>50</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50</v>
      </c>
      <c r="AG258" t="s">
        <v>50</v>
      </c>
      <c r="AH258" t="s">
        <v>50</v>
      </c>
      <c r="AI258" t="s">
        <v>50</v>
      </c>
      <c r="AJ258" t="s">
        <v>50</v>
      </c>
      <c r="AK258" t="s">
        <v>50</v>
      </c>
      <c r="AL258" t="s">
        <v>50</v>
      </c>
      <c r="AM258" t="s">
        <v>50</v>
      </c>
      <c r="AN258" t="s">
        <v>50</v>
      </c>
      <c r="AO258" t="s">
        <v>50</v>
      </c>
      <c r="AP258" t="s">
        <v>50</v>
      </c>
      <c r="AQ258" t="s">
        <v>50</v>
      </c>
      <c r="AR258" t="s">
        <v>50</v>
      </c>
      <c r="AS258" t="s">
        <v>50</v>
      </c>
      <c r="AT258" t="s">
        <v>50</v>
      </c>
      <c r="AU258" t="s">
        <v>50</v>
      </c>
      <c r="AV258" t="s">
        <v>50</v>
      </c>
      <c r="AW258" t="s">
        <v>50</v>
      </c>
      <c r="AX258" t="s">
        <v>50</v>
      </c>
      <c r="AY258" t="s">
        <v>50</v>
      </c>
      <c r="AZ258" t="s">
        <v>50</v>
      </c>
      <c r="BA258" t="s">
        <v>50</v>
      </c>
      <c r="BB258" t="s">
        <v>50</v>
      </c>
      <c r="BC258" t="s">
        <v>50</v>
      </c>
      <c r="BD258" t="s">
        <v>50</v>
      </c>
      <c r="BE258" t="s">
        <v>50</v>
      </c>
      <c r="BF258" t="s">
        <v>50</v>
      </c>
      <c r="BG258" t="s">
        <v>50</v>
      </c>
      <c r="BH258" t="s">
        <v>50</v>
      </c>
      <c r="BI258" t="s">
        <v>50</v>
      </c>
      <c r="BJ258" t="s">
        <v>50</v>
      </c>
      <c r="BK258" t="s">
        <v>50</v>
      </c>
      <c r="BL258" t="s">
        <v>50</v>
      </c>
      <c r="BM258" t="s">
        <v>50</v>
      </c>
      <c r="BN258" t="s">
        <v>50</v>
      </c>
      <c r="BO258" t="s">
        <v>50</v>
      </c>
      <c r="BP258" t="s">
        <v>50</v>
      </c>
      <c r="BQ258" t="s">
        <v>50</v>
      </c>
      <c r="BR258" t="s">
        <v>50</v>
      </c>
      <c r="BS258" t="s">
        <v>50</v>
      </c>
      <c r="BU258" t="s">
        <v>50</v>
      </c>
      <c r="BV258" t="s">
        <v>50</v>
      </c>
      <c r="BW258" t="s">
        <v>50</v>
      </c>
      <c r="BX258" t="s">
        <v>50</v>
      </c>
      <c r="BY258" t="s">
        <v>50</v>
      </c>
      <c r="BZ258" t="s">
        <v>50</v>
      </c>
      <c r="CA258" t="s">
        <v>1725</v>
      </c>
      <c r="CB258" t="s">
        <v>50</v>
      </c>
      <c r="CC258" t="s">
        <v>50</v>
      </c>
      <c r="CD258" t="s">
        <v>50</v>
      </c>
      <c r="CE258" t="s">
        <v>50</v>
      </c>
      <c r="CF258" t="s">
        <v>50</v>
      </c>
      <c r="CG258" t="s">
        <v>50</v>
      </c>
      <c r="CH258" t="s">
        <v>50</v>
      </c>
      <c r="CI258" t="s">
        <v>50</v>
      </c>
      <c r="CK258" t="s">
        <v>50</v>
      </c>
    </row>
    <row r="259" spans="1:89" x14ac:dyDescent="0.3">
      <c r="A259" s="155">
        <v>955</v>
      </c>
      <c r="B259" t="s">
        <v>992</v>
      </c>
      <c r="D259">
        <v>2</v>
      </c>
      <c r="E259">
        <v>1</v>
      </c>
      <c r="F259">
        <v>1</v>
      </c>
      <c r="G259">
        <v>0</v>
      </c>
      <c r="H259">
        <v>0</v>
      </c>
      <c r="I259">
        <v>0</v>
      </c>
      <c r="J259">
        <v>0</v>
      </c>
      <c r="K259">
        <v>0</v>
      </c>
      <c r="L259">
        <v>0</v>
      </c>
      <c r="M259">
        <v>0</v>
      </c>
      <c r="N259">
        <v>0</v>
      </c>
      <c r="O259">
        <v>0</v>
      </c>
      <c r="P259">
        <v>0</v>
      </c>
      <c r="Q259">
        <v>0</v>
      </c>
      <c r="R259">
        <v>0</v>
      </c>
      <c r="S259">
        <v>0</v>
      </c>
      <c r="T259">
        <v>0</v>
      </c>
      <c r="U259">
        <v>0</v>
      </c>
      <c r="V259">
        <v>1</v>
      </c>
      <c r="W259">
        <v>0</v>
      </c>
      <c r="X259">
        <v>0</v>
      </c>
      <c r="Y259">
        <v>1</v>
      </c>
      <c r="Z259">
        <v>0</v>
      </c>
      <c r="AA259">
        <v>0</v>
      </c>
      <c r="AB259">
        <v>0</v>
      </c>
      <c r="AC259">
        <v>3</v>
      </c>
      <c r="AD259">
        <v>0</v>
      </c>
      <c r="AE259">
        <v>0</v>
      </c>
      <c r="AF259">
        <v>0</v>
      </c>
      <c r="AG259">
        <v>0</v>
      </c>
      <c r="AH259">
        <v>0</v>
      </c>
      <c r="AI259">
        <v>0</v>
      </c>
      <c r="AJ259">
        <v>0</v>
      </c>
      <c r="AK259">
        <v>0</v>
      </c>
      <c r="AL259">
        <v>2</v>
      </c>
      <c r="AM259">
        <v>3</v>
      </c>
      <c r="AN259">
        <v>1</v>
      </c>
      <c r="AO259">
        <v>0</v>
      </c>
      <c r="AP259">
        <v>0</v>
      </c>
      <c r="AQ259">
        <v>0</v>
      </c>
      <c r="AR259">
        <v>2</v>
      </c>
      <c r="AS259">
        <v>2</v>
      </c>
      <c r="AT259">
        <v>0</v>
      </c>
      <c r="AU259">
        <v>0</v>
      </c>
      <c r="AV259">
        <v>0</v>
      </c>
      <c r="AW259">
        <v>0</v>
      </c>
      <c r="AX259">
        <v>2</v>
      </c>
      <c r="AY259">
        <v>0</v>
      </c>
      <c r="AZ259">
        <v>0</v>
      </c>
      <c r="BA259">
        <v>0</v>
      </c>
      <c r="BB259">
        <v>0</v>
      </c>
      <c r="BC259">
        <v>0</v>
      </c>
      <c r="BD259">
        <v>0</v>
      </c>
      <c r="BE259">
        <v>0</v>
      </c>
      <c r="BF259">
        <v>0</v>
      </c>
      <c r="BG259">
        <v>0</v>
      </c>
      <c r="BH259">
        <v>1</v>
      </c>
      <c r="BI259">
        <v>0</v>
      </c>
      <c r="BJ259">
        <v>0</v>
      </c>
      <c r="BK259">
        <v>2</v>
      </c>
      <c r="BL259">
        <v>1</v>
      </c>
      <c r="BM259">
        <v>0</v>
      </c>
      <c r="BN259">
        <v>0</v>
      </c>
      <c r="BO259">
        <v>0</v>
      </c>
      <c r="BP259">
        <v>1</v>
      </c>
      <c r="BQ259">
        <v>0</v>
      </c>
      <c r="BR259">
        <v>0</v>
      </c>
      <c r="BS259">
        <v>0</v>
      </c>
      <c r="BU259">
        <v>0</v>
      </c>
      <c r="BV259">
        <v>0</v>
      </c>
      <c r="BW259">
        <v>0</v>
      </c>
      <c r="BX259">
        <v>0</v>
      </c>
      <c r="BY259">
        <v>0</v>
      </c>
      <c r="BZ259">
        <v>1</v>
      </c>
      <c r="CA259">
        <v>0</v>
      </c>
      <c r="CB259">
        <v>0</v>
      </c>
      <c r="CC259">
        <v>0</v>
      </c>
      <c r="CD259">
        <v>2</v>
      </c>
      <c r="CE259">
        <v>1</v>
      </c>
      <c r="CF259">
        <v>0</v>
      </c>
      <c r="CG259">
        <v>0</v>
      </c>
      <c r="CH259">
        <v>0</v>
      </c>
      <c r="CI259">
        <v>0</v>
      </c>
      <c r="CK259">
        <v>2</v>
      </c>
    </row>
    <row r="260" spans="1:89" x14ac:dyDescent="0.3">
      <c r="A260" s="155">
        <v>956</v>
      </c>
      <c r="B260" t="s">
        <v>412</v>
      </c>
      <c r="D260" t="s">
        <v>50</v>
      </c>
      <c r="E260" t="s">
        <v>50</v>
      </c>
      <c r="F260" t="s">
        <v>2245</v>
      </c>
      <c r="G260" t="s">
        <v>51</v>
      </c>
      <c r="H260" t="s">
        <v>50</v>
      </c>
      <c r="I260" t="s">
        <v>50</v>
      </c>
      <c r="J260" t="s">
        <v>50</v>
      </c>
      <c r="K260" t="s">
        <v>50</v>
      </c>
      <c r="L260" t="s">
        <v>50</v>
      </c>
      <c r="M260" t="s">
        <v>50</v>
      </c>
      <c r="N260" t="s">
        <v>50</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50</v>
      </c>
      <c r="AG260" t="s">
        <v>50</v>
      </c>
      <c r="AH260" t="s">
        <v>50</v>
      </c>
      <c r="AI260" t="s">
        <v>50</v>
      </c>
      <c r="AJ260" t="s">
        <v>50</v>
      </c>
      <c r="AK260" t="s">
        <v>50</v>
      </c>
      <c r="AL260" t="s">
        <v>50</v>
      </c>
      <c r="AM260" t="s">
        <v>51</v>
      </c>
      <c r="AN260" t="s">
        <v>50</v>
      </c>
      <c r="AO260" t="s">
        <v>50</v>
      </c>
      <c r="AP260" t="s">
        <v>50</v>
      </c>
      <c r="AQ260" t="s">
        <v>50</v>
      </c>
      <c r="AR260" t="s">
        <v>51</v>
      </c>
      <c r="AS260" t="s">
        <v>50</v>
      </c>
      <c r="AT260" t="s">
        <v>50</v>
      </c>
      <c r="AU260" t="s">
        <v>50</v>
      </c>
      <c r="AV260" t="s">
        <v>50</v>
      </c>
      <c r="AW260" t="s">
        <v>50</v>
      </c>
      <c r="AX260" t="s">
        <v>50</v>
      </c>
      <c r="AY260" t="s">
        <v>50</v>
      </c>
      <c r="AZ260" t="s">
        <v>50</v>
      </c>
      <c r="BA260" t="s">
        <v>50</v>
      </c>
      <c r="BB260" t="s">
        <v>50</v>
      </c>
      <c r="BC260" t="s">
        <v>50</v>
      </c>
      <c r="BD260" t="s">
        <v>50</v>
      </c>
      <c r="BE260" t="s">
        <v>50</v>
      </c>
      <c r="BF260" t="s">
        <v>50</v>
      </c>
      <c r="BG260" t="s">
        <v>50</v>
      </c>
      <c r="BH260" t="s">
        <v>50</v>
      </c>
      <c r="BI260" t="s">
        <v>50</v>
      </c>
      <c r="BJ260" t="s">
        <v>50</v>
      </c>
      <c r="BK260" t="s">
        <v>51</v>
      </c>
      <c r="BL260" t="s">
        <v>50</v>
      </c>
      <c r="BM260" t="s">
        <v>50</v>
      </c>
      <c r="BN260" t="s">
        <v>50</v>
      </c>
      <c r="BO260" t="s">
        <v>50</v>
      </c>
      <c r="BP260" t="s">
        <v>50</v>
      </c>
      <c r="BQ260" t="s">
        <v>50</v>
      </c>
      <c r="BR260" t="s">
        <v>50</v>
      </c>
      <c r="BS260" t="s">
        <v>50</v>
      </c>
      <c r="BU260" t="s">
        <v>50</v>
      </c>
      <c r="BV260" t="s">
        <v>50</v>
      </c>
      <c r="BW260" t="s">
        <v>50</v>
      </c>
      <c r="BX260" t="s">
        <v>50</v>
      </c>
      <c r="BY260" t="s">
        <v>51</v>
      </c>
      <c r="BZ260" t="s">
        <v>50</v>
      </c>
      <c r="CA260" t="s">
        <v>1725</v>
      </c>
      <c r="CB260" t="s">
        <v>50</v>
      </c>
      <c r="CC260" t="s">
        <v>50</v>
      </c>
      <c r="CD260" t="s">
        <v>50</v>
      </c>
      <c r="CE260" t="s">
        <v>50</v>
      </c>
      <c r="CF260" t="s">
        <v>50</v>
      </c>
      <c r="CG260" t="s">
        <v>50</v>
      </c>
      <c r="CH260" t="s">
        <v>50</v>
      </c>
      <c r="CI260" t="s">
        <v>50</v>
      </c>
      <c r="CK260" t="s">
        <v>50</v>
      </c>
    </row>
    <row r="261" spans="1:89" x14ac:dyDescent="0.3">
      <c r="A261" s="155">
        <v>957</v>
      </c>
      <c r="B261" t="s">
        <v>993</v>
      </c>
      <c r="D261">
        <v>0</v>
      </c>
      <c r="E261">
        <v>0</v>
      </c>
      <c r="F261">
        <v>0</v>
      </c>
      <c r="G261">
        <v>0</v>
      </c>
      <c r="H261">
        <v>0</v>
      </c>
      <c r="I261">
        <v>0</v>
      </c>
      <c r="J261">
        <v>0</v>
      </c>
      <c r="K261">
        <v>0</v>
      </c>
      <c r="L261">
        <v>0</v>
      </c>
      <c r="M261">
        <v>0</v>
      </c>
      <c r="N261">
        <v>2</v>
      </c>
      <c r="O261">
        <v>0</v>
      </c>
      <c r="P261">
        <v>0</v>
      </c>
      <c r="Q261">
        <v>0</v>
      </c>
      <c r="R261">
        <v>0</v>
      </c>
      <c r="S261">
        <v>0</v>
      </c>
      <c r="T261">
        <v>0</v>
      </c>
      <c r="U261">
        <v>0</v>
      </c>
      <c r="V261">
        <v>0</v>
      </c>
      <c r="W261">
        <v>0</v>
      </c>
      <c r="X261">
        <v>0</v>
      </c>
      <c r="Y261">
        <v>0</v>
      </c>
      <c r="Z261">
        <v>0</v>
      </c>
      <c r="AA261">
        <v>1</v>
      </c>
      <c r="AB261">
        <v>0</v>
      </c>
      <c r="AC261">
        <v>0</v>
      </c>
      <c r="AD261">
        <v>0</v>
      </c>
      <c r="AE261">
        <v>1</v>
      </c>
      <c r="AF261">
        <v>0</v>
      </c>
      <c r="AG261">
        <v>0</v>
      </c>
      <c r="AH261">
        <v>0</v>
      </c>
      <c r="AI261">
        <v>0</v>
      </c>
      <c r="AJ261">
        <v>0</v>
      </c>
      <c r="AK261">
        <v>0</v>
      </c>
      <c r="AL261">
        <v>3</v>
      </c>
      <c r="AM261">
        <v>0</v>
      </c>
      <c r="AN261">
        <v>3</v>
      </c>
      <c r="AO261">
        <v>0</v>
      </c>
      <c r="AP261">
        <v>0</v>
      </c>
      <c r="AQ261">
        <v>0</v>
      </c>
      <c r="AR261">
        <v>14</v>
      </c>
      <c r="AS261">
        <v>0</v>
      </c>
      <c r="AT261">
        <v>0</v>
      </c>
      <c r="AU261">
        <v>0</v>
      </c>
      <c r="AV261">
        <v>0</v>
      </c>
      <c r="AW261">
        <v>0</v>
      </c>
      <c r="AX261">
        <v>0</v>
      </c>
      <c r="AY261">
        <v>0</v>
      </c>
      <c r="AZ261">
        <v>0</v>
      </c>
      <c r="BA261">
        <v>3</v>
      </c>
      <c r="BB261">
        <v>0</v>
      </c>
      <c r="BC261">
        <v>2</v>
      </c>
      <c r="BD261">
        <v>0</v>
      </c>
      <c r="BE261">
        <v>0</v>
      </c>
      <c r="BF261">
        <v>0</v>
      </c>
      <c r="BG261">
        <v>0</v>
      </c>
      <c r="BH261">
        <v>0</v>
      </c>
      <c r="BI261">
        <v>0</v>
      </c>
      <c r="BJ261">
        <v>0</v>
      </c>
      <c r="BK261">
        <v>3</v>
      </c>
      <c r="BL261">
        <v>0</v>
      </c>
      <c r="BM261">
        <v>0</v>
      </c>
      <c r="BN261">
        <v>0</v>
      </c>
      <c r="BO261">
        <v>0</v>
      </c>
      <c r="BP261">
        <v>0</v>
      </c>
      <c r="BQ261">
        <v>1</v>
      </c>
      <c r="BR261">
        <v>0</v>
      </c>
      <c r="BS261">
        <v>0</v>
      </c>
      <c r="BU261">
        <v>2</v>
      </c>
      <c r="BV261">
        <v>0</v>
      </c>
      <c r="BW261">
        <v>0</v>
      </c>
      <c r="BX261">
        <v>0</v>
      </c>
      <c r="BY261">
        <v>13</v>
      </c>
      <c r="BZ261">
        <v>0</v>
      </c>
      <c r="CA261">
        <v>0</v>
      </c>
      <c r="CB261">
        <v>1</v>
      </c>
      <c r="CC261">
        <v>0</v>
      </c>
      <c r="CD261">
        <v>0</v>
      </c>
      <c r="CE261">
        <v>2</v>
      </c>
      <c r="CF261">
        <v>0</v>
      </c>
      <c r="CG261">
        <v>0</v>
      </c>
      <c r="CH261">
        <v>0</v>
      </c>
      <c r="CI261">
        <v>0</v>
      </c>
      <c r="CK261">
        <v>0</v>
      </c>
    </row>
    <row r="262" spans="1:89" x14ac:dyDescent="0.3">
      <c r="A262" s="155">
        <v>958</v>
      </c>
      <c r="B262" t="s">
        <v>994</v>
      </c>
      <c r="D262" t="s">
        <v>50</v>
      </c>
      <c r="E262" t="s">
        <v>50</v>
      </c>
      <c r="F262" t="s">
        <v>2245</v>
      </c>
      <c r="G262" t="s">
        <v>50</v>
      </c>
      <c r="H262" t="s">
        <v>1725</v>
      </c>
      <c r="I262" t="s">
        <v>50</v>
      </c>
      <c r="J262" t="s">
        <v>50</v>
      </c>
      <c r="K262" t="s">
        <v>50</v>
      </c>
      <c r="L262" t="s">
        <v>50</v>
      </c>
      <c r="M262" t="s">
        <v>50</v>
      </c>
      <c r="N262" t="s">
        <v>50</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50</v>
      </c>
      <c r="AG262" t="s">
        <v>50</v>
      </c>
      <c r="AH262" t="s">
        <v>50</v>
      </c>
      <c r="AI262" t="s">
        <v>50</v>
      </c>
      <c r="AJ262" t="s">
        <v>50</v>
      </c>
      <c r="AK262" t="s">
        <v>50</v>
      </c>
      <c r="AL262" t="s">
        <v>50</v>
      </c>
      <c r="AM262" t="s">
        <v>50</v>
      </c>
      <c r="AN262" t="s">
        <v>50</v>
      </c>
      <c r="AO262" t="s">
        <v>50</v>
      </c>
      <c r="AP262" t="s">
        <v>50</v>
      </c>
      <c r="AQ262" t="s">
        <v>50</v>
      </c>
      <c r="AR262" t="s">
        <v>51</v>
      </c>
      <c r="AS262" t="s">
        <v>50</v>
      </c>
      <c r="AT262" t="s">
        <v>50</v>
      </c>
      <c r="AU262" t="s">
        <v>50</v>
      </c>
      <c r="AV262" t="s">
        <v>50</v>
      </c>
      <c r="AW262" t="s">
        <v>50</v>
      </c>
      <c r="AX262" t="s">
        <v>51</v>
      </c>
      <c r="AY262" t="s">
        <v>50</v>
      </c>
      <c r="AZ262" t="s">
        <v>50</v>
      </c>
      <c r="BA262" t="s">
        <v>50</v>
      </c>
      <c r="BB262" t="s">
        <v>50</v>
      </c>
      <c r="BC262" t="s">
        <v>50</v>
      </c>
      <c r="BD262" t="s">
        <v>50</v>
      </c>
      <c r="BE262" t="s">
        <v>50</v>
      </c>
      <c r="BF262" t="s">
        <v>50</v>
      </c>
      <c r="BG262" t="s">
        <v>50</v>
      </c>
      <c r="BH262" t="s">
        <v>50</v>
      </c>
      <c r="BI262" t="s">
        <v>50</v>
      </c>
      <c r="BJ262" t="s">
        <v>50</v>
      </c>
      <c r="BK262" t="s">
        <v>51</v>
      </c>
      <c r="BL262" t="s">
        <v>50</v>
      </c>
      <c r="BM262" t="s">
        <v>50</v>
      </c>
      <c r="BN262" t="s">
        <v>50</v>
      </c>
      <c r="BO262" t="s">
        <v>50</v>
      </c>
      <c r="BP262" t="s">
        <v>50</v>
      </c>
      <c r="BQ262" t="s">
        <v>50</v>
      </c>
      <c r="BR262" t="s">
        <v>50</v>
      </c>
      <c r="BS262" t="s">
        <v>50</v>
      </c>
      <c r="BU262" t="s">
        <v>50</v>
      </c>
      <c r="BV262" t="s">
        <v>50</v>
      </c>
      <c r="BW262" t="s">
        <v>50</v>
      </c>
      <c r="BX262" t="s">
        <v>50</v>
      </c>
      <c r="BY262" t="s">
        <v>50</v>
      </c>
      <c r="BZ262" t="s">
        <v>50</v>
      </c>
      <c r="CA262" t="s">
        <v>1725</v>
      </c>
      <c r="CB262" t="s">
        <v>50</v>
      </c>
      <c r="CC262" t="s">
        <v>50</v>
      </c>
      <c r="CD262" t="s">
        <v>50</v>
      </c>
      <c r="CE262" t="s">
        <v>50</v>
      </c>
      <c r="CF262" t="s">
        <v>50</v>
      </c>
      <c r="CG262" t="s">
        <v>50</v>
      </c>
      <c r="CH262" t="s">
        <v>50</v>
      </c>
      <c r="CI262" t="s">
        <v>50</v>
      </c>
      <c r="CK262" t="s">
        <v>50</v>
      </c>
    </row>
    <row r="263" spans="1:89" x14ac:dyDescent="0.3">
      <c r="A263" s="155">
        <v>959</v>
      </c>
      <c r="B263" t="s">
        <v>995</v>
      </c>
      <c r="D263">
        <v>2</v>
      </c>
      <c r="E263">
        <v>2</v>
      </c>
      <c r="F263">
        <v>2</v>
      </c>
      <c r="G263">
        <v>2</v>
      </c>
      <c r="H263">
        <v>2</v>
      </c>
      <c r="I263">
        <v>2</v>
      </c>
      <c r="J263">
        <v>2</v>
      </c>
      <c r="K263">
        <v>2</v>
      </c>
      <c r="L263">
        <v>3</v>
      </c>
      <c r="M263">
        <v>2</v>
      </c>
      <c r="N263">
        <v>2</v>
      </c>
      <c r="O263">
        <v>2</v>
      </c>
      <c r="P263">
        <v>3</v>
      </c>
      <c r="Q263">
        <v>2</v>
      </c>
      <c r="R263">
        <v>2</v>
      </c>
      <c r="S263">
        <v>2</v>
      </c>
      <c r="T263">
        <v>2</v>
      </c>
      <c r="U263">
        <v>2</v>
      </c>
      <c r="V263">
        <v>2</v>
      </c>
      <c r="W263">
        <v>2</v>
      </c>
      <c r="X263">
        <v>2</v>
      </c>
      <c r="Y263">
        <v>2</v>
      </c>
      <c r="Z263">
        <v>2</v>
      </c>
      <c r="AA263">
        <v>2</v>
      </c>
      <c r="AB263">
        <v>2</v>
      </c>
      <c r="AC263">
        <v>2</v>
      </c>
      <c r="AD263">
        <v>2</v>
      </c>
      <c r="AE263">
        <v>2</v>
      </c>
      <c r="AF263">
        <v>2</v>
      </c>
      <c r="AG263">
        <v>3</v>
      </c>
      <c r="AH263">
        <v>2</v>
      </c>
      <c r="AI263">
        <v>2</v>
      </c>
      <c r="AJ263">
        <v>2</v>
      </c>
      <c r="AK263">
        <v>2</v>
      </c>
      <c r="AL263">
        <v>2</v>
      </c>
      <c r="AM263">
        <v>3</v>
      </c>
      <c r="AN263">
        <v>2</v>
      </c>
      <c r="AO263">
        <v>2</v>
      </c>
      <c r="AP263">
        <v>2</v>
      </c>
      <c r="AQ263">
        <v>2</v>
      </c>
      <c r="AR263">
        <v>3</v>
      </c>
      <c r="AS263">
        <v>2</v>
      </c>
      <c r="AT263">
        <v>2</v>
      </c>
      <c r="AU263">
        <v>2</v>
      </c>
      <c r="AV263">
        <v>2</v>
      </c>
      <c r="AW263">
        <v>2</v>
      </c>
      <c r="AX263">
        <v>2</v>
      </c>
      <c r="AY263">
        <v>2</v>
      </c>
      <c r="AZ263">
        <v>2</v>
      </c>
      <c r="BA263">
        <v>2</v>
      </c>
      <c r="BB263">
        <v>3</v>
      </c>
      <c r="BC263">
        <v>2</v>
      </c>
      <c r="BD263">
        <v>3</v>
      </c>
      <c r="BE263">
        <v>2</v>
      </c>
      <c r="BF263">
        <v>2</v>
      </c>
      <c r="BG263">
        <v>3</v>
      </c>
      <c r="BH263">
        <v>2</v>
      </c>
      <c r="BI263">
        <v>2</v>
      </c>
      <c r="BJ263">
        <v>3</v>
      </c>
      <c r="BK263">
        <v>2</v>
      </c>
      <c r="BL263">
        <v>2</v>
      </c>
      <c r="BM263">
        <v>2</v>
      </c>
      <c r="BN263">
        <v>2</v>
      </c>
      <c r="BO263">
        <v>2</v>
      </c>
      <c r="BP263">
        <v>2</v>
      </c>
      <c r="BQ263">
        <v>3</v>
      </c>
      <c r="BR263">
        <v>2</v>
      </c>
      <c r="BS263">
        <v>3</v>
      </c>
      <c r="BU263">
        <v>2</v>
      </c>
      <c r="BV263">
        <v>3</v>
      </c>
      <c r="BW263">
        <v>2</v>
      </c>
      <c r="BX263">
        <v>2</v>
      </c>
      <c r="BY263">
        <v>2</v>
      </c>
      <c r="BZ263">
        <v>2</v>
      </c>
      <c r="CA263">
        <v>2</v>
      </c>
      <c r="CB263">
        <v>2</v>
      </c>
      <c r="CC263">
        <v>3</v>
      </c>
      <c r="CD263">
        <v>2</v>
      </c>
      <c r="CE263">
        <v>2</v>
      </c>
      <c r="CF263">
        <v>2</v>
      </c>
      <c r="CG263">
        <v>2</v>
      </c>
      <c r="CH263">
        <v>2</v>
      </c>
      <c r="CI263">
        <v>2</v>
      </c>
      <c r="CK263">
        <v>3</v>
      </c>
    </row>
    <row r="264" spans="1:89" x14ac:dyDescent="0.3">
      <c r="A264" s="155">
        <v>960</v>
      </c>
      <c r="B264" t="s">
        <v>996</v>
      </c>
      <c r="D264" t="s">
        <v>2246</v>
      </c>
      <c r="E264" t="s">
        <v>2247</v>
      </c>
      <c r="F264" t="s">
        <v>2248</v>
      </c>
      <c r="G264" t="s">
        <v>2064</v>
      </c>
      <c r="H264" t="s">
        <v>2249</v>
      </c>
      <c r="I264" t="s">
        <v>2250</v>
      </c>
      <c r="J264" t="s">
        <v>2251</v>
      </c>
      <c r="K264" t="s">
        <v>2252</v>
      </c>
      <c r="L264" t="s">
        <v>2253</v>
      </c>
      <c r="M264" t="s">
        <v>2254</v>
      </c>
      <c r="N264" t="s">
        <v>2255</v>
      </c>
      <c r="O264" t="s">
        <v>2256</v>
      </c>
      <c r="P264" t="s">
        <v>2257</v>
      </c>
      <c r="Q264" t="s">
        <v>2258</v>
      </c>
      <c r="R264" t="s">
        <v>2259</v>
      </c>
      <c r="S264" t="s">
        <v>2260</v>
      </c>
      <c r="T264" t="s">
        <v>2261</v>
      </c>
      <c r="U264" t="s">
        <v>2262</v>
      </c>
      <c r="V264" t="s">
        <v>2263</v>
      </c>
      <c r="W264" t="s">
        <v>2264</v>
      </c>
      <c r="X264" t="s">
        <v>2265</v>
      </c>
      <c r="Y264" t="s">
        <v>2266</v>
      </c>
      <c r="Z264" t="s">
        <v>2267</v>
      </c>
      <c r="AA264" t="s">
        <v>2268</v>
      </c>
      <c r="AB264" t="s">
        <v>2269</v>
      </c>
      <c r="AC264" t="s">
        <v>2270</v>
      </c>
      <c r="AD264" t="s">
        <v>2271</v>
      </c>
      <c r="AE264" t="s">
        <v>2272</v>
      </c>
      <c r="AF264" t="s">
        <v>2273</v>
      </c>
      <c r="AG264" t="s">
        <v>2274</v>
      </c>
      <c r="AH264" t="s">
        <v>2275</v>
      </c>
      <c r="AI264" t="s">
        <v>2276</v>
      </c>
      <c r="AJ264" t="s">
        <v>2277</v>
      </c>
      <c r="AK264" t="s">
        <v>2278</v>
      </c>
      <c r="AL264" t="s">
        <v>2279</v>
      </c>
      <c r="AM264" t="s">
        <v>2280</v>
      </c>
      <c r="AN264" t="s">
        <v>2281</v>
      </c>
      <c r="AO264" t="s">
        <v>2282</v>
      </c>
      <c r="AP264" t="s">
        <v>2283</v>
      </c>
      <c r="AQ264" t="s">
        <v>2284</v>
      </c>
      <c r="AR264" t="s">
        <v>2285</v>
      </c>
      <c r="AS264" t="s">
        <v>2286</v>
      </c>
      <c r="AT264" t="s">
        <v>2287</v>
      </c>
      <c r="AU264" t="s">
        <v>2288</v>
      </c>
      <c r="AV264" t="s">
        <v>2289</v>
      </c>
      <c r="AW264" t="s">
        <v>2290</v>
      </c>
      <c r="AX264" t="s">
        <v>2291</v>
      </c>
      <c r="AY264" t="s">
        <v>2292</v>
      </c>
      <c r="AZ264" t="s">
        <v>2293</v>
      </c>
      <c r="BA264" t="s">
        <v>2294</v>
      </c>
      <c r="BB264" t="s">
        <v>2295</v>
      </c>
      <c r="BC264" t="s">
        <v>2296</v>
      </c>
      <c r="BD264" t="s">
        <v>2297</v>
      </c>
      <c r="BE264" t="s">
        <v>2298</v>
      </c>
      <c r="BF264" t="s">
        <v>2299</v>
      </c>
      <c r="BG264" t="s">
        <v>2300</v>
      </c>
      <c r="BH264" t="s">
        <v>2301</v>
      </c>
      <c r="BI264" t="s">
        <v>2302</v>
      </c>
      <c r="BJ264" t="s">
        <v>2303</v>
      </c>
      <c r="BK264" t="s">
        <v>2304</v>
      </c>
      <c r="BL264" t="s">
        <v>2305</v>
      </c>
      <c r="BM264" t="s">
        <v>2306</v>
      </c>
      <c r="BN264" t="s">
        <v>2307</v>
      </c>
      <c r="BO264" t="s">
        <v>2308</v>
      </c>
      <c r="BP264" t="s">
        <v>2309</v>
      </c>
      <c r="BQ264" t="s">
        <v>2310</v>
      </c>
      <c r="BR264" t="s">
        <v>2311</v>
      </c>
      <c r="BS264" t="s">
        <v>2312</v>
      </c>
      <c r="BU264" t="s">
        <v>2313</v>
      </c>
      <c r="BV264" t="s">
        <v>2314</v>
      </c>
      <c r="BW264" t="s">
        <v>2315</v>
      </c>
      <c r="BX264" t="s">
        <v>2316</v>
      </c>
      <c r="BY264" t="s">
        <v>2317</v>
      </c>
      <c r="BZ264" t="s">
        <v>2318</v>
      </c>
      <c r="CA264" t="s">
        <v>2319</v>
      </c>
      <c r="CB264" t="s">
        <v>2320</v>
      </c>
      <c r="CC264" t="s">
        <v>2321</v>
      </c>
      <c r="CD264" t="s">
        <v>2322</v>
      </c>
      <c r="CE264" t="s">
        <v>2323</v>
      </c>
      <c r="CF264" t="s">
        <v>2324</v>
      </c>
      <c r="CG264" t="s">
        <v>2325</v>
      </c>
      <c r="CH264" t="s">
        <v>2326</v>
      </c>
      <c r="CI264" t="s">
        <v>2327</v>
      </c>
      <c r="CK264" t="s">
        <v>2328</v>
      </c>
    </row>
    <row r="265" spans="1:89" x14ac:dyDescent="0.3">
      <c r="A265" s="155">
        <v>962</v>
      </c>
      <c r="B265" t="s">
        <v>997</v>
      </c>
      <c r="D265" t="s">
        <v>999</v>
      </c>
      <c r="E265" t="s">
        <v>2329</v>
      </c>
      <c r="F265" t="s">
        <v>1000</v>
      </c>
      <c r="G265" t="s">
        <v>2064</v>
      </c>
      <c r="H265" t="s">
        <v>1001</v>
      </c>
      <c r="I265" t="s">
        <v>2330</v>
      </c>
      <c r="J265" t="s">
        <v>999</v>
      </c>
      <c r="K265" t="s">
        <v>998</v>
      </c>
      <c r="L265" t="s">
        <v>999</v>
      </c>
      <c r="M265" t="s">
        <v>998</v>
      </c>
      <c r="N265" t="s">
        <v>999</v>
      </c>
      <c r="O265" t="s">
        <v>2331</v>
      </c>
      <c r="P265" t="s">
        <v>1001</v>
      </c>
      <c r="Q265" t="s">
        <v>2332</v>
      </c>
      <c r="R265" t="s">
        <v>1149</v>
      </c>
      <c r="S265" t="s">
        <v>999</v>
      </c>
      <c r="T265" t="s">
        <v>1003</v>
      </c>
      <c r="U265" t="s">
        <v>2333</v>
      </c>
      <c r="V265" t="s">
        <v>1001</v>
      </c>
      <c r="W265" t="s">
        <v>999</v>
      </c>
      <c r="X265" t="s">
        <v>2334</v>
      </c>
      <c r="Y265" t="s">
        <v>2331</v>
      </c>
      <c r="Z265" t="s">
        <v>999</v>
      </c>
      <c r="AA265" t="s">
        <v>999</v>
      </c>
      <c r="AB265" t="s">
        <v>998</v>
      </c>
      <c r="AC265" t="s">
        <v>1002</v>
      </c>
      <c r="AD265" t="s">
        <v>998</v>
      </c>
      <c r="AE265" t="s">
        <v>2335</v>
      </c>
      <c r="AF265" t="s">
        <v>998</v>
      </c>
      <c r="AG265" t="s">
        <v>999</v>
      </c>
      <c r="AH265" t="s">
        <v>999</v>
      </c>
      <c r="AI265" t="s">
        <v>999</v>
      </c>
      <c r="AJ265" t="s">
        <v>2336</v>
      </c>
      <c r="AK265" t="s">
        <v>999</v>
      </c>
      <c r="AL265" t="s">
        <v>1001</v>
      </c>
      <c r="AM265" t="s">
        <v>999</v>
      </c>
      <c r="AN265" t="s">
        <v>999</v>
      </c>
      <c r="AO265" t="s">
        <v>2337</v>
      </c>
      <c r="AP265" t="s">
        <v>2338</v>
      </c>
      <c r="AQ265" t="s">
        <v>998</v>
      </c>
      <c r="AR265" t="s">
        <v>999</v>
      </c>
      <c r="AS265" t="s">
        <v>999</v>
      </c>
      <c r="AT265" t="s">
        <v>998</v>
      </c>
      <c r="AU265" t="s">
        <v>1000</v>
      </c>
      <c r="AV265" t="s">
        <v>999</v>
      </c>
      <c r="AW265" t="s">
        <v>998</v>
      </c>
      <c r="AX265" t="s">
        <v>999</v>
      </c>
      <c r="AY265" t="s">
        <v>998</v>
      </c>
      <c r="AZ265" t="s">
        <v>998</v>
      </c>
      <c r="BA265" t="s">
        <v>999</v>
      </c>
      <c r="BB265" t="s">
        <v>999</v>
      </c>
      <c r="BC265" t="s">
        <v>998</v>
      </c>
      <c r="BD265" t="s">
        <v>2339</v>
      </c>
      <c r="BE265" t="s">
        <v>998</v>
      </c>
      <c r="BF265" t="s">
        <v>2340</v>
      </c>
      <c r="BG265" t="s">
        <v>2341</v>
      </c>
      <c r="BH265" t="s">
        <v>2342</v>
      </c>
      <c r="BI265" t="s">
        <v>999</v>
      </c>
      <c r="BJ265" t="s">
        <v>2343</v>
      </c>
      <c r="BK265" t="s">
        <v>999</v>
      </c>
      <c r="BL265" t="s">
        <v>999</v>
      </c>
      <c r="BM265" t="s">
        <v>1000</v>
      </c>
      <c r="BN265" t="s">
        <v>2344</v>
      </c>
      <c r="BO265" t="s">
        <v>998</v>
      </c>
      <c r="BP265" t="s">
        <v>2345</v>
      </c>
      <c r="BQ265" t="s">
        <v>2346</v>
      </c>
      <c r="BR265" t="s">
        <v>1002</v>
      </c>
      <c r="BS265" t="s">
        <v>999</v>
      </c>
      <c r="BU265" t="s">
        <v>1004</v>
      </c>
      <c r="BV265" t="s">
        <v>999</v>
      </c>
      <c r="BW265" t="s">
        <v>2347</v>
      </c>
      <c r="BX265" t="s">
        <v>999</v>
      </c>
      <c r="BY265" t="s">
        <v>999</v>
      </c>
      <c r="BZ265" t="s">
        <v>999</v>
      </c>
      <c r="CA265" t="s">
        <v>999</v>
      </c>
      <c r="CB265" t="s">
        <v>998</v>
      </c>
      <c r="CC265" t="s">
        <v>999</v>
      </c>
      <c r="CD265" t="s">
        <v>1001</v>
      </c>
      <c r="CE265" t="s">
        <v>999</v>
      </c>
      <c r="CF265" t="s">
        <v>998</v>
      </c>
      <c r="CG265" t="s">
        <v>998</v>
      </c>
      <c r="CH265" t="s">
        <v>998</v>
      </c>
      <c r="CI265" t="s">
        <v>999</v>
      </c>
      <c r="CK265" t="s">
        <v>1001</v>
      </c>
    </row>
    <row r="266" spans="1:89" x14ac:dyDescent="0.3">
      <c r="A266" s="155">
        <v>964</v>
      </c>
      <c r="B266" t="s">
        <v>1005</v>
      </c>
      <c r="D266" t="s">
        <v>2348</v>
      </c>
      <c r="E266" t="s">
        <v>1661</v>
      </c>
      <c r="F266" t="s">
        <v>2194</v>
      </c>
      <c r="H266" t="s">
        <v>1734</v>
      </c>
      <c r="I266" t="s">
        <v>1724</v>
      </c>
      <c r="J266" t="s">
        <v>2349</v>
      </c>
      <c r="K266" t="s">
        <v>2350</v>
      </c>
      <c r="L266" t="s">
        <v>1012</v>
      </c>
      <c r="M266" t="s">
        <v>2351</v>
      </c>
      <c r="N266" t="s">
        <v>1029</v>
      </c>
      <c r="O266" t="s">
        <v>2348</v>
      </c>
      <c r="P266" t="s">
        <v>1016</v>
      </c>
      <c r="Q266" t="s">
        <v>1008</v>
      </c>
      <c r="R266" t="s">
        <v>1015</v>
      </c>
      <c r="S266" t="s">
        <v>2352</v>
      </c>
      <c r="T266" t="s">
        <v>1663</v>
      </c>
      <c r="U266" t="s">
        <v>2353</v>
      </c>
      <c r="V266" t="s">
        <v>2354</v>
      </c>
      <c r="W266" t="s">
        <v>2355</v>
      </c>
      <c r="X266" t="s">
        <v>1663</v>
      </c>
      <c r="Y266" t="s">
        <v>1008</v>
      </c>
      <c r="Z266" t="s">
        <v>1014</v>
      </c>
      <c r="AA266" t="s">
        <v>2356</v>
      </c>
      <c r="AB266" t="s">
        <v>1016</v>
      </c>
      <c r="AC266" t="s">
        <v>1666</v>
      </c>
      <c r="AD266" t="s">
        <v>2357</v>
      </c>
      <c r="AE266" t="s">
        <v>2357</v>
      </c>
      <c r="AF266" t="s">
        <v>2358</v>
      </c>
      <c r="AG266" t="s">
        <v>1661</v>
      </c>
      <c r="AH266" t="s">
        <v>2352</v>
      </c>
      <c r="AI266" t="s">
        <v>1658</v>
      </c>
      <c r="AJ266" t="s">
        <v>2359</v>
      </c>
      <c r="AK266" t="s">
        <v>2360</v>
      </c>
      <c r="AL266" t="s">
        <v>2361</v>
      </c>
      <c r="AM266" t="s">
        <v>2362</v>
      </c>
      <c r="AN266" t="s">
        <v>2363</v>
      </c>
      <c r="AO266" t="s">
        <v>2355</v>
      </c>
      <c r="AP266" t="s">
        <v>1029</v>
      </c>
      <c r="AQ266" t="s">
        <v>1663</v>
      </c>
      <c r="AR266" t="s">
        <v>2364</v>
      </c>
      <c r="AS266" t="s">
        <v>2352</v>
      </c>
      <c r="AT266" t="s">
        <v>1017</v>
      </c>
      <c r="AU266" t="s">
        <v>2365</v>
      </c>
      <c r="AV266" t="s">
        <v>1659</v>
      </c>
      <c r="AW266" t="s">
        <v>2366</v>
      </c>
      <c r="AX266" t="s">
        <v>2367</v>
      </c>
      <c r="AY266" t="s">
        <v>2368</v>
      </c>
      <c r="AZ266" t="s">
        <v>1007</v>
      </c>
      <c r="BA266" t="s">
        <v>2369</v>
      </c>
      <c r="BB266" t="s">
        <v>2368</v>
      </c>
      <c r="BC266" t="s">
        <v>1028</v>
      </c>
      <c r="BD266" t="s">
        <v>2370</v>
      </c>
      <c r="BE266" t="s">
        <v>2371</v>
      </c>
      <c r="BF266" t="s">
        <v>1006</v>
      </c>
      <c r="BG266" t="s">
        <v>1016</v>
      </c>
      <c r="BH266" t="s">
        <v>2348</v>
      </c>
      <c r="BI266" t="s">
        <v>1660</v>
      </c>
      <c r="BJ266" t="s">
        <v>1656</v>
      </c>
      <c r="BK266" t="s">
        <v>1726</v>
      </c>
      <c r="BL266" t="s">
        <v>2059</v>
      </c>
      <c r="BM266" t="s">
        <v>1014</v>
      </c>
      <c r="BN266" t="s">
        <v>1663</v>
      </c>
      <c r="BO266" t="s">
        <v>2372</v>
      </c>
      <c r="BP266" t="s">
        <v>1665</v>
      </c>
      <c r="BQ266" t="s">
        <v>1664</v>
      </c>
      <c r="BR266" t="s">
        <v>1028</v>
      </c>
      <c r="BS266" t="s">
        <v>1662</v>
      </c>
      <c r="BU266" t="s">
        <v>1016</v>
      </c>
      <c r="BV266" t="s">
        <v>1663</v>
      </c>
      <c r="BW266" t="s">
        <v>1013</v>
      </c>
      <c r="BX266" t="s">
        <v>1007</v>
      </c>
      <c r="BY266" t="s">
        <v>1758</v>
      </c>
      <c r="BZ266" t="s">
        <v>2354</v>
      </c>
      <c r="CA266" t="s">
        <v>2350</v>
      </c>
      <c r="CB266" t="s">
        <v>1663</v>
      </c>
      <c r="CC266" t="s">
        <v>2359</v>
      </c>
      <c r="CD266" t="s">
        <v>1016</v>
      </c>
      <c r="CE266" t="s">
        <v>1012</v>
      </c>
      <c r="CF266" t="s">
        <v>1008</v>
      </c>
      <c r="CG266" t="s">
        <v>2373</v>
      </c>
      <c r="CH266" t="s">
        <v>1662</v>
      </c>
      <c r="CI266" t="s">
        <v>1010</v>
      </c>
      <c r="CK266" t="s">
        <v>1801</v>
      </c>
    </row>
    <row r="267" spans="1:89" x14ac:dyDescent="0.3">
      <c r="A267" s="155">
        <v>965</v>
      </c>
      <c r="B267" t="s">
        <v>1019</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U267">
        <v>0</v>
      </c>
      <c r="BV267">
        <v>0</v>
      </c>
      <c r="BW267">
        <v>0</v>
      </c>
      <c r="BX267">
        <v>0</v>
      </c>
      <c r="BY267">
        <v>0</v>
      </c>
      <c r="BZ267">
        <v>0</v>
      </c>
      <c r="CA267">
        <v>0</v>
      </c>
      <c r="CB267">
        <v>0</v>
      </c>
      <c r="CC267">
        <v>0</v>
      </c>
      <c r="CD267">
        <v>0</v>
      </c>
      <c r="CE267">
        <v>0</v>
      </c>
      <c r="CF267">
        <v>0</v>
      </c>
      <c r="CG267">
        <v>0</v>
      </c>
      <c r="CH267">
        <v>0</v>
      </c>
      <c r="CI267">
        <v>0</v>
      </c>
      <c r="CK267">
        <v>0</v>
      </c>
    </row>
    <row r="268" spans="1:89" x14ac:dyDescent="0.3">
      <c r="A268" s="155">
        <v>966</v>
      </c>
      <c r="B268" t="s">
        <v>1020</v>
      </c>
      <c r="D268" t="s">
        <v>2374</v>
      </c>
      <c r="E268" t="s">
        <v>2375</v>
      </c>
      <c r="F268" t="s">
        <v>2376</v>
      </c>
      <c r="G268" t="s">
        <v>2377</v>
      </c>
      <c r="H268" t="s">
        <v>2378</v>
      </c>
      <c r="I268" t="s">
        <v>2379</v>
      </c>
      <c r="J268" t="s">
        <v>2380</v>
      </c>
      <c r="K268" t="s">
        <v>2381</v>
      </c>
      <c r="L268" t="s">
        <v>2382</v>
      </c>
      <c r="M268" t="s">
        <v>2383</v>
      </c>
      <c r="N268" t="s">
        <v>2384</v>
      </c>
      <c r="O268" t="s">
        <v>2385</v>
      </c>
      <c r="P268" t="s">
        <v>2386</v>
      </c>
      <c r="Q268" t="s">
        <v>2387</v>
      </c>
      <c r="R268" t="s">
        <v>2388</v>
      </c>
      <c r="S268" t="s">
        <v>2389</v>
      </c>
      <c r="T268" t="s">
        <v>2390</v>
      </c>
      <c r="U268" t="s">
        <v>2391</v>
      </c>
      <c r="V268" t="s">
        <v>2392</v>
      </c>
      <c r="W268" t="s">
        <v>2393</v>
      </c>
      <c r="X268" t="s">
        <v>2394</v>
      </c>
      <c r="Y268" t="s">
        <v>2395</v>
      </c>
      <c r="Z268" t="s">
        <v>2396</v>
      </c>
      <c r="AA268" t="s">
        <v>2397</v>
      </c>
      <c r="AB268" t="s">
        <v>2398</v>
      </c>
      <c r="AC268" t="s">
        <v>2399</v>
      </c>
      <c r="AD268" t="s">
        <v>2400</v>
      </c>
      <c r="AE268" t="s">
        <v>2401</v>
      </c>
      <c r="AF268" t="s">
        <v>2402</v>
      </c>
      <c r="AG268" t="s">
        <v>2403</v>
      </c>
      <c r="AH268" t="s">
        <v>2404</v>
      </c>
      <c r="AI268" t="s">
        <v>2405</v>
      </c>
      <c r="AJ268" t="s">
        <v>2406</v>
      </c>
      <c r="AK268" t="s">
        <v>2407</v>
      </c>
      <c r="AL268" t="s">
        <v>2408</v>
      </c>
      <c r="AM268" t="s">
        <v>2409</v>
      </c>
      <c r="AN268" t="s">
        <v>2410</v>
      </c>
      <c r="AO268" t="s">
        <v>2411</v>
      </c>
      <c r="AP268" t="s">
        <v>2412</v>
      </c>
      <c r="AQ268" t="s">
        <v>2413</v>
      </c>
      <c r="AR268" t="s">
        <v>2414</v>
      </c>
      <c r="AS268" t="s">
        <v>2415</v>
      </c>
      <c r="AT268" t="s">
        <v>2416</v>
      </c>
      <c r="AU268" t="s">
        <v>2417</v>
      </c>
      <c r="AV268" t="s">
        <v>2418</v>
      </c>
      <c r="AW268" t="s">
        <v>2419</v>
      </c>
      <c r="AX268" t="s">
        <v>2420</v>
      </c>
      <c r="AY268" t="s">
        <v>2421</v>
      </c>
      <c r="AZ268" t="s">
        <v>2422</v>
      </c>
      <c r="BA268" t="s">
        <v>2423</v>
      </c>
      <c r="BB268" t="s">
        <v>2424</v>
      </c>
      <c r="BC268" t="s">
        <v>2425</v>
      </c>
      <c r="BD268" t="s">
        <v>2426</v>
      </c>
      <c r="BE268" t="s">
        <v>2427</v>
      </c>
      <c r="BF268" t="s">
        <v>2428</v>
      </c>
      <c r="BG268" t="s">
        <v>2429</v>
      </c>
      <c r="BH268" t="s">
        <v>2430</v>
      </c>
      <c r="BI268" t="s">
        <v>2431</v>
      </c>
      <c r="BJ268" t="s">
        <v>2432</v>
      </c>
      <c r="BK268" t="s">
        <v>2433</v>
      </c>
      <c r="BL268" t="s">
        <v>2434</v>
      </c>
      <c r="BM268" t="s">
        <v>2435</v>
      </c>
      <c r="BN268" t="s">
        <v>2436</v>
      </c>
      <c r="BO268" t="s">
        <v>2437</v>
      </c>
      <c r="BP268" t="s">
        <v>2438</v>
      </c>
      <c r="BQ268" t="s">
        <v>2439</v>
      </c>
      <c r="BR268" t="s">
        <v>2440</v>
      </c>
      <c r="BS268" t="s">
        <v>2441</v>
      </c>
      <c r="BU268" t="s">
        <v>2442</v>
      </c>
      <c r="BV268" t="s">
        <v>2443</v>
      </c>
      <c r="BW268" t="s">
        <v>2444</v>
      </c>
      <c r="BX268" t="s">
        <v>2445</v>
      </c>
      <c r="BY268" t="s">
        <v>2446</v>
      </c>
      <c r="BZ268" t="s">
        <v>2447</v>
      </c>
      <c r="CA268" t="s">
        <v>2448</v>
      </c>
      <c r="CB268" t="s">
        <v>2449</v>
      </c>
      <c r="CC268" t="s">
        <v>2450</v>
      </c>
      <c r="CD268" t="s">
        <v>2451</v>
      </c>
      <c r="CE268" t="s">
        <v>2452</v>
      </c>
      <c r="CF268" t="s">
        <v>2453</v>
      </c>
      <c r="CG268" t="s">
        <v>2454</v>
      </c>
      <c r="CH268" t="s">
        <v>2455</v>
      </c>
      <c r="CI268" t="s">
        <v>2456</v>
      </c>
      <c r="CK268" t="s">
        <v>2457</v>
      </c>
    </row>
    <row r="269" spans="1:89" x14ac:dyDescent="0.3">
      <c r="A269" s="155">
        <v>968</v>
      </c>
      <c r="B269" t="s">
        <v>1021</v>
      </c>
      <c r="D269" t="s">
        <v>2458</v>
      </c>
      <c r="E269" t="s">
        <v>2459</v>
      </c>
      <c r="F269" t="s">
        <v>2460</v>
      </c>
      <c r="G269" t="s">
        <v>2461</v>
      </c>
      <c r="H269" t="s">
        <v>2462</v>
      </c>
      <c r="I269" t="s">
        <v>2463</v>
      </c>
      <c r="J269" t="s">
        <v>2464</v>
      </c>
      <c r="K269" t="s">
        <v>2465</v>
      </c>
      <c r="L269" t="s">
        <v>2466</v>
      </c>
      <c r="M269" t="s">
        <v>2467</v>
      </c>
      <c r="N269" t="s">
        <v>2468</v>
      </c>
      <c r="O269" t="s">
        <v>2469</v>
      </c>
      <c r="P269" t="s">
        <v>2470</v>
      </c>
      <c r="Q269" t="s">
        <v>2471</v>
      </c>
      <c r="R269" t="s">
        <v>2472</v>
      </c>
      <c r="S269" t="s">
        <v>2473</v>
      </c>
      <c r="T269" t="s">
        <v>2474</v>
      </c>
      <c r="U269" t="s">
        <v>2475</v>
      </c>
      <c r="V269" t="s">
        <v>2476</v>
      </c>
      <c r="W269" t="s">
        <v>2477</v>
      </c>
      <c r="X269" t="s">
        <v>2478</v>
      </c>
      <c r="Y269" t="s">
        <v>2479</v>
      </c>
      <c r="Z269" t="s">
        <v>2480</v>
      </c>
      <c r="AA269" t="s">
        <v>2481</v>
      </c>
      <c r="AB269" t="s">
        <v>2482</v>
      </c>
      <c r="AC269" t="s">
        <v>2483</v>
      </c>
      <c r="AD269" t="s">
        <v>2484</v>
      </c>
      <c r="AE269" t="s">
        <v>2485</v>
      </c>
      <c r="AF269" t="s">
        <v>2486</v>
      </c>
      <c r="AG269" t="s">
        <v>2487</v>
      </c>
      <c r="AH269" t="s">
        <v>2488</v>
      </c>
      <c r="AI269" t="s">
        <v>2489</v>
      </c>
      <c r="AJ269" t="s">
        <v>2490</v>
      </c>
      <c r="AK269" t="s">
        <v>2491</v>
      </c>
      <c r="AL269" t="s">
        <v>2492</v>
      </c>
      <c r="AM269" t="s">
        <v>2493</v>
      </c>
      <c r="AN269" t="s">
        <v>2494</v>
      </c>
      <c r="AO269" t="s">
        <v>2495</v>
      </c>
      <c r="AP269" t="s">
        <v>2496</v>
      </c>
      <c r="AQ269" t="s">
        <v>2497</v>
      </c>
      <c r="AR269" t="s">
        <v>2498</v>
      </c>
      <c r="AS269" t="s">
        <v>2499</v>
      </c>
      <c r="AT269" t="s">
        <v>2500</v>
      </c>
      <c r="AU269" t="s">
        <v>2501</v>
      </c>
      <c r="AV269" t="s">
        <v>2502</v>
      </c>
      <c r="AW269" t="s">
        <v>2503</v>
      </c>
      <c r="AX269" t="s">
        <v>2504</v>
      </c>
      <c r="AY269" t="s">
        <v>2505</v>
      </c>
      <c r="AZ269" t="s">
        <v>2506</v>
      </c>
      <c r="BA269" t="s">
        <v>2507</v>
      </c>
      <c r="BB269" t="s">
        <v>2508</v>
      </c>
      <c r="BC269" t="s">
        <v>2509</v>
      </c>
      <c r="BD269" t="s">
        <v>2510</v>
      </c>
      <c r="BE269" t="s">
        <v>2511</v>
      </c>
      <c r="BF269" t="s">
        <v>2512</v>
      </c>
      <c r="BG269" t="s">
        <v>2513</v>
      </c>
      <c r="BH269" t="s">
        <v>2514</v>
      </c>
      <c r="BI269" t="s">
        <v>2515</v>
      </c>
      <c r="BJ269" t="s">
        <v>2516</v>
      </c>
      <c r="BK269" t="s">
        <v>2517</v>
      </c>
      <c r="BL269" t="s">
        <v>2518</v>
      </c>
      <c r="BM269" t="s">
        <v>2519</v>
      </c>
      <c r="BN269" t="s">
        <v>2520</v>
      </c>
      <c r="BO269" t="s">
        <v>2521</v>
      </c>
      <c r="BP269" t="s">
        <v>2522</v>
      </c>
      <c r="BQ269" t="s">
        <v>2523</v>
      </c>
      <c r="BR269" t="s">
        <v>2524</v>
      </c>
      <c r="BS269" t="s">
        <v>2525</v>
      </c>
      <c r="BU269" t="s">
        <v>2526</v>
      </c>
      <c r="BV269" t="s">
        <v>2527</v>
      </c>
      <c r="BW269" t="s">
        <v>2528</v>
      </c>
      <c r="BX269" t="s">
        <v>2529</v>
      </c>
      <c r="BY269" t="s">
        <v>2530</v>
      </c>
      <c r="BZ269" t="s">
        <v>2531</v>
      </c>
      <c r="CA269" t="s">
        <v>2532</v>
      </c>
      <c r="CB269" t="s">
        <v>2533</v>
      </c>
      <c r="CC269" t="s">
        <v>2534</v>
      </c>
      <c r="CD269" t="s">
        <v>2535</v>
      </c>
      <c r="CE269" t="s">
        <v>2536</v>
      </c>
      <c r="CF269" t="s">
        <v>2537</v>
      </c>
      <c r="CG269" t="s">
        <v>2538</v>
      </c>
      <c r="CH269" t="s">
        <v>2539</v>
      </c>
      <c r="CI269" t="s">
        <v>2540</v>
      </c>
      <c r="CK269" t="s">
        <v>2541</v>
      </c>
    </row>
    <row r="270" spans="1:89" x14ac:dyDescent="0.3">
      <c r="A270" s="155">
        <v>973</v>
      </c>
      <c r="B270" t="s">
        <v>626</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2</v>
      </c>
      <c r="AB270">
        <v>0</v>
      </c>
      <c r="AC270">
        <v>2</v>
      </c>
      <c r="AD270">
        <v>0</v>
      </c>
      <c r="AE270">
        <v>0</v>
      </c>
      <c r="AF270">
        <v>0</v>
      </c>
      <c r="AG270">
        <v>0</v>
      </c>
      <c r="AH270">
        <v>0</v>
      </c>
      <c r="AI270">
        <v>0</v>
      </c>
      <c r="AJ270">
        <v>0</v>
      </c>
      <c r="AK270">
        <v>0</v>
      </c>
      <c r="AL270">
        <v>0</v>
      </c>
      <c r="AM270">
        <v>2</v>
      </c>
      <c r="AN270">
        <v>0</v>
      </c>
      <c r="AO270">
        <v>0</v>
      </c>
      <c r="AP270">
        <v>0</v>
      </c>
      <c r="AQ270">
        <v>0</v>
      </c>
      <c r="AR270">
        <v>1</v>
      </c>
      <c r="AS270">
        <v>0</v>
      </c>
      <c r="AT270">
        <v>0</v>
      </c>
      <c r="AU270">
        <v>0</v>
      </c>
      <c r="AV270">
        <v>0</v>
      </c>
      <c r="AW270">
        <v>0</v>
      </c>
      <c r="AX270">
        <v>1</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1</v>
      </c>
      <c r="BS270">
        <v>0</v>
      </c>
      <c r="BU270">
        <v>0</v>
      </c>
      <c r="BV270">
        <v>0</v>
      </c>
      <c r="BW270">
        <v>0</v>
      </c>
      <c r="BX270">
        <v>0</v>
      </c>
      <c r="BY270">
        <v>0</v>
      </c>
      <c r="BZ270">
        <v>0</v>
      </c>
      <c r="CA270">
        <v>0</v>
      </c>
      <c r="CB270">
        <v>0</v>
      </c>
      <c r="CC270">
        <v>0</v>
      </c>
      <c r="CD270">
        <v>0</v>
      </c>
      <c r="CE270">
        <v>3</v>
      </c>
      <c r="CF270">
        <v>0</v>
      </c>
      <c r="CG270">
        <v>0</v>
      </c>
      <c r="CH270">
        <v>0</v>
      </c>
      <c r="CI270">
        <v>0</v>
      </c>
      <c r="CK270">
        <v>8</v>
      </c>
    </row>
    <row r="271" spans="1:89" x14ac:dyDescent="0.3">
      <c r="A271" s="155">
        <v>974</v>
      </c>
      <c r="B271" t="s">
        <v>1022</v>
      </c>
      <c r="D271">
        <v>2</v>
      </c>
      <c r="E271">
        <v>2</v>
      </c>
      <c r="F271">
        <v>2</v>
      </c>
      <c r="G271">
        <v>2</v>
      </c>
      <c r="H271">
        <v>2</v>
      </c>
      <c r="I271">
        <v>2</v>
      </c>
      <c r="J271">
        <v>2</v>
      </c>
      <c r="K271">
        <v>2</v>
      </c>
      <c r="L271">
        <v>3</v>
      </c>
      <c r="M271">
        <v>2</v>
      </c>
      <c r="N271">
        <v>2</v>
      </c>
      <c r="O271">
        <v>2</v>
      </c>
      <c r="P271">
        <v>3</v>
      </c>
      <c r="Q271">
        <v>2</v>
      </c>
      <c r="R271">
        <v>2</v>
      </c>
      <c r="S271">
        <v>3</v>
      </c>
      <c r="T271">
        <v>2</v>
      </c>
      <c r="U271">
        <v>2</v>
      </c>
      <c r="V271">
        <v>2</v>
      </c>
      <c r="W271">
        <v>2</v>
      </c>
      <c r="X271">
        <v>2</v>
      </c>
      <c r="Y271">
        <v>2</v>
      </c>
      <c r="Z271">
        <v>2</v>
      </c>
      <c r="AA271">
        <v>2</v>
      </c>
      <c r="AB271">
        <v>2</v>
      </c>
      <c r="AC271">
        <v>2</v>
      </c>
      <c r="AD271">
        <v>2</v>
      </c>
      <c r="AE271">
        <v>2</v>
      </c>
      <c r="AF271">
        <v>2</v>
      </c>
      <c r="AG271">
        <v>3</v>
      </c>
      <c r="AH271">
        <v>3</v>
      </c>
      <c r="AI271">
        <v>2</v>
      </c>
      <c r="AJ271">
        <v>2</v>
      </c>
      <c r="AK271">
        <v>2</v>
      </c>
      <c r="AL271">
        <v>2</v>
      </c>
      <c r="AM271">
        <v>3</v>
      </c>
      <c r="AN271">
        <v>2</v>
      </c>
      <c r="AO271">
        <v>2</v>
      </c>
      <c r="AP271">
        <v>2</v>
      </c>
      <c r="AQ271">
        <v>2</v>
      </c>
      <c r="AR271">
        <v>3</v>
      </c>
      <c r="AS271">
        <v>2</v>
      </c>
      <c r="AT271">
        <v>2</v>
      </c>
      <c r="AU271">
        <v>2</v>
      </c>
      <c r="AV271">
        <v>2</v>
      </c>
      <c r="AW271">
        <v>3</v>
      </c>
      <c r="AX271">
        <v>2</v>
      </c>
      <c r="AY271">
        <v>2</v>
      </c>
      <c r="AZ271">
        <v>2</v>
      </c>
      <c r="BA271">
        <v>2</v>
      </c>
      <c r="BB271">
        <v>3</v>
      </c>
      <c r="BC271">
        <v>2</v>
      </c>
      <c r="BD271">
        <v>3</v>
      </c>
      <c r="BE271">
        <v>2</v>
      </c>
      <c r="BF271">
        <v>2</v>
      </c>
      <c r="BG271">
        <v>3</v>
      </c>
      <c r="BH271">
        <v>2</v>
      </c>
      <c r="BI271">
        <v>2</v>
      </c>
      <c r="BJ271">
        <v>3</v>
      </c>
      <c r="BK271">
        <v>2</v>
      </c>
      <c r="BL271">
        <v>2</v>
      </c>
      <c r="BM271">
        <v>2</v>
      </c>
      <c r="BN271">
        <v>2</v>
      </c>
      <c r="BO271">
        <v>2</v>
      </c>
      <c r="BP271">
        <v>2</v>
      </c>
      <c r="BQ271">
        <v>3</v>
      </c>
      <c r="BR271">
        <v>2</v>
      </c>
      <c r="BS271">
        <v>3</v>
      </c>
      <c r="BU271">
        <v>2</v>
      </c>
      <c r="BV271">
        <v>2</v>
      </c>
      <c r="BW271">
        <v>2</v>
      </c>
      <c r="BX271">
        <v>2</v>
      </c>
      <c r="BY271">
        <v>2</v>
      </c>
      <c r="BZ271">
        <v>2</v>
      </c>
      <c r="CA271">
        <v>2</v>
      </c>
      <c r="CB271">
        <v>2</v>
      </c>
      <c r="CC271">
        <v>3</v>
      </c>
      <c r="CD271">
        <v>2</v>
      </c>
      <c r="CE271">
        <v>2</v>
      </c>
      <c r="CF271">
        <v>2</v>
      </c>
      <c r="CG271">
        <v>3</v>
      </c>
      <c r="CH271">
        <v>2</v>
      </c>
      <c r="CI271">
        <v>2</v>
      </c>
      <c r="CK271">
        <v>3</v>
      </c>
    </row>
    <row r="272" spans="1:89" x14ac:dyDescent="0.3">
      <c r="A272" s="155">
        <v>975</v>
      </c>
      <c r="B272" t="s">
        <v>606</v>
      </c>
      <c r="D272">
        <v>1</v>
      </c>
      <c r="E272">
        <v>1</v>
      </c>
      <c r="F272">
        <v>1</v>
      </c>
      <c r="G272">
        <v>1</v>
      </c>
      <c r="H272">
        <v>1</v>
      </c>
      <c r="I272">
        <v>1</v>
      </c>
      <c r="J272">
        <v>1</v>
      </c>
      <c r="K272">
        <v>2</v>
      </c>
      <c r="L272">
        <v>1</v>
      </c>
      <c r="M272">
        <v>1</v>
      </c>
      <c r="N272">
        <v>1</v>
      </c>
      <c r="O272">
        <v>2</v>
      </c>
      <c r="P272">
        <v>1</v>
      </c>
      <c r="Q272">
        <v>1</v>
      </c>
      <c r="R272">
        <v>1</v>
      </c>
      <c r="S272">
        <v>2</v>
      </c>
      <c r="T272">
        <v>2</v>
      </c>
      <c r="U272">
        <v>2</v>
      </c>
      <c r="V272">
        <v>1</v>
      </c>
      <c r="W272">
        <v>1</v>
      </c>
      <c r="X272">
        <v>2</v>
      </c>
      <c r="Y272">
        <v>1</v>
      </c>
      <c r="Z272">
        <v>1</v>
      </c>
      <c r="AA272">
        <v>1</v>
      </c>
      <c r="AB272">
        <v>2</v>
      </c>
      <c r="AC272">
        <v>1</v>
      </c>
      <c r="AD272">
        <v>2</v>
      </c>
      <c r="AE272">
        <v>1</v>
      </c>
      <c r="AF272">
        <v>2</v>
      </c>
      <c r="AG272">
        <v>1</v>
      </c>
      <c r="AH272">
        <v>2</v>
      </c>
      <c r="AI272">
        <v>2</v>
      </c>
      <c r="AJ272">
        <v>2</v>
      </c>
      <c r="AK272">
        <v>2</v>
      </c>
      <c r="AL272">
        <v>1</v>
      </c>
      <c r="AM272">
        <v>1</v>
      </c>
      <c r="AN272">
        <v>1</v>
      </c>
      <c r="AO272">
        <v>1</v>
      </c>
      <c r="AP272">
        <v>1</v>
      </c>
      <c r="AQ272">
        <v>2</v>
      </c>
      <c r="AR272">
        <v>1</v>
      </c>
      <c r="AS272">
        <v>1</v>
      </c>
      <c r="AT272">
        <v>1</v>
      </c>
      <c r="AU272">
        <v>1</v>
      </c>
      <c r="AV272">
        <v>1</v>
      </c>
      <c r="AW272">
        <v>2</v>
      </c>
      <c r="AX272">
        <v>1</v>
      </c>
      <c r="AY272">
        <v>2</v>
      </c>
      <c r="AZ272">
        <v>2</v>
      </c>
      <c r="BA272">
        <v>1</v>
      </c>
      <c r="BB272">
        <v>1</v>
      </c>
      <c r="BC272">
        <v>1</v>
      </c>
      <c r="BD272">
        <v>1</v>
      </c>
      <c r="BE272">
        <v>1</v>
      </c>
      <c r="BF272">
        <v>2</v>
      </c>
      <c r="BG272">
        <v>1</v>
      </c>
      <c r="BH272">
        <v>1</v>
      </c>
      <c r="BI272">
        <v>1</v>
      </c>
      <c r="BJ272">
        <v>2</v>
      </c>
      <c r="BK272">
        <v>1</v>
      </c>
      <c r="BL272">
        <v>1</v>
      </c>
      <c r="BM272">
        <v>1</v>
      </c>
      <c r="BN272">
        <v>2</v>
      </c>
      <c r="BO272">
        <v>1</v>
      </c>
      <c r="BP272">
        <v>1</v>
      </c>
      <c r="BQ272">
        <v>1</v>
      </c>
      <c r="BR272">
        <v>1</v>
      </c>
      <c r="BS272">
        <v>1</v>
      </c>
      <c r="BU272">
        <v>1</v>
      </c>
      <c r="BV272">
        <v>2</v>
      </c>
      <c r="BW272">
        <v>2</v>
      </c>
      <c r="BX272">
        <v>1</v>
      </c>
      <c r="BY272">
        <v>1</v>
      </c>
      <c r="BZ272">
        <v>1</v>
      </c>
      <c r="CA272">
        <v>1</v>
      </c>
      <c r="CB272">
        <v>1</v>
      </c>
      <c r="CC272">
        <v>1</v>
      </c>
      <c r="CD272">
        <v>1</v>
      </c>
      <c r="CE272">
        <v>1</v>
      </c>
      <c r="CF272">
        <v>2</v>
      </c>
      <c r="CG272">
        <v>1</v>
      </c>
      <c r="CH272">
        <v>1</v>
      </c>
      <c r="CI272">
        <v>1</v>
      </c>
      <c r="CK272">
        <v>1</v>
      </c>
    </row>
    <row r="273" spans="1:89" x14ac:dyDescent="0.3">
      <c r="A273" s="155">
        <v>976</v>
      </c>
      <c r="B273" t="s">
        <v>627</v>
      </c>
      <c r="D273">
        <v>1</v>
      </c>
      <c r="E273">
        <v>1</v>
      </c>
      <c r="F273">
        <v>1</v>
      </c>
      <c r="G273">
        <v>1</v>
      </c>
      <c r="H273">
        <v>1</v>
      </c>
      <c r="I273">
        <v>1</v>
      </c>
      <c r="J273">
        <v>1</v>
      </c>
      <c r="K273">
        <v>3</v>
      </c>
      <c r="L273">
        <v>1</v>
      </c>
      <c r="M273">
        <v>1</v>
      </c>
      <c r="N273">
        <v>1</v>
      </c>
      <c r="O273">
        <v>3</v>
      </c>
      <c r="P273">
        <v>1</v>
      </c>
      <c r="Q273">
        <v>3</v>
      </c>
      <c r="R273">
        <v>1</v>
      </c>
      <c r="S273">
        <v>3</v>
      </c>
      <c r="T273">
        <v>3</v>
      </c>
      <c r="U273">
        <v>3</v>
      </c>
      <c r="V273">
        <v>1</v>
      </c>
      <c r="W273">
        <v>1</v>
      </c>
      <c r="X273">
        <v>3</v>
      </c>
      <c r="Y273">
        <v>1</v>
      </c>
      <c r="Z273">
        <v>1</v>
      </c>
      <c r="AA273">
        <v>1</v>
      </c>
      <c r="AB273">
        <v>3</v>
      </c>
      <c r="AC273">
        <v>1</v>
      </c>
      <c r="AD273">
        <v>3</v>
      </c>
      <c r="AE273">
        <v>1</v>
      </c>
      <c r="AF273">
        <v>3</v>
      </c>
      <c r="AG273">
        <v>1</v>
      </c>
      <c r="AH273">
        <v>3</v>
      </c>
      <c r="AI273">
        <v>3</v>
      </c>
      <c r="AJ273">
        <v>3</v>
      </c>
      <c r="AK273">
        <v>3</v>
      </c>
      <c r="AL273">
        <v>1</v>
      </c>
      <c r="AM273">
        <v>1</v>
      </c>
      <c r="AN273">
        <v>1</v>
      </c>
      <c r="AO273">
        <v>1</v>
      </c>
      <c r="AP273">
        <v>1</v>
      </c>
      <c r="AQ273">
        <v>3</v>
      </c>
      <c r="AR273">
        <v>1</v>
      </c>
      <c r="AS273">
        <v>1</v>
      </c>
      <c r="AT273">
        <v>1</v>
      </c>
      <c r="AU273">
        <v>1</v>
      </c>
      <c r="AV273">
        <v>1</v>
      </c>
      <c r="AW273">
        <v>3</v>
      </c>
      <c r="AX273">
        <v>1</v>
      </c>
      <c r="AY273">
        <v>1</v>
      </c>
      <c r="AZ273">
        <v>3</v>
      </c>
      <c r="BA273">
        <v>1</v>
      </c>
      <c r="BB273">
        <v>1</v>
      </c>
      <c r="BC273">
        <v>1</v>
      </c>
      <c r="BD273">
        <v>1</v>
      </c>
      <c r="BE273">
        <v>1</v>
      </c>
      <c r="BF273">
        <v>3</v>
      </c>
      <c r="BG273">
        <v>1</v>
      </c>
      <c r="BH273">
        <v>1</v>
      </c>
      <c r="BI273">
        <v>1</v>
      </c>
      <c r="BJ273">
        <v>3</v>
      </c>
      <c r="BK273">
        <v>1</v>
      </c>
      <c r="BL273">
        <v>1</v>
      </c>
      <c r="BM273">
        <v>1</v>
      </c>
      <c r="BN273">
        <v>3</v>
      </c>
      <c r="BO273">
        <v>1</v>
      </c>
      <c r="BP273">
        <v>1</v>
      </c>
      <c r="BQ273">
        <v>1</v>
      </c>
      <c r="BR273">
        <v>1</v>
      </c>
      <c r="BS273">
        <v>1</v>
      </c>
      <c r="BU273">
        <v>1</v>
      </c>
      <c r="BV273">
        <v>3</v>
      </c>
      <c r="BW273">
        <v>3</v>
      </c>
      <c r="BX273">
        <v>1</v>
      </c>
      <c r="BY273">
        <v>1</v>
      </c>
      <c r="BZ273">
        <v>1</v>
      </c>
      <c r="CA273">
        <v>1</v>
      </c>
      <c r="CB273">
        <v>1</v>
      </c>
      <c r="CC273">
        <v>1</v>
      </c>
      <c r="CD273">
        <v>1</v>
      </c>
      <c r="CE273">
        <v>1</v>
      </c>
      <c r="CF273">
        <v>3</v>
      </c>
      <c r="CG273">
        <v>1</v>
      </c>
      <c r="CH273">
        <v>1</v>
      </c>
      <c r="CI273">
        <v>1</v>
      </c>
      <c r="CK273">
        <v>1</v>
      </c>
    </row>
    <row r="274" spans="1:89" x14ac:dyDescent="0.3">
      <c r="A274" s="155">
        <v>977</v>
      </c>
      <c r="B274" t="s">
        <v>1023</v>
      </c>
      <c r="D274">
        <v>1</v>
      </c>
      <c r="E274">
        <v>1</v>
      </c>
      <c r="F274" s="580">
        <v>1</v>
      </c>
      <c r="G274">
        <v>1</v>
      </c>
      <c r="H274">
        <v>1</v>
      </c>
      <c r="I274">
        <v>1</v>
      </c>
      <c r="J274">
        <v>1</v>
      </c>
      <c r="K274">
        <v>1</v>
      </c>
      <c r="L274">
        <v>1</v>
      </c>
      <c r="M274">
        <v>1</v>
      </c>
      <c r="N274">
        <v>1</v>
      </c>
      <c r="O274">
        <v>1</v>
      </c>
      <c r="P274">
        <v>1</v>
      </c>
      <c r="Q274">
        <v>1</v>
      </c>
      <c r="R274">
        <v>1</v>
      </c>
      <c r="S274">
        <v>1</v>
      </c>
      <c r="T274">
        <v>1</v>
      </c>
      <c r="U274">
        <v>1</v>
      </c>
      <c r="V274">
        <v>1</v>
      </c>
      <c r="W274">
        <v>1</v>
      </c>
      <c r="X274">
        <v>1</v>
      </c>
      <c r="Y274">
        <v>1</v>
      </c>
      <c r="Z274">
        <v>1</v>
      </c>
      <c r="AA274">
        <v>1</v>
      </c>
      <c r="AB274">
        <v>1</v>
      </c>
      <c r="AC274">
        <v>2</v>
      </c>
      <c r="AD274">
        <v>1</v>
      </c>
      <c r="AE274">
        <v>1</v>
      </c>
      <c r="AF274">
        <v>1</v>
      </c>
      <c r="AG274">
        <v>1</v>
      </c>
      <c r="AH274">
        <v>1</v>
      </c>
      <c r="AI274">
        <v>1</v>
      </c>
      <c r="AJ274">
        <v>1</v>
      </c>
      <c r="AK274">
        <v>1</v>
      </c>
      <c r="AL274">
        <v>1</v>
      </c>
      <c r="AM274">
        <v>2</v>
      </c>
      <c r="AN274">
        <v>1</v>
      </c>
      <c r="AO274">
        <v>1</v>
      </c>
      <c r="AP274">
        <v>1</v>
      </c>
      <c r="AQ274">
        <v>1</v>
      </c>
      <c r="AR274">
        <v>2</v>
      </c>
      <c r="AS274">
        <v>1</v>
      </c>
      <c r="AT274">
        <v>1</v>
      </c>
      <c r="AU274">
        <v>1</v>
      </c>
      <c r="AV274">
        <v>1</v>
      </c>
      <c r="AW274">
        <v>1</v>
      </c>
      <c r="AX274">
        <v>2</v>
      </c>
      <c r="AY274">
        <v>1</v>
      </c>
      <c r="AZ274">
        <v>1</v>
      </c>
      <c r="BA274">
        <v>2</v>
      </c>
      <c r="BB274">
        <v>1</v>
      </c>
      <c r="BC274">
        <v>1</v>
      </c>
      <c r="BD274">
        <v>1</v>
      </c>
      <c r="BE274">
        <v>1</v>
      </c>
      <c r="BF274">
        <v>1</v>
      </c>
      <c r="BG274">
        <v>2</v>
      </c>
      <c r="BH274">
        <v>1</v>
      </c>
      <c r="BI274">
        <v>1</v>
      </c>
      <c r="BJ274">
        <v>1</v>
      </c>
      <c r="BK274">
        <v>1</v>
      </c>
      <c r="BL274">
        <v>1</v>
      </c>
      <c r="BM274">
        <v>1</v>
      </c>
      <c r="BN274">
        <v>1</v>
      </c>
      <c r="BO274">
        <v>1</v>
      </c>
      <c r="BP274">
        <v>1</v>
      </c>
      <c r="BQ274">
        <v>2</v>
      </c>
      <c r="BR274">
        <v>2</v>
      </c>
      <c r="BS274">
        <v>1</v>
      </c>
      <c r="BU274">
        <v>2</v>
      </c>
      <c r="BV274">
        <v>1</v>
      </c>
      <c r="BW274">
        <v>1</v>
      </c>
      <c r="BX274">
        <v>1</v>
      </c>
      <c r="BY274">
        <v>2</v>
      </c>
      <c r="BZ274">
        <v>1</v>
      </c>
      <c r="CA274">
        <v>1</v>
      </c>
      <c r="CB274">
        <v>1</v>
      </c>
      <c r="CC274">
        <v>1</v>
      </c>
      <c r="CD274">
        <v>1</v>
      </c>
      <c r="CE274">
        <v>1</v>
      </c>
      <c r="CF274">
        <v>1</v>
      </c>
      <c r="CG274">
        <v>1</v>
      </c>
      <c r="CH274">
        <v>1</v>
      </c>
      <c r="CI274">
        <v>1</v>
      </c>
      <c r="CK274">
        <v>1</v>
      </c>
    </row>
    <row r="275" spans="1:89" x14ac:dyDescent="0.3">
      <c r="A275" s="155">
        <v>978</v>
      </c>
      <c r="B275" t="s">
        <v>593</v>
      </c>
      <c r="D275">
        <v>2</v>
      </c>
      <c r="E275">
        <v>2</v>
      </c>
      <c r="F275">
        <v>2</v>
      </c>
      <c r="G275">
        <v>1</v>
      </c>
      <c r="H275">
        <v>2</v>
      </c>
      <c r="I275">
        <v>1</v>
      </c>
      <c r="J275">
        <v>2</v>
      </c>
      <c r="K275">
        <v>2</v>
      </c>
      <c r="L275">
        <v>2</v>
      </c>
      <c r="M275">
        <v>2</v>
      </c>
      <c r="N275">
        <v>2</v>
      </c>
      <c r="O275">
        <v>2</v>
      </c>
      <c r="P275">
        <v>2</v>
      </c>
      <c r="Q275">
        <v>2</v>
      </c>
      <c r="R275">
        <v>2</v>
      </c>
      <c r="S275">
        <v>2</v>
      </c>
      <c r="T275">
        <v>2</v>
      </c>
      <c r="U275">
        <v>2</v>
      </c>
      <c r="V275">
        <v>2</v>
      </c>
      <c r="W275">
        <v>2</v>
      </c>
      <c r="X275">
        <v>2</v>
      </c>
      <c r="Y275">
        <v>2</v>
      </c>
      <c r="Z275">
        <v>2</v>
      </c>
      <c r="AA275">
        <v>1</v>
      </c>
      <c r="AB275">
        <v>2</v>
      </c>
      <c r="AC275">
        <v>2</v>
      </c>
      <c r="AD275">
        <v>2</v>
      </c>
      <c r="AE275">
        <v>2</v>
      </c>
      <c r="AF275">
        <v>2</v>
      </c>
      <c r="AG275">
        <v>1</v>
      </c>
      <c r="AH275">
        <v>2</v>
      </c>
      <c r="AI275">
        <v>2</v>
      </c>
      <c r="AJ275">
        <v>2</v>
      </c>
      <c r="AK275">
        <v>2</v>
      </c>
      <c r="AL275">
        <v>2</v>
      </c>
      <c r="AM275">
        <v>2</v>
      </c>
      <c r="AN275">
        <v>2</v>
      </c>
      <c r="AO275">
        <v>2</v>
      </c>
      <c r="AP275">
        <v>2</v>
      </c>
      <c r="AQ275">
        <v>2</v>
      </c>
      <c r="AR275">
        <v>2</v>
      </c>
      <c r="AS275">
        <v>2</v>
      </c>
      <c r="AT275">
        <v>2</v>
      </c>
      <c r="AU275">
        <v>2</v>
      </c>
      <c r="AV275">
        <v>2</v>
      </c>
      <c r="AW275">
        <v>2</v>
      </c>
      <c r="AX275">
        <v>2</v>
      </c>
      <c r="AY275">
        <v>2</v>
      </c>
      <c r="AZ275">
        <v>2</v>
      </c>
      <c r="BA275">
        <v>2</v>
      </c>
      <c r="BB275">
        <v>2</v>
      </c>
      <c r="BC275">
        <v>2</v>
      </c>
      <c r="BD275">
        <v>2</v>
      </c>
      <c r="BE275">
        <v>2</v>
      </c>
      <c r="BF275">
        <v>2</v>
      </c>
      <c r="BG275">
        <v>1</v>
      </c>
      <c r="BH275">
        <v>2</v>
      </c>
      <c r="BI275">
        <v>2</v>
      </c>
      <c r="BJ275">
        <v>2</v>
      </c>
      <c r="BK275">
        <v>2</v>
      </c>
      <c r="BL275">
        <v>2</v>
      </c>
      <c r="BM275">
        <v>2</v>
      </c>
      <c r="BN275">
        <v>2</v>
      </c>
      <c r="BO275">
        <v>2</v>
      </c>
      <c r="BP275">
        <v>2</v>
      </c>
      <c r="BQ275">
        <v>1</v>
      </c>
      <c r="BR275">
        <v>1</v>
      </c>
      <c r="BS275">
        <v>1</v>
      </c>
      <c r="BU275">
        <v>1</v>
      </c>
      <c r="BV275">
        <v>2</v>
      </c>
      <c r="BW275">
        <v>2</v>
      </c>
      <c r="BX275">
        <v>2</v>
      </c>
      <c r="BY275">
        <v>2</v>
      </c>
      <c r="BZ275">
        <v>1</v>
      </c>
      <c r="CA275">
        <v>2</v>
      </c>
      <c r="CB275">
        <v>2</v>
      </c>
      <c r="CC275">
        <v>2</v>
      </c>
      <c r="CD275">
        <v>1</v>
      </c>
      <c r="CE275">
        <v>1</v>
      </c>
      <c r="CF275">
        <v>2</v>
      </c>
      <c r="CG275">
        <v>2</v>
      </c>
      <c r="CH275">
        <v>2</v>
      </c>
      <c r="CI275">
        <v>2</v>
      </c>
      <c r="CK275">
        <v>1</v>
      </c>
    </row>
    <row r="276" spans="1:89" x14ac:dyDescent="0.3">
      <c r="A276" s="155">
        <v>979</v>
      </c>
      <c r="B276" t="s">
        <v>1024</v>
      </c>
      <c r="D276">
        <v>1</v>
      </c>
      <c r="E276">
        <v>1</v>
      </c>
      <c r="F276">
        <v>1</v>
      </c>
      <c r="G276">
        <v>2</v>
      </c>
      <c r="H276">
        <v>2</v>
      </c>
      <c r="I276">
        <v>2</v>
      </c>
      <c r="J276">
        <v>2</v>
      </c>
      <c r="K276">
        <v>1</v>
      </c>
      <c r="L276">
        <v>2</v>
      </c>
      <c r="M276">
        <v>2</v>
      </c>
      <c r="N276">
        <v>2</v>
      </c>
      <c r="O276">
        <v>1</v>
      </c>
      <c r="P276">
        <v>1</v>
      </c>
      <c r="Q276">
        <v>1</v>
      </c>
      <c r="R276">
        <v>1</v>
      </c>
      <c r="S276">
        <v>1</v>
      </c>
      <c r="T276">
        <v>1</v>
      </c>
      <c r="U276">
        <v>1</v>
      </c>
      <c r="V276">
        <v>1</v>
      </c>
      <c r="W276">
        <v>2</v>
      </c>
      <c r="X276">
        <v>1</v>
      </c>
      <c r="Y276">
        <v>1</v>
      </c>
      <c r="Z276">
        <v>1</v>
      </c>
      <c r="AA276">
        <v>2</v>
      </c>
      <c r="AB276">
        <v>1</v>
      </c>
      <c r="AC276">
        <v>2</v>
      </c>
      <c r="AD276">
        <v>1</v>
      </c>
      <c r="AE276">
        <v>1</v>
      </c>
      <c r="AF276">
        <v>1</v>
      </c>
      <c r="AG276">
        <v>1</v>
      </c>
      <c r="AH276">
        <v>1</v>
      </c>
      <c r="AI276">
        <v>1</v>
      </c>
      <c r="AJ276">
        <v>1</v>
      </c>
      <c r="AK276">
        <v>1</v>
      </c>
      <c r="AL276">
        <v>2</v>
      </c>
      <c r="AM276">
        <v>2</v>
      </c>
      <c r="AN276">
        <v>2</v>
      </c>
      <c r="AO276">
        <v>2</v>
      </c>
      <c r="AP276">
        <v>2</v>
      </c>
      <c r="AQ276">
        <v>1</v>
      </c>
      <c r="AR276">
        <v>2</v>
      </c>
      <c r="AS276">
        <v>1</v>
      </c>
      <c r="AT276">
        <v>2</v>
      </c>
      <c r="AU276">
        <v>1</v>
      </c>
      <c r="AV276">
        <v>1</v>
      </c>
      <c r="AW276">
        <v>1</v>
      </c>
      <c r="AX276">
        <v>2</v>
      </c>
      <c r="AY276">
        <v>1</v>
      </c>
      <c r="AZ276">
        <v>1</v>
      </c>
      <c r="BA276">
        <v>2</v>
      </c>
      <c r="BB276">
        <v>1</v>
      </c>
      <c r="BC276">
        <v>2</v>
      </c>
      <c r="BD276">
        <v>1</v>
      </c>
      <c r="BE276">
        <v>2</v>
      </c>
      <c r="BF276">
        <v>1</v>
      </c>
      <c r="BG276">
        <v>1</v>
      </c>
      <c r="BH276">
        <v>1</v>
      </c>
      <c r="BI276">
        <v>2</v>
      </c>
      <c r="BJ276">
        <v>1</v>
      </c>
      <c r="BK276">
        <v>2</v>
      </c>
      <c r="BL276">
        <v>1</v>
      </c>
      <c r="BM276">
        <v>1</v>
      </c>
      <c r="BN276">
        <v>1</v>
      </c>
      <c r="BO276">
        <v>2</v>
      </c>
      <c r="BP276">
        <v>1</v>
      </c>
      <c r="BQ276">
        <v>2</v>
      </c>
      <c r="BR276">
        <v>2</v>
      </c>
      <c r="BS276">
        <v>1</v>
      </c>
      <c r="BU276">
        <v>1</v>
      </c>
      <c r="BV276">
        <v>1</v>
      </c>
      <c r="BW276">
        <v>1</v>
      </c>
      <c r="BX276">
        <v>2</v>
      </c>
      <c r="BY276">
        <v>2</v>
      </c>
      <c r="BZ276">
        <v>2</v>
      </c>
      <c r="CA276">
        <v>1</v>
      </c>
      <c r="CB276">
        <v>1</v>
      </c>
      <c r="CC276">
        <v>1</v>
      </c>
      <c r="CD276">
        <v>1</v>
      </c>
      <c r="CE276">
        <v>2</v>
      </c>
      <c r="CF276">
        <v>1</v>
      </c>
      <c r="CG276">
        <v>1</v>
      </c>
      <c r="CH276">
        <v>1</v>
      </c>
      <c r="CI276">
        <v>1</v>
      </c>
      <c r="CK276">
        <v>2</v>
      </c>
    </row>
    <row r="277" spans="1:89" x14ac:dyDescent="0.3">
      <c r="A277" s="155">
        <v>980</v>
      </c>
      <c r="B277" t="s">
        <v>592</v>
      </c>
      <c r="D277" t="s">
        <v>1032</v>
      </c>
      <c r="E277" t="s">
        <v>1028</v>
      </c>
      <c r="F277" t="s">
        <v>1032</v>
      </c>
      <c r="G277" t="s">
        <v>2355</v>
      </c>
      <c r="H277" t="s">
        <v>2542</v>
      </c>
      <c r="I277" t="s">
        <v>1731</v>
      </c>
      <c r="J277" t="s">
        <v>1026</v>
      </c>
      <c r="K277" t="s">
        <v>2543</v>
      </c>
      <c r="L277" t="s">
        <v>2544</v>
      </c>
      <c r="M277" t="s">
        <v>2545</v>
      </c>
      <c r="N277" t="s">
        <v>1031</v>
      </c>
      <c r="O277" t="s">
        <v>2546</v>
      </c>
      <c r="P277" t="s">
        <v>1030</v>
      </c>
      <c r="Q277" t="s">
        <v>2547</v>
      </c>
      <c r="R277" t="s">
        <v>1033</v>
      </c>
      <c r="S277" t="s">
        <v>1006</v>
      </c>
      <c r="T277" t="s">
        <v>2548</v>
      </c>
      <c r="U277" t="s">
        <v>1029</v>
      </c>
      <c r="V277" t="s">
        <v>1035</v>
      </c>
      <c r="W277" t="s">
        <v>2545</v>
      </c>
      <c r="X277" t="s">
        <v>1007</v>
      </c>
      <c r="Y277" t="s">
        <v>1010</v>
      </c>
      <c r="Z277" t="s">
        <v>1030</v>
      </c>
      <c r="AA277" t="s">
        <v>1754</v>
      </c>
      <c r="AB277" t="s">
        <v>1035</v>
      </c>
      <c r="AC277" t="s">
        <v>2549</v>
      </c>
      <c r="AD277" t="s">
        <v>2550</v>
      </c>
      <c r="AE277" t="s">
        <v>1010</v>
      </c>
      <c r="AF277" t="s">
        <v>1027</v>
      </c>
      <c r="AG277" t="s">
        <v>1011</v>
      </c>
      <c r="AH277" t="s">
        <v>1018</v>
      </c>
      <c r="AI277" t="s">
        <v>1034</v>
      </c>
      <c r="AJ277" t="s">
        <v>2551</v>
      </c>
      <c r="AK277" t="s">
        <v>2552</v>
      </c>
      <c r="AL277" t="s">
        <v>2553</v>
      </c>
      <c r="AM277" t="s">
        <v>2554</v>
      </c>
      <c r="AN277" t="s">
        <v>1031</v>
      </c>
      <c r="AO277" t="s">
        <v>2555</v>
      </c>
      <c r="AP277" t="s">
        <v>1017</v>
      </c>
      <c r="AQ277" t="s">
        <v>2556</v>
      </c>
      <c r="AR277" t="s">
        <v>2557</v>
      </c>
      <c r="AS277" t="s">
        <v>2352</v>
      </c>
      <c r="AT277" t="s">
        <v>2558</v>
      </c>
      <c r="AU277" t="s">
        <v>2559</v>
      </c>
      <c r="AV277" t="s">
        <v>1006</v>
      </c>
      <c r="AW277" t="s">
        <v>1006</v>
      </c>
      <c r="AX277" t="s">
        <v>2560</v>
      </c>
      <c r="AY277" t="s">
        <v>1662</v>
      </c>
      <c r="AZ277" t="s">
        <v>2561</v>
      </c>
      <c r="BA277" t="s">
        <v>1026</v>
      </c>
      <c r="BB277" t="s">
        <v>1007</v>
      </c>
      <c r="BC277" t="s">
        <v>1017</v>
      </c>
      <c r="BD277" t="s">
        <v>2562</v>
      </c>
      <c r="BE277" t="s">
        <v>2355</v>
      </c>
      <c r="BF277" t="s">
        <v>1025</v>
      </c>
      <c r="BG277" t="s">
        <v>1032</v>
      </c>
      <c r="BH277" t="s">
        <v>1018</v>
      </c>
      <c r="BI277" t="s">
        <v>1657</v>
      </c>
      <c r="BJ277" t="s">
        <v>1029</v>
      </c>
      <c r="BK277" t="s">
        <v>2563</v>
      </c>
      <c r="BL277" t="s">
        <v>2357</v>
      </c>
      <c r="BM277" t="s">
        <v>1036</v>
      </c>
      <c r="BN277" t="s">
        <v>1007</v>
      </c>
      <c r="BO277" t="s">
        <v>1017</v>
      </c>
      <c r="BP277" t="s">
        <v>1009</v>
      </c>
      <c r="BQ277" t="s">
        <v>2564</v>
      </c>
      <c r="BR277" t="s">
        <v>2565</v>
      </c>
      <c r="BS277" t="s">
        <v>1032</v>
      </c>
      <c r="BU277" t="s">
        <v>2566</v>
      </c>
      <c r="BV277" t="s">
        <v>1030</v>
      </c>
      <c r="BW277" t="s">
        <v>2567</v>
      </c>
      <c r="BX277" t="s">
        <v>1025</v>
      </c>
      <c r="BY277" t="s">
        <v>2568</v>
      </c>
      <c r="BZ277" t="s">
        <v>2558</v>
      </c>
      <c r="CA277" t="s">
        <v>1007</v>
      </c>
      <c r="CB277" t="s">
        <v>2373</v>
      </c>
      <c r="CC277" t="s">
        <v>2359</v>
      </c>
      <c r="CD277" t="s">
        <v>1033</v>
      </c>
      <c r="CE277" t="s">
        <v>1017</v>
      </c>
      <c r="CF277" t="s">
        <v>1665</v>
      </c>
      <c r="CG277" t="s">
        <v>1034</v>
      </c>
      <c r="CH277" t="s">
        <v>2569</v>
      </c>
      <c r="CI277" t="s">
        <v>2570</v>
      </c>
      <c r="CK277" t="s">
        <v>2571</v>
      </c>
    </row>
    <row r="278" spans="1:89" x14ac:dyDescent="0.3">
      <c r="A278" s="155">
        <v>984</v>
      </c>
      <c r="B278" t="s">
        <v>1037</v>
      </c>
      <c r="D278">
        <v>0</v>
      </c>
      <c r="E278">
        <v>305446</v>
      </c>
      <c r="F278">
        <v>0</v>
      </c>
      <c r="G278">
        <v>113223</v>
      </c>
      <c r="H278">
        <v>560351</v>
      </c>
      <c r="I278">
        <v>3183665</v>
      </c>
      <c r="J278">
        <v>960834</v>
      </c>
      <c r="K278">
        <v>5019354</v>
      </c>
      <c r="L278">
        <v>595636</v>
      </c>
      <c r="M278">
        <v>13452024</v>
      </c>
      <c r="N278">
        <v>1689797</v>
      </c>
      <c r="O278">
        <v>116669579</v>
      </c>
      <c r="P278">
        <v>7604</v>
      </c>
      <c r="Q278">
        <v>29594</v>
      </c>
      <c r="R278">
        <v>774465</v>
      </c>
      <c r="S278">
        <v>439896</v>
      </c>
      <c r="T278">
        <v>521403</v>
      </c>
      <c r="U278">
        <v>81982</v>
      </c>
      <c r="V278">
        <v>0</v>
      </c>
      <c r="W278">
        <v>541255</v>
      </c>
      <c r="X278">
        <v>32783393</v>
      </c>
      <c r="Y278">
        <v>405057000</v>
      </c>
      <c r="Z278">
        <v>2432451</v>
      </c>
      <c r="AA278">
        <v>81663</v>
      </c>
      <c r="AB278">
        <v>1964301</v>
      </c>
      <c r="AC278">
        <v>448031</v>
      </c>
      <c r="AD278">
        <v>2805769</v>
      </c>
      <c r="AE278">
        <v>419563</v>
      </c>
      <c r="AF278">
        <v>16428297</v>
      </c>
      <c r="AG278">
        <v>2726595</v>
      </c>
      <c r="AH278">
        <v>630983</v>
      </c>
      <c r="AI278">
        <v>3444133</v>
      </c>
      <c r="AJ278">
        <v>418712</v>
      </c>
      <c r="AK278">
        <v>680285</v>
      </c>
      <c r="AL278">
        <v>112318</v>
      </c>
      <c r="AM278">
        <v>66171</v>
      </c>
      <c r="AN278">
        <v>363616</v>
      </c>
      <c r="AO278">
        <v>676550</v>
      </c>
      <c r="AP278">
        <v>16830</v>
      </c>
      <c r="AQ278">
        <v>68904761</v>
      </c>
      <c r="AR278">
        <v>22999</v>
      </c>
      <c r="AS278">
        <v>66397</v>
      </c>
      <c r="AT278">
        <v>6248914</v>
      </c>
      <c r="AU278">
        <v>253917</v>
      </c>
      <c r="AV278">
        <v>151338</v>
      </c>
      <c r="AW278">
        <v>16943009</v>
      </c>
      <c r="AX278">
        <v>52584</v>
      </c>
      <c r="AY278">
        <v>3005640</v>
      </c>
      <c r="AZ278">
        <v>2153166</v>
      </c>
      <c r="BA278">
        <v>93821</v>
      </c>
      <c r="BB278">
        <v>31581</v>
      </c>
      <c r="BC278">
        <v>1439007</v>
      </c>
      <c r="BD278">
        <v>36034</v>
      </c>
      <c r="BE278">
        <v>8133272</v>
      </c>
      <c r="BF278">
        <v>802436</v>
      </c>
      <c r="BG278">
        <v>152890</v>
      </c>
      <c r="BH278">
        <v>141068</v>
      </c>
      <c r="BI278">
        <v>699119</v>
      </c>
      <c r="BJ278">
        <v>0</v>
      </c>
      <c r="BK278">
        <v>63083</v>
      </c>
      <c r="BL278">
        <v>403443</v>
      </c>
      <c r="BM278">
        <v>99149</v>
      </c>
      <c r="BN278">
        <v>4662252</v>
      </c>
      <c r="BO278">
        <v>4246782</v>
      </c>
      <c r="BP278">
        <v>116009113</v>
      </c>
      <c r="BQ278">
        <v>19695</v>
      </c>
      <c r="BR278">
        <v>53376</v>
      </c>
      <c r="BS278">
        <v>227700</v>
      </c>
      <c r="BU278">
        <v>832236</v>
      </c>
      <c r="BV278">
        <v>704387</v>
      </c>
      <c r="BW278">
        <v>6387613</v>
      </c>
      <c r="BX278">
        <v>2319853</v>
      </c>
      <c r="BY278">
        <v>8592817</v>
      </c>
      <c r="BZ278">
        <v>1800498</v>
      </c>
      <c r="CA278">
        <v>72089</v>
      </c>
      <c r="CB278">
        <v>2833116</v>
      </c>
      <c r="CC278">
        <v>72268</v>
      </c>
      <c r="CD278">
        <v>295305</v>
      </c>
      <c r="CE278">
        <v>496812</v>
      </c>
      <c r="CF278">
        <v>2967956</v>
      </c>
      <c r="CG278">
        <v>4813013</v>
      </c>
      <c r="CH278">
        <v>652932</v>
      </c>
      <c r="CI278">
        <v>1383556</v>
      </c>
      <c r="CK278">
        <v>29297</v>
      </c>
    </row>
    <row r="279" spans="1:89" x14ac:dyDescent="0.3">
      <c r="A279" s="155">
        <v>985</v>
      </c>
      <c r="B279" t="s">
        <v>1038</v>
      </c>
      <c r="D279">
        <v>0</v>
      </c>
      <c r="E279">
        <v>309350</v>
      </c>
      <c r="F279">
        <v>0</v>
      </c>
      <c r="G279">
        <v>108038</v>
      </c>
      <c r="H279">
        <v>513735</v>
      </c>
      <c r="I279">
        <v>3152583</v>
      </c>
      <c r="J279">
        <v>877643</v>
      </c>
      <c r="K279">
        <v>4871883</v>
      </c>
      <c r="L279">
        <v>550000</v>
      </c>
      <c r="M279">
        <v>13156500</v>
      </c>
      <c r="N279">
        <v>1656651</v>
      </c>
      <c r="O279">
        <v>114260225</v>
      </c>
      <c r="P279">
        <v>7372</v>
      </c>
      <c r="Q279">
        <v>28000</v>
      </c>
      <c r="R279">
        <v>757350</v>
      </c>
      <c r="S279">
        <v>367784</v>
      </c>
      <c r="T279">
        <v>487671</v>
      </c>
      <c r="U279">
        <v>74800</v>
      </c>
      <c r="V279">
        <v>0</v>
      </c>
      <c r="W279">
        <v>470950</v>
      </c>
      <c r="X279">
        <v>32587500</v>
      </c>
      <c r="Y279">
        <v>400179000</v>
      </c>
      <c r="Z279">
        <v>2230500</v>
      </c>
      <c r="AA279">
        <v>78090</v>
      </c>
      <c r="AB279">
        <v>1926900</v>
      </c>
      <c r="AC279">
        <v>461500</v>
      </c>
      <c r="AD279">
        <v>2484000</v>
      </c>
      <c r="AE279">
        <v>353100</v>
      </c>
      <c r="AF279">
        <v>15928186</v>
      </c>
      <c r="AG279">
        <v>2683555</v>
      </c>
      <c r="AH279">
        <v>638820</v>
      </c>
      <c r="AI279">
        <v>3248000</v>
      </c>
      <c r="AJ279">
        <v>377200</v>
      </c>
      <c r="AK279">
        <v>616300</v>
      </c>
      <c r="AL279">
        <v>153590</v>
      </c>
      <c r="AM279">
        <v>64000</v>
      </c>
      <c r="AN279">
        <v>305342</v>
      </c>
      <c r="AO279">
        <v>659500</v>
      </c>
      <c r="AP279">
        <v>15735</v>
      </c>
      <c r="AQ279">
        <v>66837876</v>
      </c>
      <c r="AR279">
        <v>0</v>
      </c>
      <c r="AS279">
        <v>58502</v>
      </c>
      <c r="AT279">
        <v>5596761</v>
      </c>
      <c r="AU279">
        <v>241150</v>
      </c>
      <c r="AV279">
        <v>145354</v>
      </c>
      <c r="AW279">
        <v>16596119</v>
      </c>
      <c r="AX279">
        <v>46900</v>
      </c>
      <c r="AY279">
        <v>2813300</v>
      </c>
      <c r="AZ279">
        <v>2004500</v>
      </c>
      <c r="BA279">
        <v>88310</v>
      </c>
      <c r="BB279">
        <v>29160</v>
      </c>
      <c r="BC279">
        <v>1302000</v>
      </c>
      <c r="BD279">
        <v>34300</v>
      </c>
      <c r="BE279">
        <v>7983280</v>
      </c>
      <c r="BF279">
        <v>735900</v>
      </c>
      <c r="BG279">
        <v>124447</v>
      </c>
      <c r="BH279">
        <v>133088</v>
      </c>
      <c r="BI279">
        <v>697500</v>
      </c>
      <c r="BJ279">
        <v>0</v>
      </c>
      <c r="BK279">
        <v>56950</v>
      </c>
      <c r="BL279">
        <v>405790</v>
      </c>
      <c r="BM279">
        <v>99405</v>
      </c>
      <c r="BN279">
        <v>4657433</v>
      </c>
      <c r="BO279">
        <v>4218600</v>
      </c>
      <c r="BP279">
        <v>110987559</v>
      </c>
      <c r="BQ279">
        <v>19968</v>
      </c>
      <c r="BR279">
        <v>54000</v>
      </c>
      <c r="BS279">
        <v>198020</v>
      </c>
      <c r="BU279">
        <v>861432</v>
      </c>
      <c r="BV279">
        <v>677500</v>
      </c>
      <c r="BW279">
        <v>6323600</v>
      </c>
      <c r="BX279">
        <v>2146045</v>
      </c>
      <c r="BY279">
        <v>8450280</v>
      </c>
      <c r="BZ279">
        <v>1790800</v>
      </c>
      <c r="CA279">
        <v>69500</v>
      </c>
      <c r="CB279">
        <v>2681145</v>
      </c>
      <c r="CC279">
        <v>70800</v>
      </c>
      <c r="CD279">
        <v>200000</v>
      </c>
      <c r="CE279">
        <v>499863</v>
      </c>
      <c r="CF279">
        <v>2933500</v>
      </c>
      <c r="CG279">
        <v>4775150</v>
      </c>
      <c r="CH279">
        <v>561200</v>
      </c>
      <c r="CI279">
        <v>1287548</v>
      </c>
      <c r="CK279">
        <v>31750</v>
      </c>
    </row>
    <row r="280" spans="1:89" x14ac:dyDescent="0.3">
      <c r="A280" s="155">
        <v>986</v>
      </c>
      <c r="B280" t="s">
        <v>594</v>
      </c>
      <c r="D280">
        <v>0</v>
      </c>
      <c r="E280">
        <v>0</v>
      </c>
      <c r="F280">
        <v>0</v>
      </c>
      <c r="G280">
        <v>0</v>
      </c>
      <c r="H280">
        <v>0</v>
      </c>
      <c r="I280">
        <v>0</v>
      </c>
      <c r="J280">
        <v>0</v>
      </c>
      <c r="K280">
        <v>0</v>
      </c>
      <c r="L280">
        <v>0</v>
      </c>
      <c r="M280">
        <v>0</v>
      </c>
      <c r="N280">
        <v>0</v>
      </c>
      <c r="O280">
        <v>70000</v>
      </c>
      <c r="P280">
        <v>0</v>
      </c>
      <c r="Q280">
        <v>0</v>
      </c>
      <c r="R280">
        <v>0</v>
      </c>
      <c r="S280">
        <v>0</v>
      </c>
      <c r="T280">
        <v>0</v>
      </c>
      <c r="U280">
        <v>0</v>
      </c>
      <c r="V280">
        <v>0</v>
      </c>
      <c r="W280">
        <v>0</v>
      </c>
      <c r="X280">
        <v>0</v>
      </c>
      <c r="Y280">
        <v>0</v>
      </c>
      <c r="Z280">
        <v>0</v>
      </c>
      <c r="AA280">
        <v>0</v>
      </c>
      <c r="AB280">
        <v>0</v>
      </c>
      <c r="AC280">
        <v>0</v>
      </c>
      <c r="AD280">
        <v>36931</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U280">
        <v>0</v>
      </c>
      <c r="BV280">
        <v>0</v>
      </c>
      <c r="BW280">
        <v>0</v>
      </c>
      <c r="BX280">
        <v>0</v>
      </c>
      <c r="BY280">
        <v>0</v>
      </c>
      <c r="BZ280">
        <v>0</v>
      </c>
      <c r="CA280">
        <v>0</v>
      </c>
      <c r="CB280">
        <v>0</v>
      </c>
      <c r="CC280">
        <v>0</v>
      </c>
      <c r="CD280">
        <v>0</v>
      </c>
      <c r="CE280">
        <v>0</v>
      </c>
      <c r="CF280">
        <v>0</v>
      </c>
      <c r="CG280">
        <v>0</v>
      </c>
      <c r="CH280">
        <v>0</v>
      </c>
      <c r="CI280">
        <v>0</v>
      </c>
      <c r="CK280">
        <v>11250</v>
      </c>
    </row>
    <row r="281" spans="1:89" x14ac:dyDescent="0.3">
      <c r="A281" s="155">
        <v>987</v>
      </c>
      <c r="B281" t="s">
        <v>1039</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U281">
        <v>0</v>
      </c>
      <c r="BV281">
        <v>0</v>
      </c>
      <c r="BW281">
        <v>0</v>
      </c>
      <c r="BX281">
        <v>0</v>
      </c>
      <c r="BY281">
        <v>0</v>
      </c>
      <c r="BZ281">
        <v>0</v>
      </c>
      <c r="CA281">
        <v>0</v>
      </c>
      <c r="CB281">
        <v>0</v>
      </c>
      <c r="CC281">
        <v>0</v>
      </c>
      <c r="CD281">
        <v>0</v>
      </c>
      <c r="CE281">
        <v>0</v>
      </c>
      <c r="CF281">
        <v>0</v>
      </c>
      <c r="CG281">
        <v>0</v>
      </c>
      <c r="CH281">
        <v>0</v>
      </c>
      <c r="CI281">
        <v>0</v>
      </c>
      <c r="CK281">
        <v>0</v>
      </c>
    </row>
    <row r="282" spans="1:89" x14ac:dyDescent="0.3">
      <c r="A282" s="155">
        <v>988</v>
      </c>
      <c r="B282" t="s">
        <v>1040</v>
      </c>
      <c r="D282">
        <v>2</v>
      </c>
      <c r="E282">
        <v>2</v>
      </c>
      <c r="F282">
        <v>2</v>
      </c>
      <c r="G282">
        <v>2</v>
      </c>
      <c r="H282">
        <v>0</v>
      </c>
      <c r="I282">
        <v>2</v>
      </c>
      <c r="J282">
        <v>2</v>
      </c>
      <c r="K282">
        <v>2</v>
      </c>
      <c r="L282">
        <v>2</v>
      </c>
      <c r="M282">
        <v>2</v>
      </c>
      <c r="N282">
        <v>2</v>
      </c>
      <c r="O282">
        <v>2</v>
      </c>
      <c r="P282">
        <v>2</v>
      </c>
      <c r="Q282">
        <v>2</v>
      </c>
      <c r="R282">
        <v>2</v>
      </c>
      <c r="S282">
        <v>2</v>
      </c>
      <c r="T282">
        <v>0</v>
      </c>
      <c r="U282">
        <v>2</v>
      </c>
      <c r="V282">
        <v>0</v>
      </c>
      <c r="W282">
        <v>2</v>
      </c>
      <c r="X282">
        <v>2</v>
      </c>
      <c r="Y282">
        <v>2</v>
      </c>
      <c r="Z282">
        <v>2</v>
      </c>
      <c r="AA282">
        <v>2</v>
      </c>
      <c r="AB282">
        <v>2</v>
      </c>
      <c r="AC282">
        <v>2</v>
      </c>
      <c r="AD282">
        <v>2</v>
      </c>
      <c r="AE282">
        <v>2</v>
      </c>
      <c r="AF282">
        <v>0</v>
      </c>
      <c r="AG282">
        <v>0</v>
      </c>
      <c r="AH282">
        <v>2</v>
      </c>
      <c r="AI282">
        <v>2</v>
      </c>
      <c r="AJ282">
        <v>2</v>
      </c>
      <c r="AK282">
        <v>2</v>
      </c>
      <c r="AL282">
        <v>2</v>
      </c>
      <c r="AM282">
        <v>2</v>
      </c>
      <c r="AN282">
        <v>2</v>
      </c>
      <c r="AO282">
        <v>2</v>
      </c>
      <c r="AP282">
        <v>2</v>
      </c>
      <c r="AQ282">
        <v>2</v>
      </c>
      <c r="AR282">
        <v>2</v>
      </c>
      <c r="AS282">
        <v>2</v>
      </c>
      <c r="AT282">
        <v>2</v>
      </c>
      <c r="AU282">
        <v>2</v>
      </c>
      <c r="AV282">
        <v>2</v>
      </c>
      <c r="AW282">
        <v>2</v>
      </c>
      <c r="AX282">
        <v>2</v>
      </c>
      <c r="AY282">
        <v>2</v>
      </c>
      <c r="AZ282">
        <v>2</v>
      </c>
      <c r="BA282">
        <v>2</v>
      </c>
      <c r="BB282">
        <v>2</v>
      </c>
      <c r="BC282">
        <v>2</v>
      </c>
      <c r="BD282">
        <v>2</v>
      </c>
      <c r="BE282">
        <v>2</v>
      </c>
      <c r="BF282">
        <v>2</v>
      </c>
      <c r="BG282">
        <v>2</v>
      </c>
      <c r="BH282">
        <v>2</v>
      </c>
      <c r="BI282">
        <v>2</v>
      </c>
      <c r="BJ282">
        <v>0</v>
      </c>
      <c r="BK282">
        <v>2</v>
      </c>
      <c r="BL282">
        <v>2</v>
      </c>
      <c r="BM282">
        <v>2</v>
      </c>
      <c r="BN282">
        <v>2</v>
      </c>
      <c r="BO282">
        <v>2</v>
      </c>
      <c r="BP282">
        <v>2</v>
      </c>
      <c r="BQ282">
        <v>2</v>
      </c>
      <c r="BR282">
        <v>2</v>
      </c>
      <c r="BS282">
        <v>2</v>
      </c>
      <c r="BU282">
        <v>2</v>
      </c>
      <c r="BV282">
        <v>2</v>
      </c>
      <c r="BW282">
        <v>2</v>
      </c>
      <c r="BX282">
        <v>2</v>
      </c>
      <c r="BY282">
        <v>2</v>
      </c>
      <c r="BZ282">
        <v>2</v>
      </c>
      <c r="CA282">
        <v>2</v>
      </c>
      <c r="CB282">
        <v>2</v>
      </c>
      <c r="CC282">
        <v>2</v>
      </c>
      <c r="CD282">
        <v>2</v>
      </c>
      <c r="CE282">
        <v>2</v>
      </c>
      <c r="CF282">
        <v>2</v>
      </c>
      <c r="CG282">
        <v>2</v>
      </c>
      <c r="CH282">
        <v>2</v>
      </c>
      <c r="CI282">
        <v>2</v>
      </c>
      <c r="CK282">
        <v>2</v>
      </c>
    </row>
    <row r="283" spans="1:89" x14ac:dyDescent="0.3">
      <c r="A283" s="155">
        <v>989</v>
      </c>
      <c r="B283" t="s">
        <v>1041</v>
      </c>
      <c r="D283">
        <v>3</v>
      </c>
      <c r="E283">
        <v>0</v>
      </c>
      <c r="F283">
        <v>3</v>
      </c>
      <c r="G283">
        <v>0</v>
      </c>
      <c r="H283">
        <v>0</v>
      </c>
      <c r="I283">
        <v>3</v>
      </c>
      <c r="J283">
        <v>3</v>
      </c>
      <c r="K283">
        <v>3</v>
      </c>
      <c r="L283">
        <v>3</v>
      </c>
      <c r="M283">
        <v>3</v>
      </c>
      <c r="N283">
        <v>3</v>
      </c>
      <c r="O283">
        <v>3</v>
      </c>
      <c r="P283">
        <v>0</v>
      </c>
      <c r="Q283">
        <v>0</v>
      </c>
      <c r="R283">
        <v>3</v>
      </c>
      <c r="S283">
        <v>0</v>
      </c>
      <c r="T283">
        <v>0</v>
      </c>
      <c r="U283">
        <v>3</v>
      </c>
      <c r="V283">
        <v>0</v>
      </c>
      <c r="W283">
        <v>3</v>
      </c>
      <c r="X283">
        <v>3</v>
      </c>
      <c r="Y283">
        <v>3</v>
      </c>
      <c r="Z283">
        <v>3</v>
      </c>
      <c r="AA283">
        <v>3</v>
      </c>
      <c r="AB283">
        <v>0</v>
      </c>
      <c r="AC283">
        <v>3</v>
      </c>
      <c r="AD283">
        <v>3</v>
      </c>
      <c r="AE283">
        <v>3</v>
      </c>
      <c r="AF283">
        <v>0</v>
      </c>
      <c r="AG283">
        <v>0</v>
      </c>
      <c r="AH283">
        <v>3</v>
      </c>
      <c r="AI283">
        <v>3</v>
      </c>
      <c r="AJ283">
        <v>3</v>
      </c>
      <c r="AK283">
        <v>3</v>
      </c>
      <c r="AL283">
        <v>3</v>
      </c>
      <c r="AM283">
        <v>3</v>
      </c>
      <c r="AN283">
        <v>0</v>
      </c>
      <c r="AO283">
        <v>0</v>
      </c>
      <c r="AP283">
        <v>0</v>
      </c>
      <c r="AQ283">
        <v>3</v>
      </c>
      <c r="AR283">
        <v>3</v>
      </c>
      <c r="AS283">
        <v>3</v>
      </c>
      <c r="AT283">
        <v>3</v>
      </c>
      <c r="AU283">
        <v>3</v>
      </c>
      <c r="AV283">
        <v>3</v>
      </c>
      <c r="AW283">
        <v>3</v>
      </c>
      <c r="AX283">
        <v>3</v>
      </c>
      <c r="AY283">
        <v>3</v>
      </c>
      <c r="AZ283">
        <v>3</v>
      </c>
      <c r="BA283">
        <v>3</v>
      </c>
      <c r="BB283">
        <v>3</v>
      </c>
      <c r="BC283">
        <v>3</v>
      </c>
      <c r="BD283">
        <v>3</v>
      </c>
      <c r="BE283">
        <v>0</v>
      </c>
      <c r="BF283">
        <v>3</v>
      </c>
      <c r="BG283">
        <v>0</v>
      </c>
      <c r="BH283">
        <v>0</v>
      </c>
      <c r="BI283">
        <v>3</v>
      </c>
      <c r="BJ283">
        <v>0</v>
      </c>
      <c r="BK283">
        <v>3</v>
      </c>
      <c r="BL283">
        <v>3</v>
      </c>
      <c r="BM283">
        <v>3</v>
      </c>
      <c r="BN283">
        <v>0</v>
      </c>
      <c r="BO283">
        <v>0</v>
      </c>
      <c r="BP283">
        <v>0</v>
      </c>
      <c r="BQ283">
        <v>0</v>
      </c>
      <c r="BR283">
        <v>3</v>
      </c>
      <c r="BS283">
        <v>0</v>
      </c>
      <c r="BU283">
        <v>3</v>
      </c>
      <c r="BV283">
        <v>3</v>
      </c>
      <c r="BW283">
        <v>0</v>
      </c>
      <c r="BX283">
        <v>3</v>
      </c>
      <c r="BY283">
        <v>3</v>
      </c>
      <c r="BZ283">
        <v>3</v>
      </c>
      <c r="CA283">
        <v>3</v>
      </c>
      <c r="CB283">
        <v>3</v>
      </c>
      <c r="CC283">
        <v>0</v>
      </c>
      <c r="CD283">
        <v>0</v>
      </c>
      <c r="CE283">
        <v>3</v>
      </c>
      <c r="CF283">
        <v>3</v>
      </c>
      <c r="CG283">
        <v>3</v>
      </c>
      <c r="CH283">
        <v>0</v>
      </c>
      <c r="CI283">
        <v>3</v>
      </c>
      <c r="CK283">
        <v>3</v>
      </c>
    </row>
    <row r="284" spans="1:89" x14ac:dyDescent="0.3">
      <c r="A284" s="155">
        <v>990</v>
      </c>
      <c r="B284" t="s">
        <v>583</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618035</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U284">
        <v>0</v>
      </c>
      <c r="BV284">
        <v>0</v>
      </c>
      <c r="BW284">
        <v>0</v>
      </c>
      <c r="BX284">
        <v>0</v>
      </c>
      <c r="BY284">
        <v>925000</v>
      </c>
      <c r="BZ284">
        <v>0</v>
      </c>
      <c r="CA284">
        <v>0</v>
      </c>
      <c r="CB284">
        <v>0</v>
      </c>
      <c r="CC284">
        <v>0</v>
      </c>
      <c r="CD284">
        <v>0</v>
      </c>
      <c r="CE284">
        <v>0</v>
      </c>
      <c r="CF284">
        <v>0</v>
      </c>
      <c r="CG284">
        <v>0</v>
      </c>
      <c r="CH284">
        <v>0</v>
      </c>
      <c r="CI284">
        <v>0</v>
      </c>
      <c r="CK284">
        <v>0</v>
      </c>
    </row>
    <row r="285" spans="1:89" x14ac:dyDescent="0.3">
      <c r="A285" s="155">
        <v>991</v>
      </c>
      <c r="B285" t="s">
        <v>1042</v>
      </c>
      <c r="D285">
        <v>0</v>
      </c>
      <c r="E285">
        <v>0</v>
      </c>
      <c r="F285">
        <v>22</v>
      </c>
      <c r="G285">
        <v>23</v>
      </c>
      <c r="H285">
        <v>20</v>
      </c>
      <c r="I285">
        <v>23</v>
      </c>
      <c r="J285">
        <v>23</v>
      </c>
      <c r="K285">
        <v>23</v>
      </c>
      <c r="L285">
        <v>23</v>
      </c>
      <c r="M285">
        <v>23</v>
      </c>
      <c r="N285">
        <v>23</v>
      </c>
      <c r="O285">
        <v>23</v>
      </c>
      <c r="P285">
        <v>23</v>
      </c>
      <c r="Q285">
        <v>22</v>
      </c>
      <c r="R285">
        <v>22</v>
      </c>
      <c r="S285">
        <v>20</v>
      </c>
      <c r="T285">
        <v>0</v>
      </c>
      <c r="U285">
        <v>23</v>
      </c>
      <c r="V285">
        <v>23</v>
      </c>
      <c r="W285">
        <v>23</v>
      </c>
      <c r="X285">
        <v>23</v>
      </c>
      <c r="Y285">
        <v>23</v>
      </c>
      <c r="Z285">
        <v>23</v>
      </c>
      <c r="AA285">
        <v>22</v>
      </c>
      <c r="AB285">
        <v>23</v>
      </c>
      <c r="AC285">
        <v>23</v>
      </c>
      <c r="AD285">
        <v>23</v>
      </c>
      <c r="AE285">
        <v>22</v>
      </c>
      <c r="AF285">
        <v>23</v>
      </c>
      <c r="AG285">
        <v>23</v>
      </c>
      <c r="AH285">
        <v>23</v>
      </c>
      <c r="AI285">
        <v>23</v>
      </c>
      <c r="AJ285">
        <v>23</v>
      </c>
      <c r="AK285">
        <v>23</v>
      </c>
      <c r="AL285">
        <v>23</v>
      </c>
      <c r="AM285">
        <v>23</v>
      </c>
      <c r="AN285">
        <v>23</v>
      </c>
      <c r="AO285">
        <v>23</v>
      </c>
      <c r="AP285">
        <v>0</v>
      </c>
      <c r="AQ285">
        <v>23</v>
      </c>
      <c r="AR285">
        <v>23</v>
      </c>
      <c r="AS285">
        <v>0</v>
      </c>
      <c r="AT285">
        <v>23</v>
      </c>
      <c r="AU285">
        <v>0</v>
      </c>
      <c r="AV285">
        <v>23</v>
      </c>
      <c r="AW285">
        <v>23</v>
      </c>
      <c r="AX285">
        <v>22</v>
      </c>
      <c r="AY285">
        <v>23</v>
      </c>
      <c r="AZ285">
        <v>23</v>
      </c>
      <c r="BA285">
        <v>23</v>
      </c>
      <c r="BB285">
        <v>0</v>
      </c>
      <c r="BC285">
        <v>0</v>
      </c>
      <c r="BD285">
        <v>22</v>
      </c>
      <c r="BE285">
        <v>0</v>
      </c>
      <c r="BF285">
        <v>23</v>
      </c>
      <c r="BG285">
        <v>23</v>
      </c>
      <c r="BH285">
        <v>23</v>
      </c>
      <c r="BI285">
        <v>23</v>
      </c>
      <c r="BJ285">
        <v>0</v>
      </c>
      <c r="BK285">
        <v>20</v>
      </c>
      <c r="BL285">
        <v>23</v>
      </c>
      <c r="BM285">
        <v>22</v>
      </c>
      <c r="BN285">
        <v>0</v>
      </c>
      <c r="BO285">
        <v>22</v>
      </c>
      <c r="BP285">
        <v>23</v>
      </c>
      <c r="BQ285">
        <v>0</v>
      </c>
      <c r="BR285">
        <v>20</v>
      </c>
      <c r="BS285">
        <v>23</v>
      </c>
      <c r="BU285">
        <v>23</v>
      </c>
      <c r="BV285">
        <v>23</v>
      </c>
      <c r="BW285">
        <v>22</v>
      </c>
      <c r="BX285">
        <v>20</v>
      </c>
      <c r="BY285">
        <v>20</v>
      </c>
      <c r="BZ285">
        <v>22</v>
      </c>
      <c r="CA285">
        <v>22</v>
      </c>
      <c r="CB285">
        <v>23</v>
      </c>
      <c r="CC285">
        <v>23</v>
      </c>
      <c r="CD285">
        <v>23</v>
      </c>
      <c r="CE285">
        <v>0</v>
      </c>
      <c r="CF285">
        <v>0</v>
      </c>
      <c r="CG285">
        <v>23</v>
      </c>
      <c r="CH285">
        <v>23</v>
      </c>
      <c r="CI285">
        <v>23</v>
      </c>
      <c r="CK285">
        <v>23</v>
      </c>
    </row>
    <row r="286" spans="1:89" x14ac:dyDescent="0.3">
      <c r="A286" s="155">
        <v>995</v>
      </c>
      <c r="B286" t="s">
        <v>1802</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7.0000000000000007E-2</v>
      </c>
      <c r="AA286">
        <v>0</v>
      </c>
      <c r="AB286">
        <v>0</v>
      </c>
      <c r="AC286">
        <v>0</v>
      </c>
      <c r="AD286">
        <v>0</v>
      </c>
      <c r="AE286">
        <v>0</v>
      </c>
      <c r="AF286">
        <v>0.08</v>
      </c>
      <c r="AG286">
        <v>0</v>
      </c>
      <c r="AH286">
        <v>0</v>
      </c>
      <c r="AI286">
        <v>0</v>
      </c>
      <c r="AJ286">
        <v>0</v>
      </c>
      <c r="AK286">
        <v>0</v>
      </c>
      <c r="AL286">
        <v>0</v>
      </c>
      <c r="AM286">
        <v>0</v>
      </c>
      <c r="AN286">
        <v>0</v>
      </c>
      <c r="AO286">
        <v>0</v>
      </c>
      <c r="AP286">
        <v>0</v>
      </c>
      <c r="AQ286">
        <v>0.09</v>
      </c>
      <c r="AR286">
        <v>0</v>
      </c>
      <c r="AS286">
        <v>0</v>
      </c>
      <c r="AT286">
        <v>0</v>
      </c>
      <c r="AU286">
        <v>0</v>
      </c>
      <c r="AV286">
        <v>0</v>
      </c>
      <c r="AW286">
        <v>7.0000000000000007E-2</v>
      </c>
      <c r="AX286">
        <v>0</v>
      </c>
      <c r="AY286">
        <v>0</v>
      </c>
      <c r="AZ286">
        <v>0</v>
      </c>
      <c r="BA286">
        <v>0</v>
      </c>
      <c r="BB286">
        <v>0</v>
      </c>
      <c r="BC286">
        <v>0.09</v>
      </c>
      <c r="BD286">
        <v>0</v>
      </c>
      <c r="BE286">
        <v>0</v>
      </c>
      <c r="BF286">
        <v>0</v>
      </c>
      <c r="BG286">
        <v>0</v>
      </c>
      <c r="BH286">
        <v>0</v>
      </c>
      <c r="BI286">
        <v>0</v>
      </c>
      <c r="BJ286">
        <v>0</v>
      </c>
      <c r="BK286">
        <v>0</v>
      </c>
      <c r="BL286">
        <v>7.0000000000000007E-2</v>
      </c>
      <c r="BM286">
        <v>0</v>
      </c>
      <c r="BN286">
        <v>0</v>
      </c>
      <c r="BO286">
        <v>0</v>
      </c>
      <c r="BP286">
        <v>0</v>
      </c>
      <c r="BQ286">
        <v>0</v>
      </c>
      <c r="BR286">
        <v>0</v>
      </c>
      <c r="BS286">
        <v>0</v>
      </c>
      <c r="BT286">
        <v>0</v>
      </c>
      <c r="BU286">
        <v>0</v>
      </c>
      <c r="BV286">
        <v>0</v>
      </c>
      <c r="BW286">
        <v>0</v>
      </c>
      <c r="BX286">
        <v>0.08</v>
      </c>
      <c r="BY286">
        <v>0.08</v>
      </c>
      <c r="BZ286">
        <v>0</v>
      </c>
      <c r="CA286">
        <v>0</v>
      </c>
      <c r="CB286">
        <v>0</v>
      </c>
      <c r="CC286">
        <v>0</v>
      </c>
      <c r="CD286">
        <v>0</v>
      </c>
      <c r="CE286">
        <v>0</v>
      </c>
      <c r="CF286">
        <v>0</v>
      </c>
      <c r="CG286">
        <v>0</v>
      </c>
      <c r="CH286">
        <v>0.09</v>
      </c>
      <c r="CI286">
        <v>0</v>
      </c>
      <c r="CJ286">
        <v>0</v>
      </c>
      <c r="CK286">
        <v>0</v>
      </c>
    </row>
    <row r="287" spans="1:89" x14ac:dyDescent="0.3">
      <c r="A287" s="155">
        <v>996</v>
      </c>
      <c r="B287" t="s">
        <v>276</v>
      </c>
      <c r="D287">
        <v>0.01</v>
      </c>
      <c r="E287">
        <v>0</v>
      </c>
      <c r="F287">
        <v>0.01</v>
      </c>
      <c r="G287">
        <v>0.01</v>
      </c>
      <c r="H287">
        <v>0.01</v>
      </c>
      <c r="I287">
        <v>0.01</v>
      </c>
      <c r="J287">
        <v>0</v>
      </c>
      <c r="K287">
        <v>0.01</v>
      </c>
      <c r="L287">
        <v>0</v>
      </c>
      <c r="M287">
        <v>0</v>
      </c>
      <c r="N287">
        <v>0.01</v>
      </c>
      <c r="O287">
        <v>0.01</v>
      </c>
      <c r="P287">
        <v>0</v>
      </c>
      <c r="Q287">
        <v>0</v>
      </c>
      <c r="R287">
        <v>0</v>
      </c>
      <c r="S287">
        <v>0</v>
      </c>
      <c r="T287">
        <v>0</v>
      </c>
      <c r="U287">
        <v>0</v>
      </c>
      <c r="V287">
        <v>0.01</v>
      </c>
      <c r="W287">
        <v>0.01</v>
      </c>
      <c r="X287">
        <v>0</v>
      </c>
      <c r="Y287">
        <v>0.01</v>
      </c>
      <c r="Z287">
        <v>0.01</v>
      </c>
      <c r="AA287">
        <v>0.01</v>
      </c>
      <c r="AB287">
        <v>0</v>
      </c>
      <c r="AC287">
        <v>0.01</v>
      </c>
      <c r="AD287">
        <v>0.01</v>
      </c>
      <c r="AE287">
        <v>0.01</v>
      </c>
      <c r="AF287">
        <v>0.01</v>
      </c>
      <c r="AG287">
        <v>0</v>
      </c>
      <c r="AH287">
        <v>0.01</v>
      </c>
      <c r="AI287">
        <v>0.01</v>
      </c>
      <c r="AJ287">
        <v>0.01</v>
      </c>
      <c r="AK287">
        <v>0.01</v>
      </c>
      <c r="AL287">
        <v>0.01</v>
      </c>
      <c r="AM287">
        <v>0.01</v>
      </c>
      <c r="AN287">
        <v>0.01</v>
      </c>
      <c r="AO287">
        <v>0.01</v>
      </c>
      <c r="AP287">
        <v>0</v>
      </c>
      <c r="AQ287">
        <v>0.01</v>
      </c>
      <c r="AR287">
        <v>0</v>
      </c>
      <c r="AS287">
        <v>0.01</v>
      </c>
      <c r="AT287">
        <v>0.01</v>
      </c>
      <c r="AU287">
        <v>0.01</v>
      </c>
      <c r="AV287">
        <v>0</v>
      </c>
      <c r="AW287">
        <v>0</v>
      </c>
      <c r="AX287">
        <v>0.01</v>
      </c>
      <c r="AY287">
        <v>0</v>
      </c>
      <c r="AZ287">
        <v>0</v>
      </c>
      <c r="BA287">
        <v>0.01</v>
      </c>
      <c r="BB287">
        <v>0.01</v>
      </c>
      <c r="BC287">
        <v>0.01</v>
      </c>
      <c r="BD287">
        <v>0</v>
      </c>
      <c r="BE287">
        <v>0</v>
      </c>
      <c r="BF287">
        <v>0.01</v>
      </c>
      <c r="BG287">
        <v>0</v>
      </c>
      <c r="BH287">
        <v>0</v>
      </c>
      <c r="BI287">
        <v>0.01</v>
      </c>
      <c r="BJ287">
        <v>0</v>
      </c>
      <c r="BK287">
        <v>0.01</v>
      </c>
      <c r="BL287">
        <v>0.01</v>
      </c>
      <c r="BM287">
        <v>0.01</v>
      </c>
      <c r="BN287">
        <v>0</v>
      </c>
      <c r="BO287">
        <v>0.01</v>
      </c>
      <c r="BP287">
        <v>0.01</v>
      </c>
      <c r="BQ287">
        <v>0</v>
      </c>
      <c r="BR287">
        <v>0.01</v>
      </c>
      <c r="BS287">
        <v>0.01</v>
      </c>
      <c r="BT287">
        <v>0</v>
      </c>
      <c r="BU287">
        <v>0.01</v>
      </c>
      <c r="BV287">
        <v>0</v>
      </c>
      <c r="BW287">
        <v>0.01</v>
      </c>
      <c r="BX287">
        <v>0.01</v>
      </c>
      <c r="BY287">
        <v>0.01</v>
      </c>
      <c r="BZ287">
        <v>0.01</v>
      </c>
      <c r="CA287">
        <v>0.01</v>
      </c>
      <c r="CB287">
        <v>0.01</v>
      </c>
      <c r="CC287">
        <v>0.01</v>
      </c>
      <c r="CD287">
        <v>0.01</v>
      </c>
      <c r="CE287">
        <v>0.01</v>
      </c>
      <c r="CF287">
        <v>0.01</v>
      </c>
      <c r="CG287">
        <v>0</v>
      </c>
      <c r="CH287">
        <v>0.01</v>
      </c>
      <c r="CI287">
        <v>0</v>
      </c>
      <c r="CJ287">
        <v>0.01</v>
      </c>
      <c r="CK287">
        <v>0.01</v>
      </c>
    </row>
    <row r="288" spans="1:89"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51</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c r="BW288">
        <v>50</v>
      </c>
      <c r="BX288">
        <v>50</v>
      </c>
      <c r="BY288">
        <v>50</v>
      </c>
      <c r="BZ288">
        <v>50</v>
      </c>
      <c r="CA288">
        <v>50</v>
      </c>
      <c r="CB288">
        <v>50</v>
      </c>
      <c r="CC288">
        <v>50</v>
      </c>
      <c r="CD288">
        <v>50</v>
      </c>
      <c r="CE288">
        <v>50</v>
      </c>
      <c r="CF288">
        <v>50</v>
      </c>
      <c r="CG288">
        <v>50</v>
      </c>
      <c r="CH288">
        <v>50</v>
      </c>
      <c r="CI288">
        <v>50</v>
      </c>
      <c r="CJ288">
        <v>50</v>
      </c>
      <c r="CK288">
        <v>50</v>
      </c>
    </row>
    <row r="289" spans="1:89" x14ac:dyDescent="0.3">
      <c r="A289" s="155">
        <v>999</v>
      </c>
      <c r="B289" t="s">
        <v>278</v>
      </c>
      <c r="D289">
        <v>50508</v>
      </c>
      <c r="E289">
        <v>50465</v>
      </c>
      <c r="F289">
        <v>50060</v>
      </c>
      <c r="G289">
        <v>50061</v>
      </c>
      <c r="H289">
        <v>50062</v>
      </c>
      <c r="I289">
        <v>50063</v>
      </c>
      <c r="J289">
        <v>50064</v>
      </c>
      <c r="K289">
        <v>50065</v>
      </c>
      <c r="L289">
        <v>50551</v>
      </c>
      <c r="M289">
        <v>50066</v>
      </c>
      <c r="N289">
        <v>50067</v>
      </c>
      <c r="O289">
        <v>50068</v>
      </c>
      <c r="P289">
        <v>50466</v>
      </c>
      <c r="Q289">
        <v>50069</v>
      </c>
      <c r="R289">
        <v>50450</v>
      </c>
      <c r="S289">
        <v>50070</v>
      </c>
      <c r="T289">
        <v>50509</v>
      </c>
      <c r="U289">
        <v>50539</v>
      </c>
      <c r="V289">
        <v>50467</v>
      </c>
      <c r="W289">
        <v>50072</v>
      </c>
      <c r="X289">
        <v>50074</v>
      </c>
      <c r="Y289">
        <v>50075</v>
      </c>
      <c r="Z289">
        <v>50076</v>
      </c>
      <c r="AA289">
        <v>50510</v>
      </c>
      <c r="AB289">
        <v>50077</v>
      </c>
      <c r="AC289">
        <v>50078</v>
      </c>
      <c r="AD289">
        <v>50079</v>
      </c>
      <c r="AE289">
        <v>50080</v>
      </c>
      <c r="AF289">
        <v>50081</v>
      </c>
      <c r="AG289">
        <v>50502</v>
      </c>
      <c r="AH289">
        <v>50082</v>
      </c>
      <c r="AI289">
        <v>50083</v>
      </c>
      <c r="AJ289">
        <v>50084</v>
      </c>
      <c r="AK289">
        <v>50085</v>
      </c>
      <c r="AL289">
        <v>50468</v>
      </c>
      <c r="AM289">
        <v>50086</v>
      </c>
      <c r="AN289">
        <v>50087</v>
      </c>
      <c r="AO289">
        <v>50088</v>
      </c>
      <c r="AP289">
        <v>50089</v>
      </c>
      <c r="AQ289">
        <v>50090</v>
      </c>
      <c r="AR289">
        <v>50091</v>
      </c>
      <c r="AS289">
        <v>50511</v>
      </c>
      <c r="AT289">
        <v>50092</v>
      </c>
      <c r="AU289">
        <v>50093</v>
      </c>
      <c r="AV289">
        <v>50512</v>
      </c>
      <c r="AW289">
        <v>50094</v>
      </c>
      <c r="AX289">
        <v>50095</v>
      </c>
      <c r="AY289">
        <v>50096</v>
      </c>
      <c r="AZ289">
        <v>50097</v>
      </c>
      <c r="BA289">
        <v>50098</v>
      </c>
      <c r="BB289">
        <v>50099</v>
      </c>
      <c r="BC289">
        <v>50100</v>
      </c>
      <c r="BD289">
        <v>50101</v>
      </c>
      <c r="BE289">
        <v>50102</v>
      </c>
      <c r="BF289">
        <v>50103</v>
      </c>
      <c r="BG289">
        <v>50104</v>
      </c>
      <c r="BH289">
        <v>50513</v>
      </c>
      <c r="BI289">
        <v>50105</v>
      </c>
      <c r="BJ289">
        <v>50460</v>
      </c>
      <c r="BK289">
        <v>50106</v>
      </c>
      <c r="BL289">
        <v>50107</v>
      </c>
      <c r="BM289">
        <v>50108</v>
      </c>
      <c r="BN289">
        <v>50559</v>
      </c>
      <c r="BO289">
        <v>50109</v>
      </c>
      <c r="BP289">
        <v>50110</v>
      </c>
      <c r="BQ289">
        <v>50472</v>
      </c>
      <c r="BR289">
        <v>50461</v>
      </c>
      <c r="BS289">
        <v>50111</v>
      </c>
      <c r="BT289">
        <v>50112</v>
      </c>
      <c r="BU289">
        <v>50113</v>
      </c>
      <c r="BV289">
        <v>50568</v>
      </c>
      <c r="BW289">
        <v>50114</v>
      </c>
      <c r="BX289">
        <v>50115</v>
      </c>
      <c r="BY289">
        <v>50116</v>
      </c>
      <c r="BZ289">
        <v>50117</v>
      </c>
      <c r="CA289">
        <v>50119</v>
      </c>
      <c r="CB289">
        <v>50118</v>
      </c>
      <c r="CC289">
        <v>50120</v>
      </c>
      <c r="CD289">
        <v>50121</v>
      </c>
      <c r="CE289">
        <v>50122</v>
      </c>
      <c r="CF289">
        <v>50123</v>
      </c>
      <c r="CG289">
        <v>50124</v>
      </c>
      <c r="CH289">
        <v>50125</v>
      </c>
      <c r="CI289">
        <v>50126</v>
      </c>
      <c r="CJ289">
        <v>50127</v>
      </c>
      <c r="CK289">
        <v>50128</v>
      </c>
    </row>
    <row r="290" spans="1:89" x14ac:dyDescent="0.3">
      <c r="A290" s="155">
        <v>9000</v>
      </c>
      <c r="B290" t="s">
        <v>1043</v>
      </c>
      <c r="C290" t="s">
        <v>351</v>
      </c>
      <c r="D290">
        <v>42075773.009999998</v>
      </c>
      <c r="E290">
        <v>31395728.147500001</v>
      </c>
      <c r="F290">
        <v>30868104.870000001</v>
      </c>
      <c r="G290">
        <v>12461312.310000001</v>
      </c>
      <c r="H290">
        <v>41320310.82</v>
      </c>
      <c r="I290">
        <v>223580238.94999999</v>
      </c>
      <c r="J290">
        <v>37231725.572499998</v>
      </c>
      <c r="K290">
        <v>576655720.20500004</v>
      </c>
      <c r="L290">
        <v>64272664.431599997</v>
      </c>
      <c r="M290">
        <v>495533177.67940003</v>
      </c>
      <c r="N290">
        <v>116661831.07099999</v>
      </c>
      <c r="O290">
        <v>13310428779.045</v>
      </c>
      <c r="P290">
        <v>1446964.75</v>
      </c>
      <c r="Q290">
        <v>5634264.0700000003</v>
      </c>
      <c r="R290">
        <v>43434621.5</v>
      </c>
      <c r="S290">
        <v>17956024.850000001</v>
      </c>
      <c r="T290">
        <v>30423992.170000002</v>
      </c>
      <c r="U290">
        <v>4287584</v>
      </c>
      <c r="V290">
        <v>18079675.09</v>
      </c>
      <c r="W290">
        <v>104338413.93000001</v>
      </c>
      <c r="X290">
        <v>1637176163.954</v>
      </c>
      <c r="Y290">
        <v>63830492562.040001</v>
      </c>
      <c r="Z290">
        <v>303538325.92000002</v>
      </c>
      <c r="AA290">
        <v>20222046.800000001</v>
      </c>
      <c r="AB290">
        <v>80333238.650000006</v>
      </c>
      <c r="AC290">
        <v>74760852.769999996</v>
      </c>
      <c r="AD290">
        <v>162823498.16999999</v>
      </c>
      <c r="AE290">
        <v>55325108.560000002</v>
      </c>
      <c r="AF290">
        <v>1550562751.54</v>
      </c>
      <c r="AG290">
        <v>259891729.39500001</v>
      </c>
      <c r="AH290">
        <v>85636174.359999999</v>
      </c>
      <c r="AI290">
        <v>406118379.12</v>
      </c>
      <c r="AJ290">
        <v>48169437.090000004</v>
      </c>
      <c r="AK290">
        <v>41619986.149999999</v>
      </c>
      <c r="AL290">
        <v>27926165.670000002</v>
      </c>
      <c r="AM290">
        <v>13670123.720000001</v>
      </c>
      <c r="AN290">
        <v>95352887.710999995</v>
      </c>
      <c r="AO290">
        <v>97007674.794599995</v>
      </c>
      <c r="AP290">
        <v>1031639.04</v>
      </c>
      <c r="AQ290">
        <v>8005675713.0900002</v>
      </c>
      <c r="AR290">
        <v>4495194.78</v>
      </c>
      <c r="AS290">
        <v>34432366.229999997</v>
      </c>
      <c r="AT290">
        <v>547330302.84000003</v>
      </c>
      <c r="AU290">
        <v>36214640.759999998</v>
      </c>
      <c r="AV290">
        <v>12811576.220000001</v>
      </c>
      <c r="AW290">
        <v>847659469.39199996</v>
      </c>
      <c r="AX290">
        <v>26176449.640000001</v>
      </c>
      <c r="AY290">
        <v>124772004.565</v>
      </c>
      <c r="AZ290">
        <v>164683718.625</v>
      </c>
      <c r="BA290">
        <v>35874027.149999999</v>
      </c>
      <c r="BB290">
        <v>9372488.7100000009</v>
      </c>
      <c r="BC290">
        <v>272001785.88999999</v>
      </c>
      <c r="BD290">
        <v>2001945.96</v>
      </c>
      <c r="BE290">
        <v>403972303.5</v>
      </c>
      <c r="BF290">
        <v>103873060.2</v>
      </c>
      <c r="BG290">
        <v>14776144.800000001</v>
      </c>
      <c r="BH290">
        <v>7982064.4800000004</v>
      </c>
      <c r="BI290">
        <v>113818969.51000001</v>
      </c>
      <c r="BJ290">
        <v>25877321</v>
      </c>
      <c r="BK290">
        <v>36848417.57</v>
      </c>
      <c r="BL290">
        <v>92267899.200000003</v>
      </c>
      <c r="BM290">
        <v>27843489.109999999</v>
      </c>
      <c r="BN290">
        <v>209539132.53639999</v>
      </c>
      <c r="BO290">
        <v>431552643.76999998</v>
      </c>
      <c r="BP290">
        <v>13912402918.801701</v>
      </c>
      <c r="BQ290">
        <v>1453423.69</v>
      </c>
      <c r="BR290">
        <v>6132564.9699999997</v>
      </c>
      <c r="BS290">
        <v>19818029.579999998</v>
      </c>
      <c r="BT290">
        <v>50162</v>
      </c>
      <c r="BU290">
        <v>57678484.280000001</v>
      </c>
      <c r="BV290">
        <v>64004103.939999998</v>
      </c>
      <c r="BW290">
        <v>834817424.35000002</v>
      </c>
      <c r="BX290">
        <v>295071814.39499998</v>
      </c>
      <c r="BY290">
        <v>1089726622.2449999</v>
      </c>
      <c r="BZ290">
        <v>242319060.47499999</v>
      </c>
      <c r="CA290">
        <v>23901769.859999999</v>
      </c>
      <c r="CB290">
        <v>174570353.7155</v>
      </c>
      <c r="CC290">
        <v>33667274.359999999</v>
      </c>
      <c r="CD290">
        <v>42987913.990000002</v>
      </c>
      <c r="CE290">
        <v>64959391.100000001</v>
      </c>
      <c r="CF290">
        <v>236913632.11000001</v>
      </c>
      <c r="CG290">
        <v>351851310.95499998</v>
      </c>
      <c r="CH290">
        <v>168905341.477</v>
      </c>
      <c r="CI290">
        <v>75014615.930000007</v>
      </c>
      <c r="CJ290">
        <v>50177.01</v>
      </c>
      <c r="CK290">
        <v>9382501.7699999996</v>
      </c>
    </row>
    <row r="291" spans="1:89" x14ac:dyDescent="0.3">
      <c r="A291" s="155">
        <v>9001</v>
      </c>
      <c r="B291" t="s">
        <v>1044</v>
      </c>
      <c r="C291" t="s">
        <v>1045</v>
      </c>
      <c r="D291">
        <v>3490301</v>
      </c>
      <c r="E291">
        <v>4239505</v>
      </c>
      <c r="F291">
        <v>967357</v>
      </c>
      <c r="G291">
        <v>938928</v>
      </c>
      <c r="H291">
        <v>2061976</v>
      </c>
      <c r="I291">
        <v>18256016</v>
      </c>
      <c r="J291">
        <v>4544174</v>
      </c>
      <c r="K291">
        <v>39935144</v>
      </c>
      <c r="L291">
        <v>8042161</v>
      </c>
      <c r="M291">
        <v>70531044</v>
      </c>
      <c r="N291">
        <v>4859820</v>
      </c>
      <c r="O291">
        <v>1336907376</v>
      </c>
      <c r="P291">
        <v>152249</v>
      </c>
      <c r="Q291">
        <v>869510</v>
      </c>
      <c r="R291">
        <v>9438636</v>
      </c>
      <c r="S291">
        <v>2255650</v>
      </c>
      <c r="T291">
        <v>4496507</v>
      </c>
      <c r="U291">
        <v>597414</v>
      </c>
      <c r="V291">
        <v>1262969</v>
      </c>
      <c r="W291">
        <v>4969084</v>
      </c>
      <c r="X291">
        <v>205554512</v>
      </c>
      <c r="Y291">
        <v>8583122000</v>
      </c>
      <c r="Z291">
        <v>12118649</v>
      </c>
      <c r="AA291">
        <v>2049830</v>
      </c>
      <c r="AB291">
        <v>9322134</v>
      </c>
      <c r="AC291">
        <v>1169580</v>
      </c>
      <c r="AD291">
        <v>13683164</v>
      </c>
      <c r="AE291">
        <v>3341269</v>
      </c>
      <c r="AF291">
        <v>93004280</v>
      </c>
      <c r="AG291">
        <v>55451616</v>
      </c>
      <c r="AH291">
        <v>5939387</v>
      </c>
      <c r="AI291">
        <v>22377915</v>
      </c>
      <c r="AJ291">
        <v>2743911</v>
      </c>
      <c r="AK291">
        <v>3068801</v>
      </c>
      <c r="AL291">
        <v>2141131</v>
      </c>
      <c r="AM291">
        <v>592636</v>
      </c>
      <c r="AN291">
        <v>1788443</v>
      </c>
      <c r="AO291">
        <v>2504168</v>
      </c>
      <c r="AP291">
        <v>114086</v>
      </c>
      <c r="AQ291">
        <v>620603515</v>
      </c>
      <c r="AR291">
        <v>515183</v>
      </c>
      <c r="AS291">
        <v>3411038</v>
      </c>
      <c r="AT291">
        <v>54075302</v>
      </c>
      <c r="AU291">
        <v>1212984</v>
      </c>
      <c r="AV291">
        <v>1832250</v>
      </c>
      <c r="AW291">
        <v>115958795</v>
      </c>
      <c r="AX291">
        <v>639277</v>
      </c>
      <c r="AY291">
        <v>14787477</v>
      </c>
      <c r="AZ291">
        <v>34603044</v>
      </c>
      <c r="BA291">
        <v>643941</v>
      </c>
      <c r="BB291">
        <v>391493</v>
      </c>
      <c r="BC291">
        <v>12919753</v>
      </c>
      <c r="BD291">
        <v>305203</v>
      </c>
      <c r="BE291">
        <v>64101524</v>
      </c>
      <c r="BF291">
        <v>3853221</v>
      </c>
      <c r="BG291">
        <v>1844204</v>
      </c>
      <c r="BH291">
        <v>808228</v>
      </c>
      <c r="BI291">
        <v>4204455</v>
      </c>
      <c r="BJ291">
        <v>3497011</v>
      </c>
      <c r="BK291">
        <v>758893</v>
      </c>
      <c r="BL291">
        <v>3736676</v>
      </c>
      <c r="BM291">
        <v>1584916</v>
      </c>
      <c r="BN291">
        <v>30623162</v>
      </c>
      <c r="BO291">
        <v>28634554</v>
      </c>
      <c r="BP291">
        <v>1206835786</v>
      </c>
      <c r="BQ291">
        <v>141545</v>
      </c>
      <c r="BR291">
        <v>351404</v>
      </c>
      <c r="BS291">
        <v>1432766</v>
      </c>
      <c r="BT291">
        <v>0</v>
      </c>
      <c r="BU291">
        <v>3897485</v>
      </c>
      <c r="BV291">
        <v>9130070</v>
      </c>
      <c r="BW291">
        <v>45874278</v>
      </c>
      <c r="BX291">
        <v>11922217</v>
      </c>
      <c r="BY291">
        <v>45951154</v>
      </c>
      <c r="BZ291">
        <v>24103494</v>
      </c>
      <c r="CA291">
        <v>1242910</v>
      </c>
      <c r="CB291">
        <v>14084825</v>
      </c>
      <c r="CC291">
        <v>1095064</v>
      </c>
      <c r="CD291">
        <v>1722145</v>
      </c>
      <c r="CE291">
        <v>2004650</v>
      </c>
      <c r="CF291">
        <v>18657091</v>
      </c>
      <c r="CG291">
        <v>42059263</v>
      </c>
      <c r="CH291">
        <v>7145768</v>
      </c>
      <c r="CI291">
        <v>10910451</v>
      </c>
      <c r="CJ291">
        <v>0</v>
      </c>
      <c r="CK291">
        <v>96419</v>
      </c>
    </row>
    <row r="292" spans="1:89" x14ac:dyDescent="0.3">
      <c r="A292" s="155">
        <v>9002</v>
      </c>
      <c r="B292" t="s">
        <v>1046</v>
      </c>
      <c r="C292" t="s">
        <v>1047</v>
      </c>
      <c r="D292">
        <v>25523</v>
      </c>
      <c r="E292">
        <v>288746</v>
      </c>
      <c r="F292">
        <v>13609</v>
      </c>
      <c r="G292">
        <v>17297</v>
      </c>
      <c r="H292">
        <v>88720</v>
      </c>
      <c r="I292">
        <v>387315</v>
      </c>
      <c r="J292">
        <v>50630</v>
      </c>
      <c r="K292">
        <v>1724507</v>
      </c>
      <c r="L292">
        <v>0</v>
      </c>
      <c r="M292">
        <v>4404761</v>
      </c>
      <c r="N292">
        <v>354171</v>
      </c>
      <c r="O292">
        <v>62755790</v>
      </c>
      <c r="P292">
        <v>8143</v>
      </c>
      <c r="Q292">
        <v>11409</v>
      </c>
      <c r="R292">
        <v>155017</v>
      </c>
      <c r="S292">
        <v>38430</v>
      </c>
      <c r="T292">
        <v>125335</v>
      </c>
      <c r="U292">
        <v>5545</v>
      </c>
      <c r="V292">
        <v>217753</v>
      </c>
      <c r="W292">
        <v>28635</v>
      </c>
      <c r="X292">
        <v>19262927</v>
      </c>
      <c r="Y292">
        <v>384939000</v>
      </c>
      <c r="Z292">
        <v>409040</v>
      </c>
      <c r="AA292">
        <v>77698</v>
      </c>
      <c r="AB292">
        <v>857547</v>
      </c>
      <c r="AC292">
        <v>1105</v>
      </c>
      <c r="AD292">
        <v>395836</v>
      </c>
      <c r="AE292">
        <v>20773</v>
      </c>
      <c r="AF292">
        <v>4181155</v>
      </c>
      <c r="AG292">
        <v>576145</v>
      </c>
      <c r="AH292">
        <v>36904</v>
      </c>
      <c r="AI292">
        <v>965824</v>
      </c>
      <c r="AJ292">
        <v>35306</v>
      </c>
      <c r="AK292">
        <v>42356</v>
      </c>
      <c r="AL292">
        <v>20098</v>
      </c>
      <c r="AM292">
        <v>7</v>
      </c>
      <c r="AN292">
        <v>50390</v>
      </c>
      <c r="AO292">
        <v>96286</v>
      </c>
      <c r="AP292">
        <v>591</v>
      </c>
      <c r="AQ292">
        <v>31342157</v>
      </c>
      <c r="AR292">
        <v>26288</v>
      </c>
      <c r="AS292">
        <v>34825</v>
      </c>
      <c r="AT292">
        <v>1745600</v>
      </c>
      <c r="AU292">
        <v>127241</v>
      </c>
      <c r="AV292">
        <v>449</v>
      </c>
      <c r="AW292">
        <v>5312192</v>
      </c>
      <c r="AX292">
        <v>1914</v>
      </c>
      <c r="AY292">
        <v>367538</v>
      </c>
      <c r="AZ292">
        <v>234815</v>
      </c>
      <c r="BA292">
        <v>3759</v>
      </c>
      <c r="BB292">
        <v>51</v>
      </c>
      <c r="BC292">
        <v>527212</v>
      </c>
      <c r="BD292">
        <v>0</v>
      </c>
      <c r="BE292">
        <v>2691753</v>
      </c>
      <c r="BF292">
        <v>50868</v>
      </c>
      <c r="BG292">
        <v>11695</v>
      </c>
      <c r="BH292">
        <v>21119</v>
      </c>
      <c r="BI292">
        <v>117006</v>
      </c>
      <c r="BJ292">
        <v>2087</v>
      </c>
      <c r="BK292">
        <v>50361</v>
      </c>
      <c r="BL292">
        <v>50192</v>
      </c>
      <c r="BM292">
        <v>36405</v>
      </c>
      <c r="BN292">
        <v>1961555</v>
      </c>
      <c r="BO292">
        <v>1423350</v>
      </c>
      <c r="BP292">
        <v>94702693</v>
      </c>
      <c r="BQ292">
        <v>5207</v>
      </c>
      <c r="BR292">
        <v>1382</v>
      </c>
      <c r="BS292">
        <v>36739</v>
      </c>
      <c r="BT292">
        <v>0</v>
      </c>
      <c r="BU292">
        <v>100822</v>
      </c>
      <c r="BV292">
        <v>37674</v>
      </c>
      <c r="BW292">
        <v>1824799</v>
      </c>
      <c r="BX292">
        <v>544021</v>
      </c>
      <c r="BY292">
        <v>2056782</v>
      </c>
      <c r="BZ292">
        <v>1160581</v>
      </c>
      <c r="CA292">
        <v>19239</v>
      </c>
      <c r="CB292">
        <v>825504</v>
      </c>
      <c r="CC292">
        <v>6860</v>
      </c>
      <c r="CD292">
        <v>92321</v>
      </c>
      <c r="CE292">
        <v>38998</v>
      </c>
      <c r="CF292">
        <v>410293</v>
      </c>
      <c r="CG292">
        <v>6329367</v>
      </c>
      <c r="CH292">
        <v>120216</v>
      </c>
      <c r="CI292">
        <v>106858</v>
      </c>
      <c r="CJ292">
        <v>0</v>
      </c>
      <c r="CK292">
        <v>1774</v>
      </c>
    </row>
    <row r="293" spans="1:89" ht="28.8" x14ac:dyDescent="0.3">
      <c r="A293" s="155">
        <v>9003</v>
      </c>
      <c r="B293" s="526" t="s">
        <v>1048</v>
      </c>
      <c r="C293" t="s">
        <v>1049</v>
      </c>
      <c r="D293">
        <v>39670</v>
      </c>
      <c r="E293">
        <v>476301</v>
      </c>
      <c r="F293">
        <v>36056</v>
      </c>
      <c r="G293">
        <v>70755</v>
      </c>
      <c r="H293">
        <v>1094190</v>
      </c>
      <c r="I293">
        <v>15328708</v>
      </c>
      <c r="J293">
        <v>671016</v>
      </c>
      <c r="K293">
        <v>19065009</v>
      </c>
      <c r="L293">
        <v>1140449</v>
      </c>
      <c r="M293">
        <v>41063481</v>
      </c>
      <c r="N293">
        <v>2401135</v>
      </c>
      <c r="O293">
        <v>410040051</v>
      </c>
      <c r="P293">
        <v>8143</v>
      </c>
      <c r="Q293">
        <v>13187</v>
      </c>
      <c r="R293">
        <v>825930</v>
      </c>
      <c r="S293">
        <v>626193</v>
      </c>
      <c r="T293">
        <v>1593643</v>
      </c>
      <c r="U293">
        <v>5545</v>
      </c>
      <c r="V293">
        <v>217753</v>
      </c>
      <c r="W293">
        <v>442563</v>
      </c>
      <c r="X293">
        <v>132257441</v>
      </c>
      <c r="Y293">
        <v>3437137000</v>
      </c>
      <c r="Z293">
        <v>7992577</v>
      </c>
      <c r="AA293">
        <v>367037</v>
      </c>
      <c r="AB293">
        <v>4695372</v>
      </c>
      <c r="AC293">
        <v>318994</v>
      </c>
      <c r="AD293">
        <v>1474736</v>
      </c>
      <c r="AE293">
        <v>104727</v>
      </c>
      <c r="AF293">
        <v>25479565</v>
      </c>
      <c r="AG293">
        <v>1170151</v>
      </c>
      <c r="AH293">
        <v>634065</v>
      </c>
      <c r="AI293">
        <v>8643201</v>
      </c>
      <c r="AJ293">
        <v>265712</v>
      </c>
      <c r="AK293">
        <v>515494</v>
      </c>
      <c r="AL293">
        <v>72500</v>
      </c>
      <c r="AM293">
        <v>12032</v>
      </c>
      <c r="AN293">
        <v>533666</v>
      </c>
      <c r="AO293">
        <v>951445</v>
      </c>
      <c r="AP293">
        <v>591</v>
      </c>
      <c r="AQ293">
        <v>118168422</v>
      </c>
      <c r="AR293">
        <v>26288</v>
      </c>
      <c r="AS293">
        <v>72838</v>
      </c>
      <c r="AT293">
        <v>8356261</v>
      </c>
      <c r="AU293">
        <v>253548</v>
      </c>
      <c r="AV293">
        <v>44948</v>
      </c>
      <c r="AW293">
        <v>29780663</v>
      </c>
      <c r="AX293">
        <v>11761</v>
      </c>
      <c r="AY293">
        <v>5533690</v>
      </c>
      <c r="AZ293">
        <v>4880901</v>
      </c>
      <c r="BA293">
        <v>14795</v>
      </c>
      <c r="BB293">
        <v>51</v>
      </c>
      <c r="BC293">
        <v>3287343</v>
      </c>
      <c r="BD293">
        <v>560</v>
      </c>
      <c r="BE293">
        <v>29854369</v>
      </c>
      <c r="BF293">
        <v>1076601</v>
      </c>
      <c r="BG293">
        <v>11695</v>
      </c>
      <c r="BH293">
        <v>21881</v>
      </c>
      <c r="BI293">
        <v>1117856</v>
      </c>
      <c r="BJ293">
        <v>2087</v>
      </c>
      <c r="BK293">
        <v>50361</v>
      </c>
      <c r="BL293">
        <v>604205</v>
      </c>
      <c r="BM293">
        <v>229147</v>
      </c>
      <c r="BN293">
        <v>5245488</v>
      </c>
      <c r="BO293">
        <v>18987280</v>
      </c>
      <c r="BP293">
        <v>516999231</v>
      </c>
      <c r="BQ293">
        <v>5207</v>
      </c>
      <c r="BR293">
        <v>1382</v>
      </c>
      <c r="BS293">
        <v>122911</v>
      </c>
      <c r="BT293">
        <v>0</v>
      </c>
      <c r="BU293">
        <v>714184</v>
      </c>
      <c r="BV293">
        <v>118112</v>
      </c>
      <c r="BW293">
        <v>21809333</v>
      </c>
      <c r="BX293">
        <v>6665475</v>
      </c>
      <c r="BY293">
        <v>26726284</v>
      </c>
      <c r="BZ293">
        <v>6540217</v>
      </c>
      <c r="CA293">
        <v>536234</v>
      </c>
      <c r="CB293">
        <v>2390635</v>
      </c>
      <c r="CC293">
        <v>13619</v>
      </c>
      <c r="CD293">
        <v>705763</v>
      </c>
      <c r="CE293">
        <v>1145081</v>
      </c>
      <c r="CF293">
        <v>3538414</v>
      </c>
      <c r="CG293">
        <v>11768232</v>
      </c>
      <c r="CH293">
        <v>861865</v>
      </c>
      <c r="CI293">
        <v>2174773</v>
      </c>
      <c r="CJ293">
        <v>0</v>
      </c>
      <c r="CK293">
        <v>1774</v>
      </c>
    </row>
    <row r="294" spans="1:89" x14ac:dyDescent="0.3">
      <c r="A294" s="155">
        <v>9004</v>
      </c>
      <c r="B294" t="s">
        <v>1050</v>
      </c>
      <c r="C294" t="s">
        <v>1051</v>
      </c>
      <c r="D294" t="s">
        <v>1052</v>
      </c>
      <c r="E294" t="s">
        <v>351</v>
      </c>
      <c r="F294" t="s">
        <v>1052</v>
      </c>
      <c r="G294" t="s">
        <v>1052</v>
      </c>
      <c r="H294" t="s">
        <v>1052</v>
      </c>
      <c r="I294" t="s">
        <v>1052</v>
      </c>
      <c r="J294" t="s">
        <v>351</v>
      </c>
      <c r="K294" t="s">
        <v>1052</v>
      </c>
      <c r="L294" t="s">
        <v>351</v>
      </c>
      <c r="M294" t="s">
        <v>351</v>
      </c>
      <c r="N294" t="s">
        <v>1052</v>
      </c>
      <c r="O294" t="s">
        <v>1052</v>
      </c>
      <c r="P294" t="s">
        <v>351</v>
      </c>
      <c r="Q294" t="s">
        <v>351</v>
      </c>
      <c r="R294" t="s">
        <v>351</v>
      </c>
      <c r="S294" t="s">
        <v>351</v>
      </c>
      <c r="T294" t="s">
        <v>351</v>
      </c>
      <c r="U294" t="s">
        <v>351</v>
      </c>
      <c r="V294" t="s">
        <v>1052</v>
      </c>
      <c r="W294" t="s">
        <v>1052</v>
      </c>
      <c r="X294" t="s">
        <v>351</v>
      </c>
      <c r="Y294" t="s">
        <v>1052</v>
      </c>
      <c r="Z294" t="s">
        <v>1052</v>
      </c>
      <c r="AA294" t="s">
        <v>1052</v>
      </c>
      <c r="AB294" t="s">
        <v>351</v>
      </c>
      <c r="AC294" t="s">
        <v>1052</v>
      </c>
      <c r="AD294" t="s">
        <v>1052</v>
      </c>
      <c r="AE294" t="s">
        <v>1052</v>
      </c>
      <c r="AF294" t="s">
        <v>1052</v>
      </c>
      <c r="AG294" t="s">
        <v>351</v>
      </c>
      <c r="AH294" t="s">
        <v>1052</v>
      </c>
      <c r="AI294" t="s">
        <v>1052</v>
      </c>
      <c r="AJ294" t="s">
        <v>1052</v>
      </c>
      <c r="AK294" t="s">
        <v>1052</v>
      </c>
      <c r="AL294" t="s">
        <v>1052</v>
      </c>
      <c r="AM294" t="s">
        <v>1052</v>
      </c>
      <c r="AN294" t="s">
        <v>1052</v>
      </c>
      <c r="AO294" t="s">
        <v>1052</v>
      </c>
      <c r="AP294" t="s">
        <v>351</v>
      </c>
      <c r="AQ294" t="s">
        <v>1052</v>
      </c>
      <c r="AR294" t="s">
        <v>351</v>
      </c>
      <c r="AS294" t="s">
        <v>1052</v>
      </c>
      <c r="AT294" t="s">
        <v>1052</v>
      </c>
      <c r="AU294" t="s">
        <v>1052</v>
      </c>
      <c r="AV294" t="s">
        <v>351</v>
      </c>
      <c r="AW294" t="s">
        <v>351</v>
      </c>
      <c r="AX294" t="s">
        <v>1052</v>
      </c>
      <c r="AY294" t="s">
        <v>351</v>
      </c>
      <c r="AZ294" t="s">
        <v>351</v>
      </c>
      <c r="BA294" t="s">
        <v>1052</v>
      </c>
      <c r="BB294" t="s">
        <v>1052</v>
      </c>
      <c r="BC294" t="s">
        <v>1052</v>
      </c>
      <c r="BD294" t="s">
        <v>351</v>
      </c>
      <c r="BE294" t="s">
        <v>351</v>
      </c>
      <c r="BF294" t="s">
        <v>1052</v>
      </c>
      <c r="BG294" t="s">
        <v>351</v>
      </c>
      <c r="BH294" t="s">
        <v>351</v>
      </c>
      <c r="BI294" t="s">
        <v>1052</v>
      </c>
      <c r="BJ294" t="s">
        <v>351</v>
      </c>
      <c r="BK294" t="s">
        <v>1052</v>
      </c>
      <c r="BL294" t="s">
        <v>1052</v>
      </c>
      <c r="BM294" t="s">
        <v>1052</v>
      </c>
      <c r="BN294" t="s">
        <v>351</v>
      </c>
      <c r="BO294" t="s">
        <v>1052</v>
      </c>
      <c r="BP294" t="s">
        <v>1052</v>
      </c>
      <c r="BQ294" t="s">
        <v>351</v>
      </c>
      <c r="BR294" t="s">
        <v>1052</v>
      </c>
      <c r="BS294" t="s">
        <v>1052</v>
      </c>
      <c r="BT294" t="s">
        <v>351</v>
      </c>
      <c r="BU294" t="s">
        <v>1052</v>
      </c>
      <c r="BV294" t="s">
        <v>351</v>
      </c>
      <c r="BW294" t="s">
        <v>1052</v>
      </c>
      <c r="BX294" t="s">
        <v>1052</v>
      </c>
      <c r="BY294" t="s">
        <v>1052</v>
      </c>
      <c r="BZ294" t="s">
        <v>1052</v>
      </c>
      <c r="CA294" t="s">
        <v>1052</v>
      </c>
      <c r="CB294" t="s">
        <v>1052</v>
      </c>
      <c r="CC294" t="s">
        <v>1052</v>
      </c>
      <c r="CD294" t="s">
        <v>1052</v>
      </c>
      <c r="CE294" t="s">
        <v>1052</v>
      </c>
      <c r="CF294" t="s">
        <v>1052</v>
      </c>
      <c r="CG294" t="s">
        <v>351</v>
      </c>
      <c r="CH294" t="s">
        <v>1052</v>
      </c>
      <c r="CI294" t="s">
        <v>351</v>
      </c>
      <c r="CJ294" t="s">
        <v>1052</v>
      </c>
      <c r="CK294" t="s">
        <v>1052</v>
      </c>
    </row>
    <row r="295" spans="1:89" ht="22.2" customHeight="1" x14ac:dyDescent="0.3">
      <c r="A295" s="155">
        <v>9005</v>
      </c>
      <c r="B295" t="s">
        <v>1053</v>
      </c>
      <c r="C295" t="s">
        <v>1054</v>
      </c>
      <c r="D295">
        <v>3020042</v>
      </c>
      <c r="E295">
        <v>1776683</v>
      </c>
      <c r="F295">
        <v>712389</v>
      </c>
      <c r="G295">
        <v>531328</v>
      </c>
      <c r="H295">
        <v>665854</v>
      </c>
      <c r="I295">
        <v>3089150</v>
      </c>
      <c r="J295">
        <v>1864227</v>
      </c>
      <c r="K295">
        <v>7428477</v>
      </c>
      <c r="L295">
        <v>3267699</v>
      </c>
      <c r="M295">
        <v>14785639</v>
      </c>
      <c r="N295">
        <v>1491536</v>
      </c>
      <c r="O295">
        <v>111715741</v>
      </c>
      <c r="P295">
        <v>79873</v>
      </c>
      <c r="Q295">
        <v>206347</v>
      </c>
      <c r="R295">
        <v>360350</v>
      </c>
      <c r="S295">
        <v>894651</v>
      </c>
      <c r="T295">
        <v>1048802</v>
      </c>
      <c r="U295">
        <v>304598</v>
      </c>
      <c r="V295">
        <v>222757</v>
      </c>
      <c r="W295">
        <v>2243764</v>
      </c>
      <c r="X295">
        <v>24710550</v>
      </c>
      <c r="Y295">
        <v>311857000</v>
      </c>
      <c r="Z295">
        <v>5225638</v>
      </c>
      <c r="AA295">
        <v>360222</v>
      </c>
      <c r="AB295">
        <v>2418899</v>
      </c>
      <c r="AC295">
        <v>-365159</v>
      </c>
      <c r="AD295">
        <v>4146163</v>
      </c>
      <c r="AE295">
        <v>2242420</v>
      </c>
      <c r="AF295">
        <v>21506661</v>
      </c>
      <c r="AG295">
        <v>7554389</v>
      </c>
      <c r="AH295">
        <v>3621635</v>
      </c>
      <c r="AI295">
        <v>6155437</v>
      </c>
      <c r="AJ295">
        <v>1258243</v>
      </c>
      <c r="AK295">
        <v>1475711</v>
      </c>
      <c r="AL295">
        <v>969628</v>
      </c>
      <c r="AM295">
        <v>338734</v>
      </c>
      <c r="AN295">
        <v>976968</v>
      </c>
      <c r="AO295">
        <v>775715</v>
      </c>
      <c r="AP295">
        <v>73843</v>
      </c>
      <c r="AQ295">
        <v>54973092</v>
      </c>
      <c r="AR295">
        <v>336412</v>
      </c>
      <c r="AS295">
        <v>1709115</v>
      </c>
      <c r="AT295">
        <v>8058247</v>
      </c>
      <c r="AU295">
        <v>490680</v>
      </c>
      <c r="AV295">
        <v>953770</v>
      </c>
      <c r="AW295">
        <v>20119121</v>
      </c>
      <c r="AX295">
        <v>160031</v>
      </c>
      <c r="AY295">
        <v>3044525</v>
      </c>
      <c r="AZ295">
        <v>8303235</v>
      </c>
      <c r="BA295">
        <v>472211</v>
      </c>
      <c r="BB295">
        <v>202838</v>
      </c>
      <c r="BC295">
        <v>3358337</v>
      </c>
      <c r="BD295">
        <v>164773</v>
      </c>
      <c r="BE295">
        <v>11173725</v>
      </c>
      <c r="BF295">
        <v>1431138</v>
      </c>
      <c r="BG295">
        <v>1184069</v>
      </c>
      <c r="BH295">
        <v>422396</v>
      </c>
      <c r="BI295">
        <v>1314195</v>
      </c>
      <c r="BJ295">
        <v>3308299</v>
      </c>
      <c r="BK295">
        <v>201796</v>
      </c>
      <c r="BL295">
        <v>1844371</v>
      </c>
      <c r="BM295">
        <v>735941</v>
      </c>
      <c r="BN295">
        <v>8402975</v>
      </c>
      <c r="BO295">
        <v>5025719</v>
      </c>
      <c r="BP295">
        <v>82703447</v>
      </c>
      <c r="BQ295">
        <v>64813</v>
      </c>
      <c r="BR295">
        <v>164745</v>
      </c>
      <c r="BS295">
        <v>797978</v>
      </c>
      <c r="BT295">
        <v>0</v>
      </c>
      <c r="BU295">
        <v>503062</v>
      </c>
      <c r="BV295">
        <v>5764464</v>
      </c>
      <c r="BW295">
        <v>9983149</v>
      </c>
      <c r="BX295">
        <v>3003552</v>
      </c>
      <c r="BY295">
        <v>2537854</v>
      </c>
      <c r="BZ295">
        <v>921682</v>
      </c>
      <c r="CA295">
        <v>518409</v>
      </c>
      <c r="CB295">
        <v>3729584</v>
      </c>
      <c r="CC295">
        <v>948081</v>
      </c>
      <c r="CD295">
        <v>220432</v>
      </c>
      <c r="CE295">
        <v>223136</v>
      </c>
      <c r="CF295">
        <v>7527110</v>
      </c>
      <c r="CG295">
        <v>2306777</v>
      </c>
      <c r="CH295">
        <v>248573</v>
      </c>
      <c r="CI295">
        <v>2809086</v>
      </c>
      <c r="CJ295">
        <v>0</v>
      </c>
      <c r="CK295">
        <v>30157</v>
      </c>
    </row>
    <row r="296" spans="1:89" ht="19.2" customHeight="1" x14ac:dyDescent="0.3">
      <c r="A296" s="155">
        <v>9006</v>
      </c>
      <c r="B296" t="s">
        <v>1055</v>
      </c>
      <c r="C296" t="s">
        <v>1056</v>
      </c>
      <c r="D296">
        <v>591226</v>
      </c>
      <c r="E296">
        <v>1502090</v>
      </c>
      <c r="F296">
        <v>559297</v>
      </c>
      <c r="G296">
        <v>190742</v>
      </c>
      <c r="H296">
        <v>907652</v>
      </c>
      <c r="I296">
        <v>6456587</v>
      </c>
      <c r="J296">
        <v>2229916</v>
      </c>
      <c r="K296">
        <v>14861512</v>
      </c>
      <c r="L296">
        <v>2013269</v>
      </c>
      <c r="M296">
        <v>22310037</v>
      </c>
      <c r="N296">
        <v>2930510</v>
      </c>
      <c r="O296">
        <v>219541573</v>
      </c>
      <c r="P296">
        <v>34888</v>
      </c>
      <c r="Q296">
        <v>204289</v>
      </c>
      <c r="R296">
        <v>1722640</v>
      </c>
      <c r="S296">
        <v>694190</v>
      </c>
      <c r="T296">
        <v>1352318</v>
      </c>
      <c r="U296">
        <v>182738</v>
      </c>
      <c r="V296">
        <v>211960</v>
      </c>
      <c r="W296">
        <v>1505799</v>
      </c>
      <c r="X296">
        <v>59376447</v>
      </c>
      <c r="Y296">
        <v>728524000</v>
      </c>
      <c r="Z296">
        <v>1645542</v>
      </c>
      <c r="AA296">
        <v>583400</v>
      </c>
      <c r="AB296">
        <v>4313533</v>
      </c>
      <c r="AC296">
        <v>1242611</v>
      </c>
      <c r="AD296">
        <v>4153430</v>
      </c>
      <c r="AE296">
        <v>576888</v>
      </c>
      <c r="AF296">
        <v>29027124</v>
      </c>
      <c r="AG296">
        <v>6725008</v>
      </c>
      <c r="AH296">
        <v>1147711</v>
      </c>
      <c r="AI296">
        <v>9898367</v>
      </c>
      <c r="AJ296">
        <v>1031770</v>
      </c>
      <c r="AK296">
        <v>1531197</v>
      </c>
      <c r="AL296">
        <v>477223</v>
      </c>
      <c r="AM296">
        <v>196653</v>
      </c>
      <c r="AN296">
        <v>611828</v>
      </c>
      <c r="AO296">
        <v>1216454</v>
      </c>
      <c r="AP296">
        <v>26401</v>
      </c>
      <c r="AQ296">
        <v>108638792</v>
      </c>
      <c r="AR296">
        <v>104626</v>
      </c>
      <c r="AS296">
        <v>405777</v>
      </c>
      <c r="AT296">
        <v>10055585</v>
      </c>
      <c r="AU296">
        <v>713630</v>
      </c>
      <c r="AV296">
        <v>482863</v>
      </c>
      <c r="AW296">
        <v>23091429</v>
      </c>
      <c r="AX296">
        <v>121824</v>
      </c>
      <c r="AY296">
        <v>5424736</v>
      </c>
      <c r="AZ296">
        <v>4430403</v>
      </c>
      <c r="BA296">
        <v>150298</v>
      </c>
      <c r="BB296">
        <v>116978</v>
      </c>
      <c r="BC296">
        <v>3364343</v>
      </c>
      <c r="BD296">
        <v>74087</v>
      </c>
      <c r="BE296">
        <v>13950610</v>
      </c>
      <c r="BF296">
        <v>1488629</v>
      </c>
      <c r="BG296">
        <v>434424</v>
      </c>
      <c r="BH296">
        <v>355383</v>
      </c>
      <c r="BI296">
        <v>1770499</v>
      </c>
      <c r="BJ296">
        <v>244114</v>
      </c>
      <c r="BK296">
        <v>161530</v>
      </c>
      <c r="BL296">
        <v>1133398</v>
      </c>
      <c r="BM296">
        <v>403280</v>
      </c>
      <c r="BN296">
        <v>9321514</v>
      </c>
      <c r="BO296">
        <v>10519353</v>
      </c>
      <c r="BP296">
        <v>205768707</v>
      </c>
      <c r="BQ296">
        <v>51171</v>
      </c>
      <c r="BR296">
        <v>120391</v>
      </c>
      <c r="BS296">
        <v>371203</v>
      </c>
      <c r="BT296">
        <v>0</v>
      </c>
      <c r="BU296">
        <v>1583762</v>
      </c>
      <c r="BV296">
        <v>1348262</v>
      </c>
      <c r="BW296">
        <v>15032003</v>
      </c>
      <c r="BX296">
        <v>5822947</v>
      </c>
      <c r="BY296">
        <v>21437153</v>
      </c>
      <c r="BZ296">
        <v>5113725</v>
      </c>
      <c r="CA296">
        <v>247293</v>
      </c>
      <c r="CB296">
        <v>5446925</v>
      </c>
      <c r="CC296">
        <v>187389</v>
      </c>
      <c r="CD296">
        <v>977065</v>
      </c>
      <c r="CE296">
        <v>779941</v>
      </c>
      <c r="CF296">
        <v>7092825</v>
      </c>
      <c r="CG296">
        <v>11042766</v>
      </c>
      <c r="CH296">
        <v>1526098</v>
      </c>
      <c r="CI296">
        <v>2951464</v>
      </c>
      <c r="CJ296">
        <v>0</v>
      </c>
      <c r="CK296">
        <v>69177</v>
      </c>
    </row>
    <row r="297" spans="1:89" ht="28.8" x14ac:dyDescent="0.3">
      <c r="A297" s="155">
        <v>9007</v>
      </c>
      <c r="B297" s="526" t="s">
        <v>1628</v>
      </c>
      <c r="C297" s="526" t="s">
        <v>1057</v>
      </c>
      <c r="D297">
        <v>5.1081000000000003</v>
      </c>
      <c r="E297">
        <v>1.1828000000000001</v>
      </c>
      <c r="F297">
        <v>1.2737000000000001</v>
      </c>
      <c r="G297">
        <v>2.7856000000000001</v>
      </c>
      <c r="H297">
        <v>0.73360000000000003</v>
      </c>
      <c r="I297">
        <v>0.47839999999999999</v>
      </c>
      <c r="J297">
        <v>0.83599999999999997</v>
      </c>
      <c r="K297">
        <v>0.49980000000000002</v>
      </c>
      <c r="L297">
        <v>1.6231</v>
      </c>
      <c r="M297">
        <v>0.66269999999999996</v>
      </c>
      <c r="N297">
        <v>0.50900000000000001</v>
      </c>
      <c r="O297">
        <v>0.50890000000000002</v>
      </c>
      <c r="P297">
        <v>2.2894000000000001</v>
      </c>
      <c r="Q297">
        <v>1.0101</v>
      </c>
      <c r="R297">
        <v>0.2092</v>
      </c>
      <c r="S297">
        <v>1.2887999999999999</v>
      </c>
      <c r="T297">
        <v>0.77559999999999996</v>
      </c>
      <c r="U297">
        <v>1.6669</v>
      </c>
      <c r="V297">
        <v>1.0508999999999999</v>
      </c>
      <c r="W297">
        <v>1.4901</v>
      </c>
      <c r="X297">
        <v>0.41620000000000001</v>
      </c>
      <c r="Y297">
        <v>0.42809999999999998</v>
      </c>
      <c r="Z297" s="180">
        <v>3.1756000000000002</v>
      </c>
      <c r="AA297">
        <v>0.61750000000000005</v>
      </c>
      <c r="AB297">
        <v>0.56079999999999997</v>
      </c>
      <c r="AC297">
        <v>-0.29389999999999999</v>
      </c>
      <c r="AD297">
        <v>0.99829999999999997</v>
      </c>
      <c r="AE297">
        <v>3.8871000000000002</v>
      </c>
      <c r="AF297">
        <v>0.7409</v>
      </c>
      <c r="AG297">
        <v>1.1233</v>
      </c>
      <c r="AH297">
        <v>3.1555</v>
      </c>
      <c r="AI297">
        <v>0.62190000000000001</v>
      </c>
      <c r="AJ297">
        <v>1.2195</v>
      </c>
      <c r="AK297">
        <v>0.96379999999999999</v>
      </c>
      <c r="AL297">
        <v>2.0318000000000001</v>
      </c>
      <c r="AM297">
        <v>1.7224999999999999</v>
      </c>
      <c r="AN297">
        <v>1.5968</v>
      </c>
      <c r="AO297">
        <v>0.63770000000000004</v>
      </c>
      <c r="AP297">
        <v>2.7970000000000002</v>
      </c>
      <c r="AQ297">
        <v>0.50600000000000001</v>
      </c>
      <c r="AR297">
        <v>3.2153999999999998</v>
      </c>
      <c r="AS297">
        <v>4.2119999999999997</v>
      </c>
      <c r="AT297">
        <v>0.8014</v>
      </c>
      <c r="AU297">
        <v>0.68759999999999999</v>
      </c>
      <c r="AV297">
        <v>1.9752000000000001</v>
      </c>
      <c r="AW297">
        <v>0.87129999999999996</v>
      </c>
      <c r="AX297">
        <v>1.3136000000000001</v>
      </c>
      <c r="AY297">
        <v>0.56120000000000003</v>
      </c>
      <c r="AZ297">
        <v>1.8741000000000001</v>
      </c>
      <c r="BA297">
        <v>3.1417999999999999</v>
      </c>
      <c r="BB297">
        <v>1.734</v>
      </c>
      <c r="BC297">
        <v>0.99819999999999998</v>
      </c>
      <c r="BD297">
        <v>2.2240000000000002</v>
      </c>
      <c r="BE297">
        <v>0.80089999999999995</v>
      </c>
      <c r="BF297">
        <v>0.96140000000000003</v>
      </c>
      <c r="BG297">
        <v>2.7256</v>
      </c>
      <c r="BH297">
        <v>1.1886000000000001</v>
      </c>
      <c r="BI297">
        <v>0.74229999999999996</v>
      </c>
      <c r="BJ297">
        <v>13.552300000000001</v>
      </c>
      <c r="BK297">
        <v>1.2493000000000001</v>
      </c>
      <c r="BL297">
        <v>1.6273</v>
      </c>
      <c r="BM297">
        <v>1.8249</v>
      </c>
      <c r="BN297">
        <v>0.90149999999999997</v>
      </c>
      <c r="BO297">
        <v>0.4778</v>
      </c>
      <c r="BP297">
        <v>0.40189999999999998</v>
      </c>
      <c r="BQ297">
        <v>1.2665999999999999</v>
      </c>
      <c r="BR297">
        <v>1.3684000000000001</v>
      </c>
      <c r="BS297">
        <v>2.1497000000000002</v>
      </c>
      <c r="BT297">
        <v>0</v>
      </c>
      <c r="BU297">
        <v>0.31759999999999999</v>
      </c>
      <c r="BV297">
        <v>4.2755000000000001</v>
      </c>
      <c r="BW297">
        <v>0.66410000000000002</v>
      </c>
      <c r="BX297">
        <v>0.51580000000000004</v>
      </c>
      <c r="BY297">
        <v>0.11840000000000001</v>
      </c>
      <c r="BZ297">
        <v>0.1802</v>
      </c>
      <c r="CA297">
        <v>2.0962999999999998</v>
      </c>
      <c r="CB297">
        <v>0.68469999999999998</v>
      </c>
      <c r="CC297">
        <v>5.0594000000000001</v>
      </c>
      <c r="CD297">
        <v>0.22559999999999999</v>
      </c>
      <c r="CE297">
        <v>0.28610000000000002</v>
      </c>
      <c r="CF297">
        <v>1.0611999999999999</v>
      </c>
      <c r="CG297">
        <v>0.2089</v>
      </c>
      <c r="CH297">
        <v>0.16289999999999999</v>
      </c>
      <c r="CI297">
        <v>0.95179999999999998</v>
      </c>
      <c r="CJ297">
        <v>0</v>
      </c>
      <c r="CK297">
        <v>0.43590000000000001</v>
      </c>
    </row>
    <row r="298" spans="1:89" ht="21" customHeight="1" x14ac:dyDescent="0.3">
      <c r="A298" s="155">
        <v>9008</v>
      </c>
      <c r="B298" t="s">
        <v>1058</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row>
    <row r="299" spans="1:89" x14ac:dyDescent="0.3">
      <c r="A299" s="155">
        <v>9010</v>
      </c>
      <c r="B299" t="s">
        <v>1059</v>
      </c>
      <c r="C299" t="s">
        <v>1060</v>
      </c>
      <c r="D299">
        <v>13.99</v>
      </c>
      <c r="E299">
        <v>0</v>
      </c>
      <c r="F299">
        <v>92.89</v>
      </c>
      <c r="G299">
        <v>3.97</v>
      </c>
      <c r="H299">
        <v>6.08</v>
      </c>
      <c r="I299">
        <v>13.38</v>
      </c>
      <c r="J299">
        <v>0</v>
      </c>
      <c r="K299">
        <v>1.82</v>
      </c>
      <c r="L299">
        <v>0</v>
      </c>
      <c r="M299">
        <v>0</v>
      </c>
      <c r="N299">
        <v>2.11</v>
      </c>
      <c r="O299">
        <v>14.53</v>
      </c>
      <c r="P299">
        <v>0</v>
      </c>
      <c r="Q299">
        <v>0</v>
      </c>
      <c r="R299">
        <v>0</v>
      </c>
      <c r="S299">
        <v>0</v>
      </c>
      <c r="T299">
        <v>0</v>
      </c>
      <c r="U299">
        <v>0</v>
      </c>
      <c r="V299">
        <v>16.45</v>
      </c>
      <c r="W299">
        <v>9.1999999999999993</v>
      </c>
      <c r="X299">
        <v>0</v>
      </c>
      <c r="Y299">
        <v>1.67</v>
      </c>
      <c r="Z299">
        <v>6.59</v>
      </c>
      <c r="AA299">
        <v>0</v>
      </c>
      <c r="AB299">
        <v>0</v>
      </c>
      <c r="AC299">
        <v>2.04</v>
      </c>
      <c r="AD299">
        <v>32.76</v>
      </c>
      <c r="AE299">
        <v>9.5500000000000007</v>
      </c>
      <c r="AF299">
        <v>4.0199999999999996</v>
      </c>
      <c r="AG299">
        <v>0</v>
      </c>
      <c r="AH299">
        <v>65.05</v>
      </c>
      <c r="AI299">
        <v>9.61</v>
      </c>
      <c r="AJ299">
        <v>12.01</v>
      </c>
      <c r="AK299">
        <v>17.46</v>
      </c>
      <c r="AL299">
        <v>5.97</v>
      </c>
      <c r="AM299">
        <v>17967.71</v>
      </c>
      <c r="AN299">
        <v>29.52</v>
      </c>
      <c r="AO299">
        <v>1.88</v>
      </c>
      <c r="AP299">
        <v>0</v>
      </c>
      <c r="AQ299">
        <v>19.63</v>
      </c>
      <c r="AR299">
        <v>0</v>
      </c>
      <c r="AS299">
        <v>0</v>
      </c>
      <c r="AT299">
        <v>11.03</v>
      </c>
      <c r="AU299">
        <v>17.64</v>
      </c>
      <c r="AV299">
        <v>0</v>
      </c>
      <c r="AW299">
        <v>0</v>
      </c>
      <c r="AX299">
        <v>2.85</v>
      </c>
      <c r="AY299">
        <v>0</v>
      </c>
      <c r="AZ299">
        <v>0</v>
      </c>
      <c r="BA299">
        <v>8.2200000000000006</v>
      </c>
      <c r="BB299">
        <v>17</v>
      </c>
      <c r="BC299">
        <v>10.55</v>
      </c>
      <c r="BD299">
        <v>0</v>
      </c>
      <c r="BE299">
        <v>0</v>
      </c>
      <c r="BF299">
        <v>3.18</v>
      </c>
      <c r="BG299">
        <v>0</v>
      </c>
      <c r="BH299">
        <v>0</v>
      </c>
      <c r="BI299">
        <v>9.4499999999999993</v>
      </c>
      <c r="BJ299">
        <v>0</v>
      </c>
      <c r="BK299">
        <v>0.31</v>
      </c>
      <c r="BL299">
        <v>10.87</v>
      </c>
      <c r="BM299">
        <v>5.21</v>
      </c>
      <c r="BN299">
        <v>0</v>
      </c>
      <c r="BO299">
        <v>3.36</v>
      </c>
      <c r="BP299">
        <v>5.24</v>
      </c>
      <c r="BQ299">
        <v>0</v>
      </c>
      <c r="BR299">
        <v>1.76</v>
      </c>
      <c r="BS299">
        <v>19.420000000000002</v>
      </c>
      <c r="BT299">
        <v>0</v>
      </c>
      <c r="BU299">
        <v>6.89</v>
      </c>
      <c r="BV299">
        <v>0</v>
      </c>
      <c r="BW299">
        <v>2.29</v>
      </c>
      <c r="BX299">
        <v>8.58</v>
      </c>
      <c r="BY299">
        <v>4.46</v>
      </c>
      <c r="BZ299">
        <v>8.66</v>
      </c>
      <c r="CA299">
        <v>19.54</v>
      </c>
      <c r="CB299">
        <v>8.2899999999999991</v>
      </c>
      <c r="CC299">
        <v>88.42</v>
      </c>
      <c r="CD299">
        <v>1.52</v>
      </c>
      <c r="CE299">
        <v>3.18</v>
      </c>
      <c r="CF299">
        <v>15.46</v>
      </c>
      <c r="CG299">
        <v>0</v>
      </c>
      <c r="CH299">
        <v>8.4</v>
      </c>
      <c r="CI299">
        <v>0</v>
      </c>
      <c r="CJ299">
        <v>0</v>
      </c>
      <c r="CK299">
        <v>1.94</v>
      </c>
    </row>
    <row r="300" spans="1:89" x14ac:dyDescent="0.3">
      <c r="A300" s="155">
        <v>9011</v>
      </c>
      <c r="B300" t="s">
        <v>1790</v>
      </c>
      <c r="C300" t="s">
        <v>1061</v>
      </c>
      <c r="D300">
        <v>-9673</v>
      </c>
      <c r="E300">
        <v>0</v>
      </c>
      <c r="F300">
        <v>77257</v>
      </c>
      <c r="G300">
        <v>-2417</v>
      </c>
      <c r="H300">
        <v>88901</v>
      </c>
      <c r="I300">
        <v>637055</v>
      </c>
      <c r="J300">
        <v>0</v>
      </c>
      <c r="K300">
        <v>1862073</v>
      </c>
      <c r="L300">
        <v>0</v>
      </c>
      <c r="M300">
        <v>0</v>
      </c>
      <c r="N300">
        <v>65265</v>
      </c>
      <c r="O300">
        <v>5985024</v>
      </c>
      <c r="P300">
        <v>0</v>
      </c>
      <c r="Q300">
        <v>0</v>
      </c>
      <c r="R300">
        <v>0</v>
      </c>
      <c r="S300">
        <v>0</v>
      </c>
      <c r="T300">
        <v>0</v>
      </c>
      <c r="U300">
        <v>0</v>
      </c>
      <c r="V300">
        <v>24027</v>
      </c>
      <c r="W300">
        <v>-185</v>
      </c>
      <c r="X300">
        <v>0</v>
      </c>
      <c r="Y300">
        <v>171731000</v>
      </c>
      <c r="Z300">
        <v>-93205</v>
      </c>
      <c r="AA300">
        <v>38815</v>
      </c>
      <c r="AB300">
        <v>0</v>
      </c>
      <c r="AC300">
        <v>4745</v>
      </c>
      <c r="AD300">
        <v>534798</v>
      </c>
      <c r="AE300">
        <v>60638</v>
      </c>
      <c r="AF300">
        <v>2836277</v>
      </c>
      <c r="AG300">
        <v>0</v>
      </c>
      <c r="AH300">
        <v>327993</v>
      </c>
      <c r="AI300">
        <v>463256</v>
      </c>
      <c r="AJ300">
        <v>79132</v>
      </c>
      <c r="AK300">
        <v>81128</v>
      </c>
      <c r="AL300">
        <v>92072</v>
      </c>
      <c r="AM300">
        <v>11190</v>
      </c>
      <c r="AN300">
        <v>-139189</v>
      </c>
      <c r="AO300">
        <v>105219</v>
      </c>
      <c r="AP300">
        <v>0</v>
      </c>
      <c r="AQ300">
        <v>11534579</v>
      </c>
      <c r="AR300">
        <v>0</v>
      </c>
      <c r="AS300">
        <v>-55961</v>
      </c>
      <c r="AT300">
        <v>1648106</v>
      </c>
      <c r="AU300">
        <v>-39306</v>
      </c>
      <c r="AV300">
        <v>0</v>
      </c>
      <c r="AW300">
        <v>0</v>
      </c>
      <c r="AX300">
        <v>-27023</v>
      </c>
      <c r="AY300">
        <v>0</v>
      </c>
      <c r="AZ300">
        <v>0</v>
      </c>
      <c r="BA300">
        <v>58943</v>
      </c>
      <c r="BB300">
        <v>18063</v>
      </c>
      <c r="BC300">
        <v>415945</v>
      </c>
      <c r="BD300">
        <v>0</v>
      </c>
      <c r="BE300">
        <v>0</v>
      </c>
      <c r="BF300">
        <v>342258</v>
      </c>
      <c r="BG300">
        <v>0</v>
      </c>
      <c r="BH300">
        <v>0</v>
      </c>
      <c r="BI300">
        <v>-69138</v>
      </c>
      <c r="BJ300">
        <v>0</v>
      </c>
      <c r="BK300">
        <v>-18105</v>
      </c>
      <c r="BL300">
        <v>-19094</v>
      </c>
      <c r="BM300">
        <v>-5126</v>
      </c>
      <c r="BN300">
        <v>0</v>
      </c>
      <c r="BO300">
        <v>288119</v>
      </c>
      <c r="BP300">
        <v>27456591</v>
      </c>
      <c r="BQ300">
        <v>0</v>
      </c>
      <c r="BR300">
        <v>8758</v>
      </c>
      <c r="BS300">
        <v>66329</v>
      </c>
      <c r="BT300">
        <v>0</v>
      </c>
      <c r="BU300">
        <v>88424</v>
      </c>
      <c r="BV300">
        <v>0</v>
      </c>
      <c r="BW300">
        <v>354688</v>
      </c>
      <c r="BX300">
        <v>-777312</v>
      </c>
      <c r="BY300">
        <v>1899834</v>
      </c>
      <c r="BZ300">
        <v>408821</v>
      </c>
      <c r="CA300">
        <v>-19327</v>
      </c>
      <c r="CB300">
        <v>254532</v>
      </c>
      <c r="CC300">
        <v>67629</v>
      </c>
      <c r="CD300">
        <v>-22178</v>
      </c>
      <c r="CE300">
        <v>3031</v>
      </c>
      <c r="CF300">
        <v>467037</v>
      </c>
      <c r="CG300">
        <v>0</v>
      </c>
      <c r="CH300">
        <v>117181</v>
      </c>
      <c r="CI300">
        <v>0</v>
      </c>
      <c r="CJ300">
        <v>0</v>
      </c>
      <c r="CK300">
        <v>-18405</v>
      </c>
    </row>
    <row r="301" spans="1:89" x14ac:dyDescent="0.3">
      <c r="A301" s="155">
        <v>9012</v>
      </c>
      <c r="B301" t="s">
        <v>1791</v>
      </c>
      <c r="C301" t="s">
        <v>1061</v>
      </c>
      <c r="D301">
        <v>0.80259999999999998</v>
      </c>
      <c r="E301">
        <v>0</v>
      </c>
      <c r="F301">
        <v>5.1753999999999998</v>
      </c>
      <c r="G301">
        <v>2.1193</v>
      </c>
      <c r="H301">
        <v>0.82730000000000004</v>
      </c>
      <c r="I301">
        <v>2.3567</v>
      </c>
      <c r="J301">
        <v>0</v>
      </c>
      <c r="K301">
        <v>0.4446</v>
      </c>
      <c r="L301">
        <v>0</v>
      </c>
      <c r="M301">
        <v>0</v>
      </c>
      <c r="N301">
        <v>0.35539999999999999</v>
      </c>
      <c r="O301">
        <v>3.4590999999999998</v>
      </c>
      <c r="P301">
        <v>0</v>
      </c>
      <c r="Q301">
        <v>0</v>
      </c>
      <c r="R301">
        <v>0</v>
      </c>
      <c r="S301">
        <v>0</v>
      </c>
      <c r="T301">
        <v>0</v>
      </c>
      <c r="U301">
        <v>0</v>
      </c>
      <c r="V301">
        <v>3.6694</v>
      </c>
      <c r="W301">
        <v>2.3077000000000001</v>
      </c>
      <c r="X301">
        <v>0</v>
      </c>
      <c r="Y301">
        <v>0.85409999999999997</v>
      </c>
      <c r="Z301">
        <v>0.29189999999999999</v>
      </c>
      <c r="AA301">
        <v>4.1323999999999996</v>
      </c>
      <c r="AB301">
        <v>0</v>
      </c>
      <c r="AC301">
        <v>0.28199999999999997</v>
      </c>
      <c r="AD301">
        <v>2.6303000000000001</v>
      </c>
      <c r="AE301">
        <v>0.67720000000000002</v>
      </c>
      <c r="AF301">
        <v>0.60919999999999996</v>
      </c>
      <c r="AG301">
        <v>0</v>
      </c>
      <c r="AH301">
        <v>10.335100000000001</v>
      </c>
      <c r="AI301">
        <v>1.0660000000000001</v>
      </c>
      <c r="AJ301">
        <v>0.89129999999999998</v>
      </c>
      <c r="AK301">
        <v>2.0979999999999999</v>
      </c>
      <c r="AL301">
        <v>2.8982999999999999</v>
      </c>
      <c r="AM301">
        <v>1.7073</v>
      </c>
      <c r="AN301">
        <v>3.6772999999999998</v>
      </c>
      <c r="AO301">
        <v>0.67630000000000001</v>
      </c>
      <c r="AP301">
        <v>0</v>
      </c>
      <c r="AQ301">
        <v>2.5503999999999998</v>
      </c>
      <c r="AR301">
        <v>0</v>
      </c>
      <c r="AS301">
        <v>0.43769999999999998</v>
      </c>
      <c r="AT301">
        <v>2.1911999999999998</v>
      </c>
      <c r="AU301">
        <v>2.4626000000000001</v>
      </c>
      <c r="AV301">
        <v>0</v>
      </c>
      <c r="AW301">
        <v>0</v>
      </c>
      <c r="AX301">
        <v>0.49819999999999998</v>
      </c>
      <c r="AY301">
        <v>0</v>
      </c>
      <c r="AZ301">
        <v>0</v>
      </c>
      <c r="BA301">
        <v>0.70379999999999998</v>
      </c>
      <c r="BB301">
        <v>0.83340000000000003</v>
      </c>
      <c r="BC301">
        <v>0.82850000000000001</v>
      </c>
      <c r="BD301">
        <v>0</v>
      </c>
      <c r="BE301">
        <v>0</v>
      </c>
      <c r="BF301">
        <v>0.33979999999999999</v>
      </c>
      <c r="BG301">
        <v>0</v>
      </c>
      <c r="BH301">
        <v>0</v>
      </c>
      <c r="BI301">
        <v>0.48049999999999998</v>
      </c>
      <c r="BJ301">
        <v>0</v>
      </c>
      <c r="BK301">
        <v>8.8200000000000001E-2</v>
      </c>
      <c r="BL301">
        <v>0.8</v>
      </c>
      <c r="BM301">
        <v>1.5232000000000001</v>
      </c>
      <c r="BN301">
        <v>0</v>
      </c>
      <c r="BO301">
        <v>0.44159999999999999</v>
      </c>
      <c r="BP301">
        <v>1.6315</v>
      </c>
      <c r="BQ301">
        <v>0</v>
      </c>
      <c r="BR301">
        <v>1.2568999999999999</v>
      </c>
      <c r="BS301">
        <v>1.3436999999999999</v>
      </c>
      <c r="BT301">
        <v>0</v>
      </c>
      <c r="BU301">
        <v>2.06E-2</v>
      </c>
      <c r="BV301">
        <v>0</v>
      </c>
      <c r="BW301">
        <v>0.39989999999999998</v>
      </c>
      <c r="BX301">
        <v>0.24010000000000001</v>
      </c>
      <c r="BY301">
        <v>0.79320000000000002</v>
      </c>
      <c r="BZ301">
        <v>1.5113000000000001</v>
      </c>
      <c r="CA301">
        <v>0.51370000000000005</v>
      </c>
      <c r="CB301">
        <v>1.6406000000000001</v>
      </c>
      <c r="CC301">
        <v>1.7930999999999999</v>
      </c>
      <c r="CD301">
        <v>5.8799999999999998E-2</v>
      </c>
      <c r="CE301">
        <v>4.1799999999999997E-2</v>
      </c>
      <c r="CF301">
        <v>1.0178</v>
      </c>
      <c r="CG301">
        <v>0</v>
      </c>
      <c r="CH301">
        <v>0.24740000000000001</v>
      </c>
      <c r="CI301">
        <v>0</v>
      </c>
      <c r="CJ301">
        <v>0</v>
      </c>
      <c r="CK301">
        <v>0</v>
      </c>
    </row>
    <row r="302" spans="1:89" x14ac:dyDescent="0.3">
      <c r="A302" s="155">
        <v>9013</v>
      </c>
      <c r="B302" t="s">
        <v>1062</v>
      </c>
      <c r="C302" t="s">
        <v>1063</v>
      </c>
      <c r="D302">
        <v>13.99</v>
      </c>
      <c r="E302">
        <v>0</v>
      </c>
      <c r="F302">
        <v>92.89</v>
      </c>
      <c r="G302">
        <v>3.97</v>
      </c>
      <c r="H302">
        <v>6.08</v>
      </c>
      <c r="I302">
        <v>13.38</v>
      </c>
      <c r="J302">
        <v>0</v>
      </c>
      <c r="K302">
        <v>1.82</v>
      </c>
      <c r="L302">
        <v>0</v>
      </c>
      <c r="M302">
        <v>0</v>
      </c>
      <c r="N302">
        <v>2.11</v>
      </c>
      <c r="O302">
        <v>14.53</v>
      </c>
      <c r="P302">
        <v>0</v>
      </c>
      <c r="Q302">
        <v>0</v>
      </c>
      <c r="R302">
        <v>0</v>
      </c>
      <c r="S302">
        <v>0</v>
      </c>
      <c r="T302">
        <v>0</v>
      </c>
      <c r="U302">
        <v>0</v>
      </c>
      <c r="V302">
        <v>16.45</v>
      </c>
      <c r="W302">
        <v>9.1999999999999993</v>
      </c>
      <c r="X302">
        <v>0</v>
      </c>
      <c r="Y302">
        <v>1.67</v>
      </c>
      <c r="Z302">
        <v>6.59</v>
      </c>
      <c r="AA302">
        <v>0</v>
      </c>
      <c r="AB302">
        <v>0</v>
      </c>
      <c r="AC302">
        <v>2.04</v>
      </c>
      <c r="AD302">
        <v>32.76</v>
      </c>
      <c r="AE302">
        <v>9.5500000000000007</v>
      </c>
      <c r="AF302">
        <v>4.0199999999999996</v>
      </c>
      <c r="AG302">
        <v>0</v>
      </c>
      <c r="AH302">
        <v>65.05</v>
      </c>
      <c r="AI302">
        <v>9.61</v>
      </c>
      <c r="AJ302">
        <v>12.01</v>
      </c>
      <c r="AK302">
        <v>17.46</v>
      </c>
      <c r="AL302">
        <v>5.97</v>
      </c>
      <c r="AM302">
        <v>17967.71</v>
      </c>
      <c r="AN302">
        <v>29.52</v>
      </c>
      <c r="AO302">
        <v>1.88</v>
      </c>
      <c r="AP302">
        <v>0</v>
      </c>
      <c r="AQ302">
        <v>19.63</v>
      </c>
      <c r="AR302">
        <v>0</v>
      </c>
      <c r="AS302">
        <v>0</v>
      </c>
      <c r="AT302">
        <v>11.03</v>
      </c>
      <c r="AU302">
        <v>17.64</v>
      </c>
      <c r="AV302">
        <v>0</v>
      </c>
      <c r="AW302">
        <v>0</v>
      </c>
      <c r="AX302">
        <v>2.85</v>
      </c>
      <c r="AY302">
        <v>0</v>
      </c>
      <c r="AZ302">
        <v>0</v>
      </c>
      <c r="BA302">
        <v>8.2200000000000006</v>
      </c>
      <c r="BB302">
        <v>17</v>
      </c>
      <c r="BC302">
        <v>10.55</v>
      </c>
      <c r="BD302">
        <v>0</v>
      </c>
      <c r="BE302">
        <v>0</v>
      </c>
      <c r="BF302">
        <v>3.18</v>
      </c>
      <c r="BG302">
        <v>0</v>
      </c>
      <c r="BH302">
        <v>0</v>
      </c>
      <c r="BI302">
        <v>9.4499999999999993</v>
      </c>
      <c r="BJ302">
        <v>0</v>
      </c>
      <c r="BK302">
        <v>0.31</v>
      </c>
      <c r="BL302">
        <v>10.87</v>
      </c>
      <c r="BM302">
        <v>5.21</v>
      </c>
      <c r="BN302">
        <v>0</v>
      </c>
      <c r="BO302">
        <v>3.36</v>
      </c>
      <c r="BP302">
        <v>5.24</v>
      </c>
      <c r="BQ302">
        <v>0</v>
      </c>
      <c r="BR302">
        <v>1.76</v>
      </c>
      <c r="BS302">
        <v>19.420000000000002</v>
      </c>
      <c r="BT302">
        <v>0</v>
      </c>
      <c r="BU302">
        <v>6.89</v>
      </c>
      <c r="BV302">
        <v>0</v>
      </c>
      <c r="BW302">
        <v>2.29</v>
      </c>
      <c r="BX302">
        <v>8.58</v>
      </c>
      <c r="BY302">
        <v>4.46</v>
      </c>
      <c r="BZ302">
        <v>8.66</v>
      </c>
      <c r="CA302">
        <v>19.54</v>
      </c>
      <c r="CB302">
        <v>8.2899999999999991</v>
      </c>
      <c r="CC302">
        <v>88.42</v>
      </c>
      <c r="CD302">
        <v>1.52</v>
      </c>
      <c r="CE302">
        <v>3.18</v>
      </c>
      <c r="CF302">
        <v>15.46</v>
      </c>
      <c r="CG302">
        <v>0</v>
      </c>
      <c r="CH302">
        <v>8.4</v>
      </c>
      <c r="CI302">
        <v>0</v>
      </c>
      <c r="CJ302">
        <v>0</v>
      </c>
      <c r="CK302">
        <v>1.94</v>
      </c>
    </row>
    <row r="303" spans="1:89" x14ac:dyDescent="0.3">
      <c r="A303" s="155">
        <v>9014</v>
      </c>
      <c r="B303" t="s">
        <v>1064</v>
      </c>
      <c r="C303" t="s">
        <v>1065</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9.61</v>
      </c>
      <c r="AA303">
        <v>0</v>
      </c>
      <c r="AB303">
        <v>0</v>
      </c>
      <c r="AC303">
        <v>0</v>
      </c>
      <c r="AD303">
        <v>0</v>
      </c>
      <c r="AE303">
        <v>0</v>
      </c>
      <c r="AF303">
        <v>3.15</v>
      </c>
      <c r="AG303">
        <v>0</v>
      </c>
      <c r="AH303">
        <v>0</v>
      </c>
      <c r="AI303">
        <v>0</v>
      </c>
      <c r="AJ303">
        <v>0</v>
      </c>
      <c r="AK303">
        <v>0</v>
      </c>
      <c r="AL303">
        <v>0</v>
      </c>
      <c r="AM303">
        <v>0</v>
      </c>
      <c r="AN303">
        <v>0</v>
      </c>
      <c r="AO303">
        <v>0</v>
      </c>
      <c r="AP303">
        <v>0</v>
      </c>
      <c r="AQ303">
        <v>19.649999999999999</v>
      </c>
      <c r="AR303">
        <v>0</v>
      </c>
      <c r="AS303">
        <v>0</v>
      </c>
      <c r="AT303">
        <v>0</v>
      </c>
      <c r="AU303">
        <v>0</v>
      </c>
      <c r="AV303">
        <v>0</v>
      </c>
      <c r="AW303">
        <v>5.86</v>
      </c>
      <c r="AX303">
        <v>0</v>
      </c>
      <c r="AY303">
        <v>0</v>
      </c>
      <c r="AZ303">
        <v>0</v>
      </c>
      <c r="BA303">
        <v>0</v>
      </c>
      <c r="BB303">
        <v>0</v>
      </c>
      <c r="BC303">
        <v>64.47</v>
      </c>
      <c r="BD303">
        <v>0</v>
      </c>
      <c r="BE303">
        <v>0</v>
      </c>
      <c r="BF303">
        <v>0</v>
      </c>
      <c r="BG303">
        <v>0</v>
      </c>
      <c r="BH303">
        <v>0</v>
      </c>
      <c r="BI303">
        <v>0</v>
      </c>
      <c r="BJ303">
        <v>0</v>
      </c>
      <c r="BK303">
        <v>0</v>
      </c>
      <c r="BL303">
        <v>17.89</v>
      </c>
      <c r="BM303">
        <v>0</v>
      </c>
      <c r="BN303">
        <v>0</v>
      </c>
      <c r="BO303">
        <v>0</v>
      </c>
      <c r="BP303">
        <v>0</v>
      </c>
      <c r="BQ303">
        <v>0</v>
      </c>
      <c r="BR303">
        <v>0</v>
      </c>
      <c r="BS303">
        <v>0</v>
      </c>
      <c r="BT303">
        <v>0</v>
      </c>
      <c r="BU303">
        <v>0</v>
      </c>
      <c r="BV303">
        <v>0</v>
      </c>
      <c r="BW303">
        <v>0</v>
      </c>
      <c r="BX303">
        <v>2.12</v>
      </c>
      <c r="BY303">
        <v>2.14</v>
      </c>
      <c r="BZ303">
        <v>0</v>
      </c>
      <c r="CA303">
        <v>0</v>
      </c>
      <c r="CB303">
        <v>0</v>
      </c>
      <c r="CC303">
        <v>0</v>
      </c>
      <c r="CD303">
        <v>0</v>
      </c>
      <c r="CE303">
        <v>0</v>
      </c>
      <c r="CF303">
        <v>0</v>
      </c>
      <c r="CG303">
        <v>0</v>
      </c>
      <c r="CH303">
        <v>16.100000000000001</v>
      </c>
      <c r="CI303">
        <v>0</v>
      </c>
      <c r="CJ303">
        <v>0</v>
      </c>
      <c r="CK303">
        <v>0</v>
      </c>
    </row>
    <row r="304" spans="1:89" x14ac:dyDescent="0.3">
      <c r="A304" s="155">
        <v>9015</v>
      </c>
      <c r="B304" t="s">
        <v>1792</v>
      </c>
      <c r="C304" t="s">
        <v>351</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1391144</v>
      </c>
      <c r="AA304">
        <v>0</v>
      </c>
      <c r="AB304">
        <v>0</v>
      </c>
      <c r="AC304">
        <v>0</v>
      </c>
      <c r="AD304">
        <v>0</v>
      </c>
      <c r="AE304">
        <v>0</v>
      </c>
      <c r="AF304">
        <v>1605091</v>
      </c>
      <c r="AG304">
        <v>0</v>
      </c>
      <c r="AH304">
        <v>0</v>
      </c>
      <c r="AI304">
        <v>0</v>
      </c>
      <c r="AJ304">
        <v>0</v>
      </c>
      <c r="AK304">
        <v>0</v>
      </c>
      <c r="AL304">
        <v>0</v>
      </c>
      <c r="AM304">
        <v>0</v>
      </c>
      <c r="AN304">
        <v>0</v>
      </c>
      <c r="AO304">
        <v>0</v>
      </c>
      <c r="AP304">
        <v>0</v>
      </c>
      <c r="AQ304">
        <v>23740731</v>
      </c>
      <c r="AR304">
        <v>0</v>
      </c>
      <c r="AS304">
        <v>0</v>
      </c>
      <c r="AT304">
        <v>0</v>
      </c>
      <c r="AU304">
        <v>0</v>
      </c>
      <c r="AV304">
        <v>0</v>
      </c>
      <c r="AW304">
        <v>325511</v>
      </c>
      <c r="AX304">
        <v>0</v>
      </c>
      <c r="AY304">
        <v>0</v>
      </c>
      <c r="AZ304">
        <v>0</v>
      </c>
      <c r="BA304">
        <v>0</v>
      </c>
      <c r="BB304">
        <v>0</v>
      </c>
      <c r="BC304">
        <v>2057419</v>
      </c>
      <c r="BD304">
        <v>0</v>
      </c>
      <c r="BE304">
        <v>0</v>
      </c>
      <c r="BF304">
        <v>0</v>
      </c>
      <c r="BG304">
        <v>0</v>
      </c>
      <c r="BH304">
        <v>0</v>
      </c>
      <c r="BI304">
        <v>0</v>
      </c>
      <c r="BJ304">
        <v>0</v>
      </c>
      <c r="BK304">
        <v>0</v>
      </c>
      <c r="BL304">
        <v>527915</v>
      </c>
      <c r="BM304">
        <v>0</v>
      </c>
      <c r="BN304">
        <v>0</v>
      </c>
      <c r="BO304">
        <v>0</v>
      </c>
      <c r="BP304">
        <v>0</v>
      </c>
      <c r="BQ304">
        <v>0</v>
      </c>
      <c r="BR304">
        <v>0</v>
      </c>
      <c r="BS304">
        <v>0</v>
      </c>
      <c r="BT304">
        <v>0</v>
      </c>
      <c r="BU304">
        <v>0</v>
      </c>
      <c r="BV304">
        <v>0</v>
      </c>
      <c r="BW304">
        <v>0</v>
      </c>
      <c r="BX304">
        <v>629094</v>
      </c>
      <c r="BY304">
        <v>1883256</v>
      </c>
      <c r="BZ304">
        <v>0</v>
      </c>
      <c r="CA304">
        <v>0</v>
      </c>
      <c r="CB304">
        <v>0</v>
      </c>
      <c r="CC304">
        <v>0</v>
      </c>
      <c r="CD304">
        <v>0</v>
      </c>
      <c r="CE304">
        <v>0</v>
      </c>
      <c r="CF304">
        <v>0</v>
      </c>
      <c r="CG304">
        <v>0</v>
      </c>
      <c r="CH304">
        <v>325554</v>
      </c>
      <c r="CI304">
        <v>0</v>
      </c>
      <c r="CJ304">
        <v>0</v>
      </c>
      <c r="CK304">
        <v>0</v>
      </c>
    </row>
    <row r="305" spans="1:89" x14ac:dyDescent="0.3">
      <c r="A305" s="155">
        <v>9016</v>
      </c>
      <c r="B305" t="s">
        <v>1793</v>
      </c>
      <c r="C305" t="s">
        <v>351</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0.52710000000000001</v>
      </c>
      <c r="AA305">
        <v>0</v>
      </c>
      <c r="AB305">
        <v>0</v>
      </c>
      <c r="AC305">
        <v>0</v>
      </c>
      <c r="AD305">
        <v>0</v>
      </c>
      <c r="AE305">
        <v>0</v>
      </c>
      <c r="AF305">
        <v>0.3962</v>
      </c>
      <c r="AG305">
        <v>0</v>
      </c>
      <c r="AH305">
        <v>0</v>
      </c>
      <c r="AI305">
        <v>0</v>
      </c>
      <c r="AJ305">
        <v>0</v>
      </c>
      <c r="AK305">
        <v>0</v>
      </c>
      <c r="AL305">
        <v>0</v>
      </c>
      <c r="AM305">
        <v>0</v>
      </c>
      <c r="AN305">
        <v>0</v>
      </c>
      <c r="AO305">
        <v>0</v>
      </c>
      <c r="AP305">
        <v>0</v>
      </c>
      <c r="AQ305">
        <v>1.9161999999999999</v>
      </c>
      <c r="AR305">
        <v>0</v>
      </c>
      <c r="AS305">
        <v>0</v>
      </c>
      <c r="AT305">
        <v>0</v>
      </c>
      <c r="AU305">
        <v>0</v>
      </c>
      <c r="AV305">
        <v>0</v>
      </c>
      <c r="AW305">
        <v>0.88429999999999997</v>
      </c>
      <c r="AX305">
        <v>0</v>
      </c>
      <c r="AY305">
        <v>0</v>
      </c>
      <c r="AZ305">
        <v>0</v>
      </c>
      <c r="BA305">
        <v>0</v>
      </c>
      <c r="BB305">
        <v>0</v>
      </c>
      <c r="BC305">
        <v>0.57430000000000003</v>
      </c>
      <c r="BD305">
        <v>0</v>
      </c>
      <c r="BE305">
        <v>0</v>
      </c>
      <c r="BF305">
        <v>0</v>
      </c>
      <c r="BG305">
        <v>0</v>
      </c>
      <c r="BH305">
        <v>0</v>
      </c>
      <c r="BI305">
        <v>0</v>
      </c>
      <c r="BJ305">
        <v>0</v>
      </c>
      <c r="BK305">
        <v>0</v>
      </c>
      <c r="BL305">
        <v>1.9681</v>
      </c>
      <c r="BM305">
        <v>0</v>
      </c>
      <c r="BN305">
        <v>0</v>
      </c>
      <c r="BO305">
        <v>0</v>
      </c>
      <c r="BP305">
        <v>0</v>
      </c>
      <c r="BQ305">
        <v>0</v>
      </c>
      <c r="BR305">
        <v>0</v>
      </c>
      <c r="BS305">
        <v>0</v>
      </c>
      <c r="BT305">
        <v>0</v>
      </c>
      <c r="BU305">
        <v>0</v>
      </c>
      <c r="BV305">
        <v>0</v>
      </c>
      <c r="BW305">
        <v>0</v>
      </c>
      <c r="BX305">
        <v>0.19350000000000001</v>
      </c>
      <c r="BY305">
        <v>0.18010000000000001</v>
      </c>
      <c r="BZ305">
        <v>0</v>
      </c>
      <c r="CA305">
        <v>0</v>
      </c>
      <c r="CB305">
        <v>0</v>
      </c>
      <c r="CC305">
        <v>0</v>
      </c>
      <c r="CD305">
        <v>0</v>
      </c>
      <c r="CE305">
        <v>0</v>
      </c>
      <c r="CF305">
        <v>0</v>
      </c>
      <c r="CG305">
        <v>0</v>
      </c>
      <c r="CH305">
        <v>2.8454000000000002</v>
      </c>
      <c r="CI305">
        <v>0</v>
      </c>
      <c r="CJ305">
        <v>0</v>
      </c>
      <c r="CK305">
        <v>0</v>
      </c>
    </row>
    <row r="306" spans="1:89" x14ac:dyDescent="0.3">
      <c r="A306" s="155">
        <v>9017</v>
      </c>
      <c r="B306" t="s">
        <v>1066</v>
      </c>
      <c r="C306" t="s">
        <v>1067</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9.61</v>
      </c>
      <c r="AA306">
        <v>0</v>
      </c>
      <c r="AB306">
        <v>0</v>
      </c>
      <c r="AC306">
        <v>0</v>
      </c>
      <c r="AD306">
        <v>0</v>
      </c>
      <c r="AE306">
        <v>0</v>
      </c>
      <c r="AF306">
        <v>3.15</v>
      </c>
      <c r="AG306">
        <v>0</v>
      </c>
      <c r="AH306">
        <v>0</v>
      </c>
      <c r="AI306">
        <v>0</v>
      </c>
      <c r="AJ306">
        <v>0</v>
      </c>
      <c r="AK306">
        <v>0</v>
      </c>
      <c r="AL306">
        <v>0</v>
      </c>
      <c r="AM306">
        <v>0</v>
      </c>
      <c r="AN306">
        <v>0</v>
      </c>
      <c r="AO306">
        <v>0</v>
      </c>
      <c r="AP306">
        <v>0</v>
      </c>
      <c r="AQ306">
        <v>19.649999999999999</v>
      </c>
      <c r="AR306">
        <v>0</v>
      </c>
      <c r="AS306">
        <v>0</v>
      </c>
      <c r="AT306">
        <v>0</v>
      </c>
      <c r="AU306">
        <v>0</v>
      </c>
      <c r="AV306">
        <v>0</v>
      </c>
      <c r="AW306">
        <v>5.86</v>
      </c>
      <c r="AX306">
        <v>0</v>
      </c>
      <c r="AY306">
        <v>0</v>
      </c>
      <c r="AZ306">
        <v>0</v>
      </c>
      <c r="BA306">
        <v>0</v>
      </c>
      <c r="BB306">
        <v>0</v>
      </c>
      <c r="BC306">
        <v>64.47</v>
      </c>
      <c r="BD306">
        <v>0</v>
      </c>
      <c r="BE306">
        <v>0</v>
      </c>
      <c r="BF306">
        <v>0</v>
      </c>
      <c r="BG306">
        <v>0</v>
      </c>
      <c r="BH306">
        <v>0</v>
      </c>
      <c r="BI306">
        <v>0</v>
      </c>
      <c r="BJ306">
        <v>0</v>
      </c>
      <c r="BK306">
        <v>0</v>
      </c>
      <c r="BL306">
        <v>17.89</v>
      </c>
      <c r="BM306">
        <v>0</v>
      </c>
      <c r="BN306">
        <v>0</v>
      </c>
      <c r="BO306">
        <v>0</v>
      </c>
      <c r="BP306">
        <v>0</v>
      </c>
      <c r="BQ306">
        <v>0</v>
      </c>
      <c r="BR306">
        <v>0</v>
      </c>
      <c r="BS306">
        <v>0</v>
      </c>
      <c r="BT306">
        <v>0</v>
      </c>
      <c r="BU306">
        <v>0</v>
      </c>
      <c r="BV306">
        <v>0</v>
      </c>
      <c r="BW306">
        <v>0</v>
      </c>
      <c r="BX306">
        <v>2.12</v>
      </c>
      <c r="BY306">
        <v>2.14</v>
      </c>
      <c r="BZ306">
        <v>0</v>
      </c>
      <c r="CA306">
        <v>0</v>
      </c>
      <c r="CB306">
        <v>0</v>
      </c>
      <c r="CC306">
        <v>0</v>
      </c>
      <c r="CD306">
        <v>0</v>
      </c>
      <c r="CE306">
        <v>0</v>
      </c>
      <c r="CF306">
        <v>0</v>
      </c>
      <c r="CG306">
        <v>0</v>
      </c>
      <c r="CH306">
        <v>16.100000000000001</v>
      </c>
      <c r="CI306">
        <v>0</v>
      </c>
      <c r="CJ306">
        <v>0</v>
      </c>
      <c r="CK306">
        <v>0</v>
      </c>
    </row>
    <row r="307" spans="1:89" x14ac:dyDescent="0.3">
      <c r="A307" s="155">
        <v>9018</v>
      </c>
      <c r="B307" t="s">
        <v>1068</v>
      </c>
      <c r="C307" t="s">
        <v>1069</v>
      </c>
      <c r="D307">
        <v>25523</v>
      </c>
      <c r="E307">
        <v>36587</v>
      </c>
      <c r="F307">
        <v>13609</v>
      </c>
      <c r="G307">
        <v>17188</v>
      </c>
      <c r="H307">
        <v>87720</v>
      </c>
      <c r="I307">
        <v>357383</v>
      </c>
      <c r="J307">
        <v>50630</v>
      </c>
      <c r="K307">
        <v>1724507</v>
      </c>
      <c r="L307">
        <v>0</v>
      </c>
      <c r="M307">
        <v>3455794</v>
      </c>
      <c r="N307">
        <v>169964</v>
      </c>
      <c r="O307">
        <v>58701918</v>
      </c>
      <c r="P307">
        <v>8143</v>
      </c>
      <c r="Q307">
        <v>10817</v>
      </c>
      <c r="R307">
        <v>70504</v>
      </c>
      <c r="S307">
        <v>20792</v>
      </c>
      <c r="T307">
        <v>125335</v>
      </c>
      <c r="U307">
        <v>5545</v>
      </c>
      <c r="V307">
        <v>217753</v>
      </c>
      <c r="W307">
        <v>28635</v>
      </c>
      <c r="X307">
        <v>15351032</v>
      </c>
      <c r="Y307">
        <v>345304000</v>
      </c>
      <c r="Z307">
        <v>412031</v>
      </c>
      <c r="AA307">
        <v>77698</v>
      </c>
      <c r="AB307">
        <v>605809</v>
      </c>
      <c r="AC307">
        <v>449200</v>
      </c>
      <c r="AD307">
        <v>324804</v>
      </c>
      <c r="AE307">
        <v>87542</v>
      </c>
      <c r="AF307">
        <v>3416347</v>
      </c>
      <c r="AG307">
        <v>576145</v>
      </c>
      <c r="AH307">
        <v>33336</v>
      </c>
      <c r="AI307">
        <v>754824</v>
      </c>
      <c r="AJ307">
        <v>30038</v>
      </c>
      <c r="AK307">
        <v>19506</v>
      </c>
      <c r="AL307">
        <v>19153</v>
      </c>
      <c r="AM307">
        <v>7</v>
      </c>
      <c r="AN307">
        <v>47687</v>
      </c>
      <c r="AO307">
        <v>83136</v>
      </c>
      <c r="AP307">
        <v>591</v>
      </c>
      <c r="AQ307">
        <v>24624560</v>
      </c>
      <c r="AR307">
        <v>26288</v>
      </c>
      <c r="AS307">
        <v>34825</v>
      </c>
      <c r="AT307">
        <v>1554964</v>
      </c>
      <c r="AU307">
        <v>40475</v>
      </c>
      <c r="AV307">
        <v>449</v>
      </c>
      <c r="AW307">
        <v>4557242</v>
      </c>
      <c r="AX307">
        <v>1914</v>
      </c>
      <c r="AY307">
        <v>348610</v>
      </c>
      <c r="AZ307">
        <v>202156</v>
      </c>
      <c r="BA307">
        <v>1731</v>
      </c>
      <c r="BB307">
        <v>51</v>
      </c>
      <c r="BC307">
        <v>527212</v>
      </c>
      <c r="BD307">
        <v>0</v>
      </c>
      <c r="BE307">
        <v>1633798</v>
      </c>
      <c r="BF307">
        <v>22417</v>
      </c>
      <c r="BG307">
        <v>11695</v>
      </c>
      <c r="BH307">
        <v>20552</v>
      </c>
      <c r="BI307">
        <v>76878</v>
      </c>
      <c r="BJ307">
        <v>2087</v>
      </c>
      <c r="BK307">
        <v>43481</v>
      </c>
      <c r="BL307">
        <v>45192</v>
      </c>
      <c r="BM307">
        <v>36405</v>
      </c>
      <c r="BN307">
        <v>1961555</v>
      </c>
      <c r="BO307">
        <v>1130671</v>
      </c>
      <c r="BP307">
        <v>89288370</v>
      </c>
      <c r="BQ307">
        <v>5207</v>
      </c>
      <c r="BR307">
        <v>1382</v>
      </c>
      <c r="BS307">
        <v>31317</v>
      </c>
      <c r="BT307">
        <v>0</v>
      </c>
      <c r="BU307">
        <v>100822</v>
      </c>
      <c r="BV307">
        <v>36699</v>
      </c>
      <c r="BW307">
        <v>1824799</v>
      </c>
      <c r="BX307">
        <v>459021</v>
      </c>
      <c r="BY307">
        <v>1758712</v>
      </c>
      <c r="BZ307">
        <v>1808471</v>
      </c>
      <c r="CA307">
        <v>17739</v>
      </c>
      <c r="CB307">
        <v>702069</v>
      </c>
      <c r="CC307">
        <v>6860</v>
      </c>
      <c r="CD307">
        <v>21364</v>
      </c>
      <c r="CE307">
        <v>38998</v>
      </c>
      <c r="CF307">
        <v>410293</v>
      </c>
      <c r="CG307">
        <v>6269367</v>
      </c>
      <c r="CH307">
        <v>76439</v>
      </c>
      <c r="CI307">
        <v>68790</v>
      </c>
      <c r="CJ307">
        <v>0</v>
      </c>
      <c r="CK307">
        <v>1774</v>
      </c>
    </row>
    <row r="308" spans="1:89" x14ac:dyDescent="0.3">
      <c r="A308" s="155">
        <v>9019</v>
      </c>
      <c r="B308" t="s">
        <v>1070</v>
      </c>
      <c r="C308" t="s">
        <v>1071</v>
      </c>
      <c r="D308">
        <v>25523</v>
      </c>
      <c r="E308">
        <v>36587</v>
      </c>
      <c r="F308">
        <v>13609</v>
      </c>
      <c r="G308">
        <v>17188</v>
      </c>
      <c r="H308">
        <v>87720</v>
      </c>
      <c r="I308">
        <v>357383</v>
      </c>
      <c r="J308">
        <v>50630</v>
      </c>
      <c r="K308">
        <v>1724507</v>
      </c>
      <c r="L308">
        <v>0</v>
      </c>
      <c r="M308">
        <v>3455794</v>
      </c>
      <c r="N308">
        <v>169964</v>
      </c>
      <c r="O308">
        <v>58701918</v>
      </c>
      <c r="P308">
        <v>8143</v>
      </c>
      <c r="Q308">
        <v>10817</v>
      </c>
      <c r="R308">
        <v>70504</v>
      </c>
      <c r="S308">
        <v>20792</v>
      </c>
      <c r="T308">
        <v>125335</v>
      </c>
      <c r="U308">
        <v>5545</v>
      </c>
      <c r="V308">
        <v>217753</v>
      </c>
      <c r="W308">
        <v>28635</v>
      </c>
      <c r="X308">
        <v>15351032</v>
      </c>
      <c r="Y308">
        <v>345304000</v>
      </c>
      <c r="Z308">
        <v>412031</v>
      </c>
      <c r="AA308">
        <v>77698</v>
      </c>
      <c r="AB308">
        <v>605809</v>
      </c>
      <c r="AC308">
        <v>449200</v>
      </c>
      <c r="AD308">
        <v>324804</v>
      </c>
      <c r="AE308">
        <v>87542</v>
      </c>
      <c r="AF308">
        <v>3416347</v>
      </c>
      <c r="AG308">
        <v>576145</v>
      </c>
      <c r="AH308">
        <v>33336</v>
      </c>
      <c r="AI308">
        <v>754824</v>
      </c>
      <c r="AJ308">
        <v>30038</v>
      </c>
      <c r="AK308">
        <v>19506</v>
      </c>
      <c r="AL308">
        <v>19153</v>
      </c>
      <c r="AM308">
        <v>7</v>
      </c>
      <c r="AN308">
        <v>47687</v>
      </c>
      <c r="AO308">
        <v>83136</v>
      </c>
      <c r="AP308">
        <v>591</v>
      </c>
      <c r="AQ308">
        <v>24624560</v>
      </c>
      <c r="AR308">
        <v>26288</v>
      </c>
      <c r="AS308">
        <v>34825</v>
      </c>
      <c r="AT308">
        <v>1554964</v>
      </c>
      <c r="AU308">
        <v>40475</v>
      </c>
      <c r="AV308">
        <v>449</v>
      </c>
      <c r="AW308">
        <v>4557242</v>
      </c>
      <c r="AX308">
        <v>1914</v>
      </c>
      <c r="AY308">
        <v>348610</v>
      </c>
      <c r="AZ308">
        <v>202156</v>
      </c>
      <c r="BA308">
        <v>1731</v>
      </c>
      <c r="BB308">
        <v>51</v>
      </c>
      <c r="BC308">
        <v>527212</v>
      </c>
      <c r="BD308">
        <v>0</v>
      </c>
      <c r="BE308">
        <v>1633798</v>
      </c>
      <c r="BF308">
        <v>22417</v>
      </c>
      <c r="BG308">
        <v>11695</v>
      </c>
      <c r="BH308">
        <v>20552</v>
      </c>
      <c r="BI308">
        <v>76878</v>
      </c>
      <c r="BJ308">
        <v>2087</v>
      </c>
      <c r="BK308">
        <v>43481</v>
      </c>
      <c r="BL308">
        <v>45192</v>
      </c>
      <c r="BM308">
        <v>36405</v>
      </c>
      <c r="BN308">
        <v>1961555</v>
      </c>
      <c r="BO308">
        <v>1130671</v>
      </c>
      <c r="BP308">
        <v>89288370</v>
      </c>
      <c r="BQ308">
        <v>5207</v>
      </c>
      <c r="BR308">
        <v>1382</v>
      </c>
      <c r="BS308">
        <v>31317</v>
      </c>
      <c r="BT308">
        <v>0</v>
      </c>
      <c r="BU308">
        <v>100822</v>
      </c>
      <c r="BV308">
        <v>36699</v>
      </c>
      <c r="BW308">
        <v>1824799</v>
      </c>
      <c r="BX308">
        <v>459021</v>
      </c>
      <c r="BY308">
        <v>1758712</v>
      </c>
      <c r="BZ308">
        <v>1808471</v>
      </c>
      <c r="CA308">
        <v>17739</v>
      </c>
      <c r="CB308">
        <v>702069</v>
      </c>
      <c r="CC308">
        <v>6860</v>
      </c>
      <c r="CD308">
        <v>21364</v>
      </c>
      <c r="CE308">
        <v>38998</v>
      </c>
      <c r="CF308">
        <v>410293</v>
      </c>
      <c r="CG308">
        <v>6269367</v>
      </c>
      <c r="CH308">
        <v>76439</v>
      </c>
      <c r="CI308">
        <v>68790</v>
      </c>
      <c r="CJ308">
        <v>0</v>
      </c>
      <c r="CK308">
        <v>1774</v>
      </c>
    </row>
    <row r="309" spans="1:89" s="993" customFormat="1" ht="21.6" customHeight="1" x14ac:dyDescent="0.3">
      <c r="A309" s="988" t="s">
        <v>2060</v>
      </c>
      <c r="B309" s="989" t="s">
        <v>2048</v>
      </c>
      <c r="C309" s="989" t="s">
        <v>2058</v>
      </c>
      <c r="D309" s="992">
        <f t="shared" ref="D309:AI309" si="0">D295/(D296)</f>
        <v>5.1081007939434331</v>
      </c>
      <c r="E309" s="992">
        <f t="shared" si="0"/>
        <v>1.1828072885113408</v>
      </c>
      <c r="F309" s="992">
        <f t="shared" si="0"/>
        <v>1.2737221905356189</v>
      </c>
      <c r="G309" s="992">
        <f t="shared" si="0"/>
        <v>2.7855847165280849</v>
      </c>
      <c r="H309" s="992">
        <f t="shared" si="0"/>
        <v>0.73360054293936439</v>
      </c>
      <c r="I309" s="992">
        <f t="shared" si="0"/>
        <v>0.4784493727103809</v>
      </c>
      <c r="J309" s="992">
        <f t="shared" si="0"/>
        <v>0.83600772405776724</v>
      </c>
      <c r="K309" s="992">
        <f t="shared" si="0"/>
        <v>0.49984665086567237</v>
      </c>
      <c r="L309" s="992">
        <f t="shared" si="0"/>
        <v>1.623081167990964</v>
      </c>
      <c r="M309" s="992">
        <f t="shared" si="0"/>
        <v>0.66273484889334788</v>
      </c>
      <c r="N309" s="992">
        <f t="shared" si="0"/>
        <v>0.50896806357937696</v>
      </c>
      <c r="O309" s="992">
        <f t="shared" si="0"/>
        <v>0.50885916263340247</v>
      </c>
      <c r="P309" s="992">
        <f t="shared" si="0"/>
        <v>2.2894118321485899</v>
      </c>
      <c r="Q309" s="992">
        <f t="shared" si="0"/>
        <v>1.0100739638453367</v>
      </c>
      <c r="R309" s="992">
        <f t="shared" si="0"/>
        <v>0.20918473970185297</v>
      </c>
      <c r="S309" s="992">
        <f t="shared" si="0"/>
        <v>1.2887696451980006</v>
      </c>
      <c r="T309" s="992">
        <f t="shared" si="0"/>
        <v>0.77555870734546162</v>
      </c>
      <c r="U309" s="992">
        <f t="shared" si="0"/>
        <v>1.6668563736059276</v>
      </c>
      <c r="V309" s="992">
        <f t="shared" si="0"/>
        <v>1.0509388563879978</v>
      </c>
      <c r="W309" s="992">
        <f t="shared" si="0"/>
        <v>1.4900820096174854</v>
      </c>
      <c r="X309" s="992">
        <f t="shared" si="0"/>
        <v>0.41616754198849248</v>
      </c>
      <c r="Y309" s="992">
        <f t="shared" si="0"/>
        <v>0.42806688592276987</v>
      </c>
      <c r="Z309" s="992">
        <f t="shared" si="0"/>
        <v>3.1756333171684465</v>
      </c>
      <c r="AA309" s="992">
        <f t="shared" si="0"/>
        <v>0.61745286252999654</v>
      </c>
      <c r="AB309" s="992">
        <f t="shared" si="0"/>
        <v>0.56076979125927628</v>
      </c>
      <c r="AC309" s="992">
        <f t="shared" si="0"/>
        <v>-0.29386429059456259</v>
      </c>
      <c r="AD309" s="992">
        <f t="shared" si="0"/>
        <v>0.9982503617492049</v>
      </c>
      <c r="AE309" s="992">
        <f t="shared" si="0"/>
        <v>3.8870976688716006</v>
      </c>
      <c r="AF309" s="992">
        <f t="shared" si="0"/>
        <v>0.74091601358784287</v>
      </c>
      <c r="AG309" s="992">
        <f t="shared" si="0"/>
        <v>1.1233278830300277</v>
      </c>
      <c r="AH309" s="992">
        <f t="shared" si="0"/>
        <v>3.1555287001692935</v>
      </c>
      <c r="AI309" s="992">
        <f t="shared" si="0"/>
        <v>0.62186388926577485</v>
      </c>
      <c r="AJ309" s="992">
        <f t="shared" ref="AJ309:BR309" si="1">AJ295/(AJ296)</f>
        <v>1.2194995008577494</v>
      </c>
      <c r="AK309" s="992">
        <f t="shared" si="1"/>
        <v>0.96376299065371729</v>
      </c>
      <c r="AL309" s="992">
        <f t="shared" si="1"/>
        <v>2.0318132193963829</v>
      </c>
      <c r="AM309" s="992">
        <f t="shared" si="1"/>
        <v>1.7224959700589364</v>
      </c>
      <c r="AN309" s="992">
        <f t="shared" si="1"/>
        <v>1.596801715514818</v>
      </c>
      <c r="AO309" s="992">
        <f t="shared" si="1"/>
        <v>0.63768543652287712</v>
      </c>
      <c r="AP309" s="992">
        <f t="shared" si="1"/>
        <v>2.7969773872201809</v>
      </c>
      <c r="AQ309" s="992">
        <f t="shared" si="1"/>
        <v>0.50601715085344467</v>
      </c>
      <c r="AR309" s="992">
        <f t="shared" si="1"/>
        <v>3.215376675013859</v>
      </c>
      <c r="AS309" s="992">
        <f t="shared" si="1"/>
        <v>4.2119563208363218</v>
      </c>
      <c r="AT309" s="992">
        <f t="shared" si="1"/>
        <v>0.80137028328038595</v>
      </c>
      <c r="AU309" s="992">
        <f t="shared" si="1"/>
        <v>0.68758320137886575</v>
      </c>
      <c r="AV309" s="992">
        <f t="shared" si="1"/>
        <v>1.975239353605474</v>
      </c>
      <c r="AW309" s="992">
        <f t="shared" si="1"/>
        <v>0.87128089820686283</v>
      </c>
      <c r="AX309" s="992">
        <f t="shared" si="1"/>
        <v>1.3136245731547149</v>
      </c>
      <c r="AY309" s="992">
        <f t="shared" si="1"/>
        <v>0.56123007644980327</v>
      </c>
      <c r="AZ309" s="992">
        <f t="shared" si="1"/>
        <v>1.8741489205383799</v>
      </c>
      <c r="BA309" s="992">
        <f t="shared" si="1"/>
        <v>3.1418315612982211</v>
      </c>
      <c r="BB309" s="992">
        <f t="shared" si="1"/>
        <v>1.7339841679632066</v>
      </c>
      <c r="BC309" s="992">
        <f t="shared" si="1"/>
        <v>0.9982148074676096</v>
      </c>
      <c r="BD309" s="992">
        <f t="shared" si="1"/>
        <v>2.2240474037280493</v>
      </c>
      <c r="BE309" s="992">
        <f t="shared" si="1"/>
        <v>0.80094884739807082</v>
      </c>
      <c r="BF309" s="992">
        <f t="shared" si="1"/>
        <v>0.96137990056622569</v>
      </c>
      <c r="BG309" s="992">
        <f t="shared" si="1"/>
        <v>2.7256067804725337</v>
      </c>
      <c r="BH309" s="992">
        <f t="shared" si="1"/>
        <v>1.1885655757309719</v>
      </c>
      <c r="BI309" s="992">
        <f t="shared" si="1"/>
        <v>0.74227378835006397</v>
      </c>
      <c r="BJ309" s="992">
        <f t="shared" si="1"/>
        <v>13.552270660429144</v>
      </c>
      <c r="BK309" s="992">
        <f t="shared" si="1"/>
        <v>1.2492787717451868</v>
      </c>
      <c r="BL309" s="992">
        <f t="shared" si="1"/>
        <v>1.6272933250279249</v>
      </c>
      <c r="BM309" s="992">
        <f t="shared" si="1"/>
        <v>1.8248884149970244</v>
      </c>
      <c r="BN309" s="992">
        <f t="shared" si="1"/>
        <v>0.90146032071614113</v>
      </c>
      <c r="BO309" s="992">
        <f t="shared" si="1"/>
        <v>0.47775932607262062</v>
      </c>
      <c r="BP309" s="992">
        <f t="shared" si="1"/>
        <v>0.4019243168981958</v>
      </c>
      <c r="BQ309" s="992">
        <f t="shared" si="1"/>
        <v>1.2665963143186572</v>
      </c>
      <c r="BR309" s="992">
        <f t="shared" si="1"/>
        <v>1.3684162437391498</v>
      </c>
      <c r="BS309" s="992">
        <f t="shared" ref="BS309:CK309" si="2">BS295/(BS296)</f>
        <v>2.1497078418008475</v>
      </c>
      <c r="BT309" s="992" t="e">
        <f t="shared" si="2"/>
        <v>#DIV/0!</v>
      </c>
      <c r="BU309" s="992">
        <f t="shared" si="2"/>
        <v>0.31763737228194638</v>
      </c>
      <c r="BV309" s="992">
        <f t="shared" si="2"/>
        <v>4.2754776148849407</v>
      </c>
      <c r="BW309" s="992">
        <f t="shared" si="2"/>
        <v>0.66412633100192964</v>
      </c>
      <c r="BX309" s="992">
        <f t="shared" si="2"/>
        <v>0.51581304105979331</v>
      </c>
      <c r="BY309" s="992">
        <f t="shared" si="2"/>
        <v>0.11838577632020446</v>
      </c>
      <c r="BZ309" s="992">
        <f t="shared" si="2"/>
        <v>0.18023691144909043</v>
      </c>
      <c r="CA309" s="992">
        <f t="shared" si="2"/>
        <v>2.0963351166430106</v>
      </c>
      <c r="CB309" s="992">
        <f t="shared" si="2"/>
        <v>0.68471366872134276</v>
      </c>
      <c r="CC309" s="992">
        <f t="shared" si="2"/>
        <v>5.0594271808910873</v>
      </c>
      <c r="CD309" s="992">
        <f t="shared" si="2"/>
        <v>0.22560628003254646</v>
      </c>
      <c r="CE309" s="992">
        <f t="shared" si="2"/>
        <v>0.28609343527266806</v>
      </c>
      <c r="CF309" s="992">
        <f t="shared" si="2"/>
        <v>1.0612287769682742</v>
      </c>
      <c r="CG309" s="992">
        <f t="shared" si="2"/>
        <v>0.20889485478547676</v>
      </c>
      <c r="CH309" s="992">
        <f t="shared" si="2"/>
        <v>0.16288141390657743</v>
      </c>
      <c r="CI309" s="992">
        <f t="shared" si="2"/>
        <v>0.95176021120366028</v>
      </c>
      <c r="CJ309" s="992" t="e">
        <f t="shared" si="2"/>
        <v>#DIV/0!</v>
      </c>
      <c r="CK309" s="992">
        <f t="shared" si="2"/>
        <v>0.43593969093773943</v>
      </c>
    </row>
    <row r="310" spans="1:89" s="570" customFormat="1" ht="20.399999999999999" customHeight="1" x14ac:dyDescent="0.3">
      <c r="A310" s="569" t="s">
        <v>2018</v>
      </c>
      <c r="B310" s="570" t="s">
        <v>2017</v>
      </c>
      <c r="D310" s="979">
        <f>1-((D146+D147+D148+D149)/(D138+D139+D140+D141))</f>
        <v>0.62822359973725983</v>
      </c>
      <c r="E310" s="979" t="e">
        <f t="shared" ref="E310:BP310" si="3">1-((E146+E147+E148+E149)/(E138+E139+E140+E141))</f>
        <v>#DIV/0!</v>
      </c>
      <c r="F310" s="979">
        <f t="shared" si="3"/>
        <v>0.67675251067235409</v>
      </c>
      <c r="G310" s="979">
        <f t="shared" si="3"/>
        <v>0.2951408002969621</v>
      </c>
      <c r="H310" s="979">
        <f t="shared" si="3"/>
        <v>0.3602522107113274</v>
      </c>
      <c r="I310" s="979">
        <f t="shared" si="3"/>
        <v>0.67585513950742104</v>
      </c>
      <c r="J310" s="979" t="e">
        <f t="shared" si="3"/>
        <v>#DIV/0!</v>
      </c>
      <c r="K310" s="979">
        <f t="shared" si="3"/>
        <v>0.66695315861317839</v>
      </c>
      <c r="L310" s="979" t="e">
        <f t="shared" si="3"/>
        <v>#DIV/0!</v>
      </c>
      <c r="M310" s="979" t="e">
        <f t="shared" si="3"/>
        <v>#DIV/0!</v>
      </c>
      <c r="N310" s="979">
        <f t="shared" si="3"/>
        <v>0.60268498784828828</v>
      </c>
      <c r="O310" s="979">
        <f t="shared" si="3"/>
        <v>0.69014080948240464</v>
      </c>
      <c r="P310" s="979" t="e">
        <f t="shared" si="3"/>
        <v>#DIV/0!</v>
      </c>
      <c r="Q310" s="979" t="e">
        <f t="shared" si="3"/>
        <v>#DIV/0!</v>
      </c>
      <c r="R310" s="979" t="e">
        <f t="shared" si="3"/>
        <v>#DIV/0!</v>
      </c>
      <c r="S310" s="979" t="e">
        <f t="shared" si="3"/>
        <v>#DIV/0!</v>
      </c>
      <c r="T310" s="979" t="e">
        <f t="shared" si="3"/>
        <v>#DIV/0!</v>
      </c>
      <c r="U310" s="979" t="e">
        <f t="shared" si="3"/>
        <v>#DIV/0!</v>
      </c>
      <c r="V310" s="979">
        <f t="shared" si="3"/>
        <v>0.66187910357583801</v>
      </c>
      <c r="W310" s="979">
        <f t="shared" si="3"/>
        <v>0.70456908912217553</v>
      </c>
      <c r="X310" s="979" t="e">
        <f t="shared" si="3"/>
        <v>#DIV/0!</v>
      </c>
      <c r="Y310" s="979">
        <f t="shared" si="3"/>
        <v>0.63857390192163721</v>
      </c>
      <c r="Z310" s="979">
        <f t="shared" si="3"/>
        <v>0.47935718047209663</v>
      </c>
      <c r="AA310" s="979">
        <f t="shared" si="3"/>
        <v>0.58519366231523096</v>
      </c>
      <c r="AB310" s="979" t="e">
        <f t="shared" si="3"/>
        <v>#DIV/0!</v>
      </c>
      <c r="AC310" s="979">
        <f t="shared" si="3"/>
        <v>0.59756881914910953</v>
      </c>
      <c r="AD310" s="979">
        <f t="shared" si="3"/>
        <v>0.40750281911112196</v>
      </c>
      <c r="AE310" s="979">
        <f t="shared" si="3"/>
        <v>0.60463048161867894</v>
      </c>
      <c r="AF310" s="979">
        <f t="shared" si="3"/>
        <v>0.77530729213665672</v>
      </c>
      <c r="AG310" s="979" t="e">
        <f t="shared" si="3"/>
        <v>#DIV/0!</v>
      </c>
      <c r="AH310" s="979">
        <f t="shared" si="3"/>
        <v>0.47773502693248393</v>
      </c>
      <c r="AI310" s="979">
        <f t="shared" si="3"/>
        <v>0.4364241432089131</v>
      </c>
      <c r="AJ310" s="979">
        <f t="shared" si="3"/>
        <v>0.57625622398741094</v>
      </c>
      <c r="AK310" s="979">
        <f t="shared" si="3"/>
        <v>0.17983405534712127</v>
      </c>
      <c r="AL310" s="979">
        <f t="shared" si="3"/>
        <v>0.54500125193880566</v>
      </c>
      <c r="AM310" s="979">
        <f t="shared" si="3"/>
        <v>0.17815125298288281</v>
      </c>
      <c r="AN310" s="979">
        <f t="shared" si="3"/>
        <v>0.6307338678210257</v>
      </c>
      <c r="AO310" s="979">
        <f t="shared" si="3"/>
        <v>0.6407588864888365</v>
      </c>
      <c r="AP310" s="979" t="e">
        <f t="shared" si="3"/>
        <v>#DIV/0!</v>
      </c>
      <c r="AQ310" s="979">
        <f t="shared" si="3"/>
        <v>0.53028833182986568</v>
      </c>
      <c r="AR310" s="979" t="e">
        <f t="shared" si="3"/>
        <v>#DIV/0!</v>
      </c>
      <c r="AS310" s="979">
        <f t="shared" si="3"/>
        <v>0.50224128210129826</v>
      </c>
      <c r="AT310" s="979">
        <f t="shared" si="3"/>
        <v>0.54963293740465224</v>
      </c>
      <c r="AU310" s="979">
        <f t="shared" si="3"/>
        <v>0.53781898623263502</v>
      </c>
      <c r="AV310" s="979" t="e">
        <f t="shared" si="3"/>
        <v>#DIV/0!</v>
      </c>
      <c r="AW310" s="979" t="e">
        <f t="shared" si="3"/>
        <v>#DIV/0!</v>
      </c>
      <c r="AX310" s="979">
        <f t="shared" si="3"/>
        <v>0.72081502962547217</v>
      </c>
      <c r="AY310" s="979" t="e">
        <f t="shared" si="3"/>
        <v>#DIV/0!</v>
      </c>
      <c r="AZ310" s="979" t="e">
        <f t="shared" si="3"/>
        <v>#DIV/0!</v>
      </c>
      <c r="BA310" s="979">
        <f t="shared" si="3"/>
        <v>0.59693160540858581</v>
      </c>
      <c r="BB310" s="979">
        <f t="shared" si="3"/>
        <v>0.58607135026779844</v>
      </c>
      <c r="BC310" s="979">
        <f t="shared" si="3"/>
        <v>0.49434168271270418</v>
      </c>
      <c r="BD310" s="979" t="e">
        <f t="shared" si="3"/>
        <v>#DIV/0!</v>
      </c>
      <c r="BE310" s="979" t="e">
        <f t="shared" si="3"/>
        <v>#DIV/0!</v>
      </c>
      <c r="BF310" s="979">
        <f t="shared" si="3"/>
        <v>0.54012063023089385</v>
      </c>
      <c r="BG310" s="979" t="e">
        <f t="shared" si="3"/>
        <v>#DIV/0!</v>
      </c>
      <c r="BH310" s="979" t="e">
        <f t="shared" si="3"/>
        <v>#DIV/0!</v>
      </c>
      <c r="BI310" s="979">
        <f t="shared" si="3"/>
        <v>0.67116967145951967</v>
      </c>
      <c r="BJ310" s="979" t="e">
        <f t="shared" si="3"/>
        <v>#DIV/0!</v>
      </c>
      <c r="BK310" s="979">
        <f t="shared" si="3"/>
        <v>0.76575705430121133</v>
      </c>
      <c r="BL310" s="979">
        <f t="shared" si="3"/>
        <v>0.11190640616012704</v>
      </c>
      <c r="BM310" s="979">
        <f t="shared" si="3"/>
        <v>0.58743430842837285</v>
      </c>
      <c r="BN310" s="979" t="e">
        <f t="shared" si="3"/>
        <v>#DIV/0!</v>
      </c>
      <c r="BO310" s="979">
        <f t="shared" si="3"/>
        <v>0.53264693382680073</v>
      </c>
      <c r="BP310" s="979">
        <f t="shared" si="3"/>
        <v>0.53944377052783954</v>
      </c>
      <c r="BQ310" s="979" t="e">
        <f t="shared" ref="BQ310:BR310" si="4">1-((BQ146+BQ147+BQ148+BQ149)/(BQ138+BQ139+BQ140+BQ141))</f>
        <v>#DIV/0!</v>
      </c>
      <c r="BR310" s="979">
        <f t="shared" si="4"/>
        <v>0.28422030157108258</v>
      </c>
      <c r="BS310" s="979">
        <f t="shared" ref="BS310:CK310" si="5">1-((BS146+BS147+BS148+BS149)/(BS138+BS139+BS140+BS141))</f>
        <v>0.365389618241176</v>
      </c>
      <c r="BT310" s="979" t="e">
        <f t="shared" si="5"/>
        <v>#DIV/0!</v>
      </c>
      <c r="BU310" s="979">
        <f t="shared" si="5"/>
        <v>0.62768683095072197</v>
      </c>
      <c r="BV310" s="979" t="e">
        <f t="shared" si="5"/>
        <v>#DIV/0!</v>
      </c>
      <c r="BW310" s="979">
        <f t="shared" si="5"/>
        <v>0.48848430119029962</v>
      </c>
      <c r="BX310" s="979">
        <f t="shared" si="5"/>
        <v>0.30965075476480008</v>
      </c>
      <c r="BY310" s="979">
        <f t="shared" si="5"/>
        <v>0.55412776037457578</v>
      </c>
      <c r="BZ310" s="979">
        <f t="shared" si="5"/>
        <v>0.48709445477800795</v>
      </c>
      <c r="CA310" s="979">
        <f t="shared" si="5"/>
        <v>0.45975968460018113</v>
      </c>
      <c r="CB310" s="979">
        <f t="shared" si="5"/>
        <v>0.55164354656855719</v>
      </c>
      <c r="CC310" s="979">
        <f t="shared" si="5"/>
        <v>0.60711892216018537</v>
      </c>
      <c r="CD310" s="979">
        <f t="shared" si="5"/>
        <v>0.74036844140291169</v>
      </c>
      <c r="CE310" s="979">
        <f t="shared" si="5"/>
        <v>0.6749188180753396</v>
      </c>
      <c r="CF310" s="979">
        <f t="shared" si="5"/>
        <v>0.44260925616617508</v>
      </c>
      <c r="CG310" s="979" t="e">
        <f t="shared" si="5"/>
        <v>#DIV/0!</v>
      </c>
      <c r="CH310" s="979">
        <f t="shared" si="5"/>
        <v>0.45700859712928898</v>
      </c>
      <c r="CI310" s="979" t="e">
        <f t="shared" si="5"/>
        <v>#DIV/0!</v>
      </c>
      <c r="CJ310" s="979" t="e">
        <f t="shared" si="5"/>
        <v>#DIV/0!</v>
      </c>
      <c r="CK310" s="979">
        <f t="shared" si="5"/>
        <v>0.58600467801408895</v>
      </c>
    </row>
    <row r="313" spans="1:89" x14ac:dyDescent="0.3">
      <c r="D313" s="580">
        <f t="shared" ref="D313:U313" si="6">D297-D309</f>
        <v>-7.9394343277527923E-7</v>
      </c>
      <c r="E313" s="580">
        <f t="shared" si="6"/>
        <v>-7.288511340686199E-6</v>
      </c>
      <c r="F313" s="580">
        <f t="shared" si="6"/>
        <v>-2.2190535618804574E-5</v>
      </c>
      <c r="G313" s="580">
        <f t="shared" si="6"/>
        <v>1.528347191515067E-5</v>
      </c>
      <c r="H313" s="580">
        <f t="shared" si="6"/>
        <v>-5.4293936435634294E-7</v>
      </c>
      <c r="I313" s="580">
        <f t="shared" si="6"/>
        <v>-4.9372710380912732E-5</v>
      </c>
      <c r="J313" s="580">
        <f t="shared" si="6"/>
        <v>-7.7240577672776922E-6</v>
      </c>
      <c r="K313" s="580">
        <f t="shared" si="6"/>
        <v>-4.6650865672348552E-5</v>
      </c>
      <c r="L313" s="580">
        <f t="shared" si="6"/>
        <v>1.8832009035962827E-5</v>
      </c>
      <c r="M313" s="580">
        <f t="shared" si="6"/>
        <v>-3.4848893347927401E-5</v>
      </c>
      <c r="N313" s="580">
        <f t="shared" si="6"/>
        <v>3.193642062304658E-5</v>
      </c>
      <c r="O313" s="580">
        <f t="shared" si="6"/>
        <v>4.0837366597545888E-5</v>
      </c>
      <c r="P313" s="580">
        <f t="shared" si="6"/>
        <v>-1.1832148589796532E-5</v>
      </c>
      <c r="Q313" s="580">
        <f t="shared" si="6"/>
        <v>2.6036154663344746E-5</v>
      </c>
      <c r="R313" s="580">
        <f t="shared" si="6"/>
        <v>1.526029814702401E-5</v>
      </c>
      <c r="S313" s="580">
        <f t="shared" si="6"/>
        <v>3.035480199931051E-5</v>
      </c>
      <c r="T313" s="580">
        <f t="shared" si="6"/>
        <v>4.1292654538338525E-5</v>
      </c>
      <c r="U313" s="580">
        <f t="shared" si="6"/>
        <v>4.3626394072404651E-5</v>
      </c>
      <c r="W313" s="580">
        <f>W297-W309</f>
        <v>1.7990382514598835E-5</v>
      </c>
      <c r="X313" s="580">
        <f>X297-X309</f>
        <v>3.2458011507530138E-5</v>
      </c>
      <c r="Y313" s="580">
        <f>Y297-Y309</f>
        <v>3.3114077230111949E-5</v>
      </c>
      <c r="AA313" s="580">
        <f t="shared" ref="AA313:AT313" si="7">AA297-AA309</f>
        <v>4.7137470003510984E-5</v>
      </c>
      <c r="AB313" s="580">
        <f t="shared" si="7"/>
        <v>3.0208740723680627E-5</v>
      </c>
      <c r="AC313" s="580">
        <f t="shared" si="7"/>
        <v>-3.5709405437400754E-5</v>
      </c>
      <c r="AD313" s="580">
        <f t="shared" si="7"/>
        <v>4.9638250795069894E-5</v>
      </c>
      <c r="AE313" s="580">
        <f t="shared" si="7"/>
        <v>2.3311283996463317E-6</v>
      </c>
      <c r="AF313" s="580">
        <f t="shared" si="7"/>
        <v>-1.6013587842866883E-5</v>
      </c>
      <c r="AG313" s="580">
        <f t="shared" si="7"/>
        <v>-2.7883030027764377E-5</v>
      </c>
      <c r="AH313" s="580">
        <f t="shared" si="7"/>
        <v>-2.8700169293571776E-5</v>
      </c>
      <c r="AI313" s="580">
        <f t="shared" si="7"/>
        <v>3.6110734225158758E-5</v>
      </c>
      <c r="AJ313" s="580">
        <f t="shared" si="7"/>
        <v>4.9914225064284778E-7</v>
      </c>
      <c r="AK313" s="580">
        <f t="shared" si="7"/>
        <v>3.7009346282701472E-5</v>
      </c>
      <c r="AL313" s="580">
        <f t="shared" si="7"/>
        <v>-1.3219396382879722E-5</v>
      </c>
      <c r="AM313" s="580">
        <f t="shared" si="7"/>
        <v>4.0299410635213917E-6</v>
      </c>
      <c r="AN313" s="580">
        <f t="shared" si="7"/>
        <v>-1.715514817979269E-6</v>
      </c>
      <c r="AO313" s="580">
        <f t="shared" si="7"/>
        <v>1.4563477122919721E-5</v>
      </c>
      <c r="AP313" s="580">
        <f t="shared" si="7"/>
        <v>2.2612779819297657E-5</v>
      </c>
      <c r="AQ313" s="580">
        <f t="shared" si="7"/>
        <v>-1.71508534446696E-5</v>
      </c>
      <c r="AR313" s="580">
        <f t="shared" si="7"/>
        <v>2.3324986140771387E-5</v>
      </c>
      <c r="AS313" s="580">
        <f t="shared" si="7"/>
        <v>4.367916367797875E-5</v>
      </c>
      <c r="AT313" s="580">
        <f t="shared" si="7"/>
        <v>2.9716719614047982E-5</v>
      </c>
      <c r="AV313" s="580">
        <f t="shared" ref="AV313:BR313" si="8">AV297-AV309</f>
        <v>-3.9353605473912978E-5</v>
      </c>
      <c r="AW313" s="580">
        <f t="shared" si="8"/>
        <v>1.9101793137132894E-5</v>
      </c>
      <c r="AX313" s="580">
        <f t="shared" si="8"/>
        <v>-2.4573154714824241E-5</v>
      </c>
      <c r="AY313" s="580">
        <f t="shared" si="8"/>
        <v>-3.0076449803240202E-5</v>
      </c>
      <c r="AZ313" s="580">
        <f t="shared" si="8"/>
        <v>-4.8920538379793044E-5</v>
      </c>
      <c r="BA313" s="580">
        <f t="shared" si="8"/>
        <v>-3.1561298221127743E-5</v>
      </c>
      <c r="BB313" s="580">
        <f t="shared" si="8"/>
        <v>1.5832036793339554E-5</v>
      </c>
      <c r="BC313" s="580">
        <f t="shared" si="8"/>
        <v>-1.4807467609623259E-5</v>
      </c>
      <c r="BD313" s="580">
        <f t="shared" si="8"/>
        <v>-4.7403728049122407E-5</v>
      </c>
      <c r="BE313" s="580">
        <f t="shared" si="8"/>
        <v>-4.8847398070872572E-5</v>
      </c>
      <c r="BF313" s="580">
        <f t="shared" si="8"/>
        <v>2.0099433774345421E-5</v>
      </c>
      <c r="BG313" s="580">
        <f t="shared" si="8"/>
        <v>-6.7804725336628735E-6</v>
      </c>
      <c r="BH313" s="580">
        <f t="shared" si="8"/>
        <v>3.4424269028221488E-5</v>
      </c>
      <c r="BI313" s="580">
        <f t="shared" si="8"/>
        <v>2.6211649935992121E-5</v>
      </c>
      <c r="BJ313" s="580">
        <f t="shared" si="8"/>
        <v>2.9339570856379282E-5</v>
      </c>
      <c r="BK313" s="580">
        <f t="shared" si="8"/>
        <v>2.1228254813321357E-5</v>
      </c>
      <c r="BL313" s="580">
        <f t="shared" si="8"/>
        <v>6.6749720750713948E-6</v>
      </c>
      <c r="BM313" s="580">
        <f t="shared" si="8"/>
        <v>1.1585002975600389E-5</v>
      </c>
      <c r="BN313" s="580">
        <f t="shared" si="8"/>
        <v>3.9679283858840009E-5</v>
      </c>
      <c r="BO313" s="580">
        <f t="shared" si="8"/>
        <v>4.0673927379386576E-5</v>
      </c>
      <c r="BP313" s="580">
        <f t="shared" si="8"/>
        <v>-2.4316898195819725E-5</v>
      </c>
      <c r="BQ313" s="580">
        <f t="shared" si="8"/>
        <v>3.685681342791014E-6</v>
      </c>
      <c r="BR313" s="580">
        <f t="shared" si="8"/>
        <v>-1.6243739149768288E-5</v>
      </c>
    </row>
    <row r="314" spans="1:89" x14ac:dyDescent="0.3">
      <c r="V314" s="580">
        <f>V297-V309</f>
        <v>-3.8856387997832087E-5</v>
      </c>
      <c r="Z314" s="580">
        <f>Z297-Z309</f>
        <v>-3.3317168446345136E-5</v>
      </c>
      <c r="AU314" s="580">
        <f>AU297-AU309</f>
        <v>1.6798621134239689E-5</v>
      </c>
    </row>
  </sheetData>
  <sheetProtection algorithmName="SHA-512" hashValue="aSYvBWPqJ/Q6vHe+lqz7Jy0DmWsptNsqJPTfwGtCb/nohFy6czhKVpj5QQ+bJNLtoGKOOK7UXLTCiBABWHCXrw==" saltValue="GH9etSVcWj8qHEPQzJfoG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D1" sqref="D1"/>
    </sheetView>
  </sheetViews>
  <sheetFormatPr defaultColWidth="9.109375" defaultRowHeight="14.4" x14ac:dyDescent="0.3"/>
  <cols>
    <col min="1" max="1" width="28.5546875" style="383" customWidth="1"/>
    <col min="2" max="12" width="9.109375" style="383"/>
    <col min="13" max="13" width="21.6640625" style="383" customWidth="1"/>
    <col min="14" max="14" width="16.88671875" style="383" customWidth="1"/>
    <col min="15" max="16" width="9.109375" style="383"/>
    <col min="17" max="17" width="18.109375" style="383" customWidth="1"/>
    <col min="18" max="18" width="11" style="383" customWidth="1"/>
    <col min="19" max="16384" width="9.109375" style="383"/>
  </cols>
  <sheetData>
    <row r="1" spans="1:20" x14ac:dyDescent="0.3">
      <c r="A1" s="383" t="s">
        <v>814</v>
      </c>
    </row>
    <row r="2" spans="1:20" ht="15" thickBot="1" x14ac:dyDescent="0.35">
      <c r="A2" s="381" t="s">
        <v>1228</v>
      </c>
      <c r="B2" s="156">
        <v>50508</v>
      </c>
      <c r="C2" s="379">
        <v>50</v>
      </c>
      <c r="D2" s="50"/>
      <c r="E2" s="50"/>
      <c r="G2" s="383">
        <v>100</v>
      </c>
      <c r="I2" s="383" t="s">
        <v>332</v>
      </c>
    </row>
    <row r="3" spans="1:20" ht="15" customHeight="1" thickBot="1" x14ac:dyDescent="0.35">
      <c r="A3" s="382" t="s">
        <v>1229</v>
      </c>
      <c r="B3" s="156">
        <v>50465</v>
      </c>
      <c r="C3" s="379">
        <v>50</v>
      </c>
      <c r="D3" s="49"/>
      <c r="E3" s="50"/>
      <c r="G3" s="383">
        <v>200</v>
      </c>
      <c r="I3" s="383" t="s">
        <v>333</v>
      </c>
      <c r="O3" s="385"/>
      <c r="P3" s="385"/>
      <c r="S3" s="385"/>
      <c r="T3" s="385"/>
    </row>
    <row r="4" spans="1:20" ht="15" customHeight="1" thickBot="1" x14ac:dyDescent="0.35">
      <c r="A4" s="382" t="s">
        <v>1230</v>
      </c>
      <c r="B4" s="156">
        <v>50060</v>
      </c>
      <c r="C4" s="379">
        <v>50</v>
      </c>
      <c r="D4" s="49"/>
      <c r="E4" s="50"/>
      <c r="G4" s="383">
        <v>300</v>
      </c>
      <c r="I4" s="383" t="s">
        <v>334</v>
      </c>
      <c r="O4" s="385"/>
      <c r="P4" s="385"/>
      <c r="S4" s="385"/>
      <c r="T4" s="385"/>
    </row>
    <row r="5" spans="1:20" ht="15" thickBot="1" x14ac:dyDescent="0.35">
      <c r="A5" s="382" t="s">
        <v>1231</v>
      </c>
      <c r="B5" s="156">
        <v>50061</v>
      </c>
      <c r="C5" s="379">
        <v>50</v>
      </c>
      <c r="D5" s="49"/>
      <c r="E5" s="50"/>
      <c r="G5" s="383">
        <v>400</v>
      </c>
      <c r="O5" s="385"/>
      <c r="P5" s="385"/>
      <c r="S5" s="385"/>
      <c r="T5" s="385"/>
    </row>
    <row r="6" spans="1:20" ht="15" thickBot="1" x14ac:dyDescent="0.35">
      <c r="A6" s="382" t="s">
        <v>1232</v>
      </c>
      <c r="B6" s="156">
        <v>50062</v>
      </c>
      <c r="C6" s="379">
        <v>50</v>
      </c>
      <c r="D6" s="49"/>
      <c r="E6" s="50"/>
      <c r="G6" s="383">
        <v>500</v>
      </c>
      <c r="O6" s="385"/>
      <c r="P6" s="385"/>
      <c r="S6" s="385"/>
      <c r="T6" s="385"/>
    </row>
    <row r="7" spans="1:20" ht="15" thickBot="1" x14ac:dyDescent="0.35">
      <c r="A7" s="382" t="s">
        <v>1233</v>
      </c>
      <c r="B7" s="156">
        <v>50063</v>
      </c>
      <c r="C7" s="379">
        <v>50</v>
      </c>
      <c r="D7" s="49"/>
      <c r="E7" s="50"/>
      <c r="O7" s="385"/>
      <c r="P7" s="385"/>
      <c r="S7" s="385"/>
      <c r="T7" s="385"/>
    </row>
    <row r="8" spans="1:20" ht="15" thickBot="1" x14ac:dyDescent="0.35">
      <c r="A8" s="382" t="s">
        <v>1234</v>
      </c>
      <c r="B8" s="156">
        <v>50064</v>
      </c>
      <c r="C8" s="379">
        <v>50</v>
      </c>
      <c r="D8" s="49"/>
      <c r="E8" s="50"/>
      <c r="O8" s="385"/>
      <c r="P8" s="385"/>
      <c r="S8" s="385"/>
      <c r="T8" s="385"/>
    </row>
    <row r="9" spans="1:20" ht="15" thickBot="1" x14ac:dyDescent="0.35">
      <c r="A9" s="382" t="s">
        <v>1235</v>
      </c>
      <c r="B9" s="156">
        <v>50065</v>
      </c>
      <c r="C9" s="379">
        <v>50</v>
      </c>
      <c r="D9" s="49"/>
      <c r="E9" s="50"/>
      <c r="O9" s="385"/>
      <c r="P9" s="385"/>
      <c r="S9" s="385"/>
      <c r="T9" s="385"/>
    </row>
    <row r="10" spans="1:20" ht="15" thickBot="1" x14ac:dyDescent="0.35">
      <c r="A10" s="382" t="s">
        <v>1236</v>
      </c>
      <c r="B10" s="156">
        <v>50551</v>
      </c>
      <c r="C10" s="379">
        <v>50</v>
      </c>
      <c r="D10" s="49"/>
      <c r="E10" s="50"/>
      <c r="O10" s="385"/>
      <c r="P10" s="385"/>
      <c r="S10" s="385"/>
      <c r="T10" s="385"/>
    </row>
    <row r="11" spans="1:20" ht="15" thickBot="1" x14ac:dyDescent="0.35">
      <c r="A11" s="382" t="s">
        <v>1237</v>
      </c>
      <c r="B11" s="156">
        <v>50066</v>
      </c>
      <c r="C11" s="379">
        <v>50</v>
      </c>
      <c r="D11" s="49"/>
      <c r="E11" s="50"/>
      <c r="O11" s="385"/>
      <c r="P11" s="385"/>
      <c r="S11" s="385"/>
      <c r="T11" s="385"/>
    </row>
    <row r="12" spans="1:20" ht="15" thickBot="1" x14ac:dyDescent="0.35">
      <c r="A12" s="382" t="s">
        <v>1238</v>
      </c>
      <c r="B12" s="156">
        <v>50067</v>
      </c>
      <c r="C12" s="379">
        <v>50</v>
      </c>
      <c r="D12" s="49"/>
      <c r="E12" s="50"/>
      <c r="O12" s="385"/>
      <c r="P12" s="385"/>
      <c r="S12" s="385"/>
      <c r="T12" s="385"/>
    </row>
    <row r="13" spans="1:20" ht="15" thickBot="1" x14ac:dyDescent="0.35">
      <c r="A13" s="382" t="s">
        <v>1239</v>
      </c>
      <c r="B13" s="156">
        <v>50068</v>
      </c>
      <c r="C13" s="379">
        <v>50</v>
      </c>
      <c r="D13" s="49"/>
      <c r="E13" s="50"/>
      <c r="O13" s="385"/>
      <c r="P13" s="385"/>
      <c r="S13" s="385"/>
      <c r="T13" s="385"/>
    </row>
    <row r="14" spans="1:20" ht="15" thickBot="1" x14ac:dyDescent="0.35">
      <c r="A14" s="382" t="s">
        <v>821</v>
      </c>
      <c r="B14" s="156">
        <v>50466</v>
      </c>
      <c r="C14" s="379">
        <v>50</v>
      </c>
      <c r="D14" s="49"/>
      <c r="E14" s="50"/>
      <c r="O14" s="385"/>
      <c r="P14" s="385"/>
      <c r="S14" s="385"/>
      <c r="T14" s="385"/>
    </row>
    <row r="15" spans="1:20" ht="15" thickBot="1" x14ac:dyDescent="0.35">
      <c r="A15" s="382" t="s">
        <v>490</v>
      </c>
      <c r="B15" s="156">
        <v>50069</v>
      </c>
      <c r="C15" s="379">
        <v>50</v>
      </c>
      <c r="D15" s="49"/>
      <c r="E15" s="50"/>
      <c r="O15" s="385"/>
      <c r="P15" s="385"/>
      <c r="S15" s="385"/>
      <c r="T15" s="385"/>
    </row>
    <row r="16" spans="1:20" ht="15" thickBot="1" x14ac:dyDescent="0.35">
      <c r="A16" s="382" t="s">
        <v>1240</v>
      </c>
      <c r="B16" s="156">
        <v>50450</v>
      </c>
      <c r="C16" s="379">
        <v>50</v>
      </c>
      <c r="D16" s="49"/>
      <c r="E16" s="50"/>
      <c r="O16" s="385"/>
      <c r="P16" s="385"/>
      <c r="S16" s="385"/>
      <c r="T16" s="385"/>
    </row>
    <row r="17" spans="1:20" ht="15" thickBot="1" x14ac:dyDescent="0.35">
      <c r="A17" s="382" t="s">
        <v>1241</v>
      </c>
      <c r="B17" s="156">
        <v>50070</v>
      </c>
      <c r="C17" s="379">
        <v>50</v>
      </c>
      <c r="D17" s="49"/>
      <c r="E17" s="50"/>
      <c r="O17" s="385"/>
      <c r="P17" s="385"/>
      <c r="S17" s="385"/>
      <c r="T17" s="385"/>
    </row>
    <row r="18" spans="1:20" ht="15" thickBot="1" x14ac:dyDescent="0.35">
      <c r="A18" s="382" t="s">
        <v>1242</v>
      </c>
      <c r="B18" s="156">
        <v>50509</v>
      </c>
      <c r="C18" s="379">
        <v>50</v>
      </c>
      <c r="D18" s="49"/>
      <c r="E18" s="50"/>
      <c r="O18" s="385"/>
      <c r="P18" s="385"/>
      <c r="S18" s="385"/>
      <c r="T18" s="385"/>
    </row>
    <row r="19" spans="1:20" ht="15" thickBot="1" x14ac:dyDescent="0.35">
      <c r="A19" s="382" t="s">
        <v>1243</v>
      </c>
      <c r="B19" s="156">
        <v>50539</v>
      </c>
      <c r="C19" s="379">
        <v>50</v>
      </c>
      <c r="D19" s="49"/>
      <c r="E19" s="50"/>
      <c r="O19" s="385"/>
      <c r="P19" s="385"/>
      <c r="S19" s="385"/>
      <c r="T19" s="385"/>
    </row>
    <row r="20" spans="1:20" ht="15" thickBot="1" x14ac:dyDescent="0.35">
      <c r="A20" s="382" t="s">
        <v>491</v>
      </c>
      <c r="B20" s="156">
        <v>50467</v>
      </c>
      <c r="C20" s="379">
        <v>50</v>
      </c>
      <c r="D20" s="49"/>
      <c r="E20" s="50"/>
      <c r="O20" s="385"/>
      <c r="P20" s="385"/>
      <c r="S20" s="385"/>
      <c r="T20" s="385"/>
    </row>
    <row r="21" spans="1:20" ht="15" thickBot="1" x14ac:dyDescent="0.35">
      <c r="A21" s="382" t="s">
        <v>1244</v>
      </c>
      <c r="B21" s="156">
        <v>50072</v>
      </c>
      <c r="C21" s="379">
        <v>50</v>
      </c>
      <c r="D21" s="49"/>
      <c r="E21" s="50"/>
      <c r="O21" s="385"/>
      <c r="P21" s="385"/>
      <c r="S21" s="385"/>
      <c r="T21" s="385"/>
    </row>
    <row r="22" spans="1:20" ht="15" thickBot="1" x14ac:dyDescent="0.35">
      <c r="A22" s="382" t="s">
        <v>394</v>
      </c>
      <c r="B22" s="156">
        <v>50074</v>
      </c>
      <c r="C22" s="379">
        <v>50</v>
      </c>
      <c r="D22" s="49"/>
      <c r="E22" s="50"/>
      <c r="O22" s="385"/>
      <c r="P22" s="385"/>
      <c r="S22" s="385"/>
      <c r="T22" s="385"/>
    </row>
    <row r="23" spans="1:20" ht="15" thickBot="1" x14ac:dyDescent="0.35">
      <c r="A23" s="382" t="s">
        <v>395</v>
      </c>
      <c r="B23" s="156">
        <v>50075</v>
      </c>
      <c r="C23" s="379">
        <v>50</v>
      </c>
      <c r="D23" s="49"/>
      <c r="E23" s="50"/>
      <c r="O23" s="385"/>
      <c r="P23" s="385"/>
      <c r="S23" s="385"/>
      <c r="T23" s="385"/>
    </row>
    <row r="24" spans="1:20" ht="15" thickBot="1" x14ac:dyDescent="0.35">
      <c r="A24" s="382" t="s">
        <v>1245</v>
      </c>
      <c r="B24" s="156">
        <v>50076</v>
      </c>
      <c r="C24" s="379">
        <v>50</v>
      </c>
      <c r="D24" s="49"/>
      <c r="E24" s="50"/>
      <c r="O24" s="385"/>
      <c r="P24" s="385"/>
      <c r="S24" s="385"/>
      <c r="T24" s="385"/>
    </row>
    <row r="25" spans="1:20" ht="15" thickBot="1" x14ac:dyDescent="0.35">
      <c r="A25" s="382" t="s">
        <v>492</v>
      </c>
      <c r="B25" s="156">
        <v>50510</v>
      </c>
      <c r="C25" s="379">
        <v>50</v>
      </c>
      <c r="D25" s="49"/>
      <c r="E25" s="50"/>
      <c r="O25" s="385"/>
      <c r="P25" s="385"/>
      <c r="S25" s="385"/>
      <c r="T25" s="385"/>
    </row>
    <row r="26" spans="1:20" ht="15" thickBot="1" x14ac:dyDescent="0.35">
      <c r="A26" s="382" t="s">
        <v>1246</v>
      </c>
      <c r="B26" s="156">
        <v>50077</v>
      </c>
      <c r="C26" s="379">
        <v>50</v>
      </c>
      <c r="D26" s="49"/>
      <c r="E26" s="50"/>
      <c r="O26" s="385"/>
      <c r="P26" s="385"/>
      <c r="S26" s="385"/>
      <c r="T26" s="385"/>
    </row>
    <row r="27" spans="1:20" ht="15" thickBot="1" x14ac:dyDescent="0.35">
      <c r="A27" s="382" t="s">
        <v>822</v>
      </c>
      <c r="B27" s="156">
        <v>50078</v>
      </c>
      <c r="C27" s="379">
        <v>50</v>
      </c>
      <c r="D27" s="49"/>
      <c r="E27" s="50"/>
      <c r="O27" s="385"/>
      <c r="P27" s="385"/>
      <c r="S27" s="385"/>
      <c r="T27" s="385"/>
    </row>
    <row r="28" spans="1:20" ht="15" thickBot="1" x14ac:dyDescent="0.35">
      <c r="A28" s="382" t="s">
        <v>1247</v>
      </c>
      <c r="B28" s="156">
        <v>50079</v>
      </c>
      <c r="C28" s="379">
        <v>50</v>
      </c>
      <c r="D28" s="49"/>
      <c r="E28" s="50"/>
      <c r="O28" s="385"/>
      <c r="P28" s="385"/>
      <c r="S28" s="385"/>
      <c r="T28" s="385"/>
    </row>
    <row r="29" spans="1:20" ht="15" thickBot="1" x14ac:dyDescent="0.35">
      <c r="A29" s="382" t="s">
        <v>823</v>
      </c>
      <c r="B29" s="156">
        <v>50080</v>
      </c>
      <c r="C29" s="379">
        <v>50</v>
      </c>
      <c r="D29" s="49"/>
      <c r="E29" s="50"/>
      <c r="O29" s="385"/>
      <c r="P29" s="385"/>
      <c r="S29" s="385"/>
      <c r="T29" s="385"/>
    </row>
    <row r="30" spans="1:20" ht="15" thickBot="1" x14ac:dyDescent="0.35">
      <c r="A30" s="382" t="s">
        <v>1248</v>
      </c>
      <c r="B30" s="156">
        <v>50081</v>
      </c>
      <c r="C30" s="379">
        <v>50</v>
      </c>
      <c r="D30" s="49"/>
      <c r="E30" s="50"/>
      <c r="O30" s="385"/>
      <c r="P30" s="385"/>
      <c r="S30" s="385"/>
      <c r="T30" s="385"/>
    </row>
    <row r="31" spans="1:20" ht="15" thickBot="1" x14ac:dyDescent="0.35">
      <c r="A31" s="382" t="s">
        <v>1249</v>
      </c>
      <c r="B31" s="156">
        <v>50502</v>
      </c>
      <c r="C31" s="379">
        <v>50</v>
      </c>
      <c r="D31" s="49"/>
      <c r="E31" s="50"/>
      <c r="O31" s="385"/>
      <c r="P31" s="385"/>
      <c r="S31" s="385"/>
      <c r="T31" s="385"/>
    </row>
    <row r="32" spans="1:20" ht="15" thickBot="1" x14ac:dyDescent="0.35">
      <c r="A32" s="382" t="s">
        <v>1250</v>
      </c>
      <c r="B32" s="156">
        <v>50082</v>
      </c>
      <c r="C32" s="379">
        <v>50</v>
      </c>
      <c r="D32" s="49"/>
      <c r="E32" s="50"/>
      <c r="O32" s="385"/>
      <c r="P32" s="385"/>
      <c r="S32" s="385"/>
      <c r="T32" s="385"/>
    </row>
    <row r="33" spans="1:20" ht="15" thickBot="1" x14ac:dyDescent="0.35">
      <c r="A33" s="382" t="s">
        <v>1251</v>
      </c>
      <c r="B33" s="156">
        <v>50083</v>
      </c>
      <c r="C33" s="379">
        <v>50</v>
      </c>
      <c r="D33" s="49"/>
      <c r="E33" s="50"/>
      <c r="O33" s="385"/>
      <c r="P33" s="385"/>
      <c r="S33" s="385"/>
      <c r="T33" s="385"/>
    </row>
    <row r="34" spans="1:20" ht="15" thickBot="1" x14ac:dyDescent="0.35">
      <c r="A34" s="382" t="s">
        <v>1252</v>
      </c>
      <c r="B34" s="156">
        <v>50084</v>
      </c>
      <c r="C34" s="379">
        <v>50</v>
      </c>
      <c r="D34" s="49"/>
      <c r="E34" s="50"/>
      <c r="O34" s="385"/>
      <c r="P34" s="385"/>
      <c r="S34" s="385"/>
      <c r="T34" s="385"/>
    </row>
    <row r="35" spans="1:20" ht="15" thickBot="1" x14ac:dyDescent="0.35">
      <c r="A35" s="382" t="s">
        <v>1253</v>
      </c>
      <c r="B35" s="156">
        <v>50085</v>
      </c>
      <c r="C35" s="379">
        <v>50</v>
      </c>
      <c r="D35" s="49"/>
      <c r="E35" s="50"/>
      <c r="O35" s="385"/>
      <c r="P35" s="385"/>
      <c r="S35" s="385"/>
      <c r="T35" s="385"/>
    </row>
    <row r="36" spans="1:20" ht="15" thickBot="1" x14ac:dyDescent="0.35">
      <c r="A36" s="382" t="s">
        <v>824</v>
      </c>
      <c r="B36" s="156">
        <v>50468</v>
      </c>
      <c r="C36" s="379">
        <v>50</v>
      </c>
      <c r="D36" s="49"/>
      <c r="E36" s="50"/>
      <c r="O36" s="385"/>
      <c r="P36" s="385"/>
      <c r="S36" s="385"/>
      <c r="T36" s="385"/>
    </row>
    <row r="37" spans="1:20" ht="15" thickBot="1" x14ac:dyDescent="0.35">
      <c r="A37" s="382" t="s">
        <v>494</v>
      </c>
      <c r="B37" s="156">
        <v>50086</v>
      </c>
      <c r="C37" s="379">
        <v>50</v>
      </c>
      <c r="D37" s="49"/>
      <c r="E37" s="50"/>
      <c r="O37" s="385"/>
      <c r="P37" s="385"/>
      <c r="S37" s="385"/>
      <c r="T37" s="385"/>
    </row>
    <row r="38" spans="1:20" ht="15" thickBot="1" x14ac:dyDescent="0.35">
      <c r="A38" s="382" t="s">
        <v>495</v>
      </c>
      <c r="B38" s="156">
        <v>50087</v>
      </c>
      <c r="C38" s="379">
        <v>50</v>
      </c>
      <c r="D38" s="49"/>
      <c r="E38" s="50"/>
      <c r="O38" s="385"/>
      <c r="P38" s="385"/>
      <c r="S38" s="385"/>
      <c r="T38" s="385"/>
    </row>
    <row r="39" spans="1:20" ht="15" thickBot="1" x14ac:dyDescent="0.35">
      <c r="A39" s="382" t="s">
        <v>1254</v>
      </c>
      <c r="B39" s="156">
        <v>50088</v>
      </c>
      <c r="C39" s="379">
        <v>50</v>
      </c>
      <c r="D39" s="49"/>
      <c r="E39" s="50"/>
      <c r="O39" s="385"/>
      <c r="P39" s="385"/>
      <c r="S39" s="385"/>
      <c r="T39" s="385"/>
    </row>
    <row r="40" spans="1:20" ht="15" thickBot="1" x14ac:dyDescent="0.35">
      <c r="A40" s="382" t="s">
        <v>1255</v>
      </c>
      <c r="B40" s="156">
        <v>50089</v>
      </c>
      <c r="C40" s="379">
        <v>50</v>
      </c>
      <c r="D40" s="49"/>
      <c r="E40" s="50"/>
      <c r="O40" s="385"/>
      <c r="P40" s="385"/>
      <c r="S40" s="385"/>
      <c r="T40" s="385"/>
    </row>
    <row r="41" spans="1:20" ht="15" thickBot="1" x14ac:dyDescent="0.35">
      <c r="A41" s="382" t="s">
        <v>1256</v>
      </c>
      <c r="B41" s="156">
        <v>50090</v>
      </c>
      <c r="C41" s="379">
        <v>50</v>
      </c>
      <c r="D41" s="49"/>
      <c r="E41" s="50"/>
      <c r="O41" s="385"/>
      <c r="P41" s="385"/>
      <c r="S41" s="385"/>
      <c r="T41" s="385"/>
    </row>
    <row r="42" spans="1:20" ht="15" thickBot="1" x14ac:dyDescent="0.35">
      <c r="A42" s="382" t="s">
        <v>825</v>
      </c>
      <c r="B42" s="156">
        <v>50091</v>
      </c>
      <c r="C42" s="379">
        <v>50</v>
      </c>
      <c r="D42" s="49"/>
      <c r="E42" s="50"/>
      <c r="O42" s="385"/>
      <c r="P42" s="385"/>
      <c r="S42" s="385"/>
      <c r="T42" s="385"/>
    </row>
    <row r="43" spans="1:20" ht="15" thickBot="1" x14ac:dyDescent="0.35">
      <c r="A43" s="382" t="s">
        <v>1257</v>
      </c>
      <c r="B43" s="156">
        <v>50511</v>
      </c>
      <c r="C43" s="379">
        <v>50</v>
      </c>
      <c r="D43" s="49"/>
      <c r="E43" s="50"/>
      <c r="O43" s="385"/>
      <c r="P43" s="385"/>
      <c r="S43" s="385"/>
      <c r="T43" s="385"/>
    </row>
    <row r="44" spans="1:20" ht="15" thickBot="1" x14ac:dyDescent="0.35">
      <c r="A44" s="382" t="s">
        <v>1258</v>
      </c>
      <c r="B44" s="156">
        <v>50092</v>
      </c>
      <c r="C44" s="379">
        <v>50</v>
      </c>
      <c r="D44" s="49"/>
      <c r="E44" s="50"/>
      <c r="O44" s="385"/>
      <c r="P44" s="385"/>
      <c r="S44" s="385"/>
      <c r="T44" s="385"/>
    </row>
    <row r="45" spans="1:20" ht="15" thickBot="1" x14ac:dyDescent="0.35">
      <c r="A45" s="382" t="s">
        <v>1259</v>
      </c>
      <c r="B45" s="156">
        <v>50093</v>
      </c>
      <c r="C45" s="379">
        <v>50</v>
      </c>
      <c r="D45" s="49"/>
      <c r="E45" s="50"/>
      <c r="O45" s="385"/>
      <c r="P45" s="385"/>
      <c r="S45" s="385"/>
      <c r="T45" s="385"/>
    </row>
    <row r="46" spans="1:20" ht="15" thickBot="1" x14ac:dyDescent="0.35">
      <c r="A46" s="382" t="s">
        <v>1260</v>
      </c>
      <c r="B46" s="156">
        <v>50512</v>
      </c>
      <c r="C46" s="379">
        <v>50</v>
      </c>
      <c r="D46" s="49"/>
      <c r="E46" s="50"/>
      <c r="O46" s="385"/>
      <c r="P46" s="385"/>
      <c r="S46" s="385"/>
      <c r="T46" s="385"/>
    </row>
    <row r="47" spans="1:20" ht="15" thickBot="1" x14ac:dyDescent="0.35">
      <c r="A47" s="382" t="s">
        <v>1261</v>
      </c>
      <c r="B47" s="156">
        <v>50094</v>
      </c>
      <c r="C47" s="379">
        <v>50</v>
      </c>
      <c r="D47" s="49"/>
      <c r="E47" s="50"/>
      <c r="O47" s="385"/>
      <c r="P47" s="385"/>
      <c r="S47" s="385"/>
      <c r="T47" s="385"/>
    </row>
    <row r="48" spans="1:20" ht="15" thickBot="1" x14ac:dyDescent="0.35">
      <c r="A48" s="382" t="s">
        <v>1262</v>
      </c>
      <c r="B48" s="156">
        <v>50095</v>
      </c>
      <c r="C48" s="379">
        <v>50</v>
      </c>
      <c r="D48" s="49"/>
      <c r="E48" s="50"/>
      <c r="O48" s="385"/>
      <c r="P48" s="385"/>
      <c r="S48" s="385"/>
      <c r="T48" s="385"/>
    </row>
    <row r="49" spans="1:20" ht="15" thickBot="1" x14ac:dyDescent="0.35">
      <c r="A49" s="382" t="s">
        <v>1263</v>
      </c>
      <c r="B49" s="156">
        <v>50096</v>
      </c>
      <c r="C49" s="379">
        <v>50</v>
      </c>
      <c r="D49" s="49"/>
      <c r="E49" s="50"/>
      <c r="O49" s="385"/>
      <c r="P49" s="385"/>
      <c r="S49" s="385"/>
      <c r="T49" s="385"/>
    </row>
    <row r="50" spans="1:20" ht="15" thickBot="1" x14ac:dyDescent="0.35">
      <c r="A50" s="382" t="s">
        <v>1264</v>
      </c>
      <c r="B50" s="156">
        <v>50097</v>
      </c>
      <c r="C50" s="379">
        <v>50</v>
      </c>
      <c r="D50" s="49"/>
      <c r="E50" s="50"/>
      <c r="O50" s="385"/>
      <c r="P50" s="385"/>
      <c r="S50" s="385"/>
      <c r="T50" s="385"/>
    </row>
    <row r="51" spans="1:20" ht="15" thickBot="1" x14ac:dyDescent="0.35">
      <c r="A51" s="382" t="s">
        <v>826</v>
      </c>
      <c r="B51" s="156">
        <v>50098</v>
      </c>
      <c r="C51" s="379">
        <v>50</v>
      </c>
      <c r="D51" s="49"/>
      <c r="E51" s="50"/>
      <c r="O51" s="385"/>
      <c r="P51" s="385"/>
      <c r="S51" s="385"/>
      <c r="T51" s="385"/>
    </row>
    <row r="52" spans="1:20" ht="15" thickBot="1" x14ac:dyDescent="0.35">
      <c r="A52" s="382" t="s">
        <v>1265</v>
      </c>
      <c r="B52" s="156">
        <v>50099</v>
      </c>
      <c r="C52" s="379">
        <v>50</v>
      </c>
      <c r="D52" s="49"/>
      <c r="E52" s="50"/>
      <c r="O52" s="385"/>
      <c r="P52" s="385"/>
      <c r="S52" s="385"/>
      <c r="T52" s="385"/>
    </row>
    <row r="53" spans="1:20" ht="15" thickBot="1" x14ac:dyDescent="0.35">
      <c r="A53" s="382" t="s">
        <v>827</v>
      </c>
      <c r="B53" s="156">
        <v>50100</v>
      </c>
      <c r="C53" s="379">
        <v>50</v>
      </c>
      <c r="D53" s="49"/>
      <c r="E53" s="50"/>
      <c r="O53" s="385"/>
      <c r="P53" s="385"/>
      <c r="S53" s="385"/>
      <c r="T53" s="385"/>
    </row>
    <row r="54" spans="1:20" ht="15" thickBot="1" x14ac:dyDescent="0.35">
      <c r="A54" s="382" t="s">
        <v>1266</v>
      </c>
      <c r="B54" s="156">
        <v>50101</v>
      </c>
      <c r="C54" s="379">
        <v>50</v>
      </c>
      <c r="D54" s="49"/>
      <c r="E54" s="50"/>
      <c r="O54" s="385"/>
      <c r="P54" s="385"/>
      <c r="S54" s="385"/>
      <c r="T54" s="385"/>
    </row>
    <row r="55" spans="1:20" ht="15" thickBot="1" x14ac:dyDescent="0.35">
      <c r="A55" s="382" t="s">
        <v>1267</v>
      </c>
      <c r="B55" s="156">
        <v>50102</v>
      </c>
      <c r="C55" s="379">
        <v>50</v>
      </c>
      <c r="D55" s="49"/>
      <c r="E55" s="50"/>
      <c r="O55" s="385"/>
      <c r="P55" s="385"/>
      <c r="S55" s="385"/>
      <c r="T55" s="385"/>
    </row>
    <row r="56" spans="1:20" ht="15" thickBot="1" x14ac:dyDescent="0.35">
      <c r="A56" s="382" t="s">
        <v>1268</v>
      </c>
      <c r="B56" s="156">
        <v>50103</v>
      </c>
      <c r="C56" s="379">
        <v>50</v>
      </c>
      <c r="D56" s="49"/>
      <c r="E56" s="50"/>
      <c r="O56" s="385"/>
      <c r="P56" s="385"/>
      <c r="S56" s="385"/>
      <c r="T56" s="385"/>
    </row>
    <row r="57" spans="1:20" ht="15" thickBot="1" x14ac:dyDescent="0.35">
      <c r="A57" s="382" t="s">
        <v>1269</v>
      </c>
      <c r="B57" s="156">
        <v>50104</v>
      </c>
      <c r="C57" s="379">
        <v>50</v>
      </c>
      <c r="D57" s="49"/>
      <c r="E57" s="50"/>
      <c r="O57" s="385"/>
      <c r="P57" s="385"/>
      <c r="S57" s="385"/>
      <c r="T57" s="385"/>
    </row>
    <row r="58" spans="1:20" ht="15" thickBot="1" x14ac:dyDescent="0.35">
      <c r="A58" s="382" t="s">
        <v>496</v>
      </c>
      <c r="B58" s="156">
        <v>50513</v>
      </c>
      <c r="C58" s="379">
        <v>50</v>
      </c>
      <c r="D58" s="49"/>
      <c r="E58" s="50"/>
      <c r="O58" s="385"/>
      <c r="P58" s="385"/>
      <c r="S58" s="385"/>
      <c r="T58" s="385"/>
    </row>
    <row r="59" spans="1:20" ht="15" thickBot="1" x14ac:dyDescent="0.35">
      <c r="A59" s="382" t="s">
        <v>1270</v>
      </c>
      <c r="B59" s="156">
        <v>50105</v>
      </c>
      <c r="C59" s="379">
        <v>50</v>
      </c>
      <c r="D59" s="49"/>
      <c r="E59" s="50"/>
      <c r="O59" s="385"/>
      <c r="P59" s="385"/>
      <c r="S59" s="385"/>
      <c r="T59" s="385"/>
    </row>
    <row r="60" spans="1:20" ht="15" thickBot="1" x14ac:dyDescent="0.35">
      <c r="A60" s="382" t="s">
        <v>1271</v>
      </c>
      <c r="B60" s="156">
        <v>50460</v>
      </c>
      <c r="C60" s="379">
        <v>50</v>
      </c>
      <c r="D60" s="49"/>
      <c r="E60" s="50"/>
      <c r="O60" s="385"/>
      <c r="P60" s="385"/>
      <c r="S60" s="385"/>
      <c r="T60" s="385"/>
    </row>
    <row r="61" spans="1:20" ht="15" thickBot="1" x14ac:dyDescent="0.35">
      <c r="A61" s="382" t="s">
        <v>497</v>
      </c>
      <c r="B61" s="156">
        <v>50106</v>
      </c>
      <c r="C61" s="379">
        <v>50</v>
      </c>
      <c r="D61" s="49"/>
      <c r="E61" s="50"/>
      <c r="O61" s="385"/>
      <c r="P61" s="385"/>
      <c r="S61" s="385"/>
      <c r="T61" s="385"/>
    </row>
    <row r="62" spans="1:20" ht="15" thickBot="1" x14ac:dyDescent="0.35">
      <c r="A62" s="382" t="s">
        <v>1272</v>
      </c>
      <c r="B62" s="156">
        <v>50107</v>
      </c>
      <c r="C62" s="379">
        <v>50</v>
      </c>
      <c r="D62" s="49"/>
      <c r="E62" s="50"/>
      <c r="O62" s="385"/>
      <c r="P62" s="385"/>
      <c r="S62" s="385"/>
      <c r="T62" s="385"/>
    </row>
    <row r="63" spans="1:20" ht="15" thickBot="1" x14ac:dyDescent="0.35">
      <c r="A63" s="382" t="s">
        <v>1273</v>
      </c>
      <c r="B63" s="156">
        <v>50108</v>
      </c>
      <c r="C63" s="379">
        <v>50</v>
      </c>
      <c r="D63" s="49"/>
      <c r="E63" s="50"/>
      <c r="O63" s="385"/>
      <c r="P63" s="385"/>
      <c r="S63" s="385"/>
      <c r="T63" s="385"/>
    </row>
    <row r="64" spans="1:20" ht="15" thickBot="1" x14ac:dyDescent="0.35">
      <c r="A64" s="382" t="s">
        <v>1274</v>
      </c>
      <c r="B64" s="156">
        <v>50559</v>
      </c>
      <c r="C64" s="379">
        <v>50</v>
      </c>
      <c r="D64" s="49"/>
      <c r="E64" s="50"/>
      <c r="O64" s="385"/>
      <c r="P64" s="385"/>
      <c r="S64" s="385"/>
      <c r="T64" s="385"/>
    </row>
    <row r="65" spans="1:20" ht="15" thickBot="1" x14ac:dyDescent="0.35">
      <c r="A65" s="382" t="s">
        <v>1275</v>
      </c>
      <c r="B65" s="156">
        <v>50109</v>
      </c>
      <c r="C65" s="379">
        <v>50</v>
      </c>
      <c r="D65" s="49"/>
      <c r="E65" s="50"/>
      <c r="O65" s="385"/>
      <c r="P65" s="385"/>
      <c r="S65" s="385"/>
      <c r="T65" s="385"/>
    </row>
    <row r="66" spans="1:20" ht="15" thickBot="1" x14ac:dyDescent="0.35">
      <c r="A66" s="382" t="s">
        <v>389</v>
      </c>
      <c r="B66" s="156">
        <v>50110</v>
      </c>
      <c r="C66" s="379">
        <v>50</v>
      </c>
      <c r="D66" s="49"/>
      <c r="E66" s="50"/>
      <c r="O66" s="385"/>
      <c r="P66" s="385"/>
      <c r="S66" s="385"/>
      <c r="T66" s="385"/>
    </row>
    <row r="67" spans="1:20" ht="15" thickBot="1" x14ac:dyDescent="0.35">
      <c r="A67" s="382" t="s">
        <v>498</v>
      </c>
      <c r="B67" s="156">
        <v>50472</v>
      </c>
      <c r="C67" s="379">
        <v>50</v>
      </c>
      <c r="D67" s="49"/>
      <c r="E67" s="50"/>
      <c r="O67" s="385"/>
      <c r="P67" s="385"/>
      <c r="S67" s="385"/>
      <c r="T67" s="385"/>
    </row>
    <row r="68" spans="1:20" ht="15" thickBot="1" x14ac:dyDescent="0.35">
      <c r="A68" s="382" t="s">
        <v>1276</v>
      </c>
      <c r="B68" s="156">
        <v>50461</v>
      </c>
      <c r="C68" s="379">
        <v>50</v>
      </c>
      <c r="D68" s="49"/>
      <c r="E68" s="50"/>
      <c r="O68" s="385"/>
      <c r="P68" s="385"/>
      <c r="S68" s="385"/>
      <c r="T68" s="385"/>
    </row>
    <row r="69" spans="1:20" ht="15" thickBot="1" x14ac:dyDescent="0.35">
      <c r="A69" s="382" t="s">
        <v>1277</v>
      </c>
      <c r="B69" s="156">
        <v>50111</v>
      </c>
      <c r="C69" s="379">
        <v>50</v>
      </c>
    </row>
    <row r="70" spans="1:20" ht="15" thickBot="1" x14ac:dyDescent="0.35">
      <c r="A70" s="382" t="s">
        <v>500</v>
      </c>
      <c r="B70" s="156">
        <v>50113</v>
      </c>
      <c r="C70" s="379">
        <v>50</v>
      </c>
    </row>
    <row r="71" spans="1:20" ht="15" thickBot="1" x14ac:dyDescent="0.35">
      <c r="A71" s="382" t="s">
        <v>1278</v>
      </c>
      <c r="B71" s="156">
        <v>50568</v>
      </c>
      <c r="C71" s="379">
        <v>50</v>
      </c>
    </row>
    <row r="72" spans="1:20" ht="15" thickBot="1" x14ac:dyDescent="0.35">
      <c r="A72" s="382" t="s">
        <v>1279</v>
      </c>
      <c r="B72" s="156">
        <v>50114</v>
      </c>
      <c r="C72" s="379">
        <v>50</v>
      </c>
    </row>
    <row r="73" spans="1:20" ht="15" thickBot="1" x14ac:dyDescent="0.35">
      <c r="A73" s="382" t="s">
        <v>1280</v>
      </c>
      <c r="B73" s="156">
        <v>50115</v>
      </c>
      <c r="C73" s="379">
        <v>50</v>
      </c>
    </row>
    <row r="74" spans="1:20" ht="15" thickBot="1" x14ac:dyDescent="0.35">
      <c r="A74" s="382" t="s">
        <v>828</v>
      </c>
      <c r="B74" s="156">
        <v>50116</v>
      </c>
      <c r="C74" s="379">
        <v>50</v>
      </c>
    </row>
    <row r="75" spans="1:20" ht="15" thickBot="1" x14ac:dyDescent="0.35">
      <c r="A75" s="382" t="s">
        <v>1281</v>
      </c>
      <c r="B75" s="156">
        <v>50117</v>
      </c>
      <c r="C75" s="379">
        <v>50</v>
      </c>
    </row>
    <row r="76" spans="1:20" ht="15" thickBot="1" x14ac:dyDescent="0.35">
      <c r="A76" s="382" t="s">
        <v>1282</v>
      </c>
      <c r="B76" s="156">
        <v>50119</v>
      </c>
      <c r="C76" s="379">
        <v>50</v>
      </c>
    </row>
    <row r="77" spans="1:20" ht="15" thickBot="1" x14ac:dyDescent="0.35">
      <c r="A77" s="382" t="s">
        <v>1283</v>
      </c>
      <c r="B77" s="156">
        <v>50118</v>
      </c>
      <c r="C77" s="379">
        <v>50</v>
      </c>
    </row>
    <row r="78" spans="1:20" ht="15" thickBot="1" x14ac:dyDescent="0.35">
      <c r="A78" s="382" t="s">
        <v>1284</v>
      </c>
      <c r="B78" s="156">
        <v>50120</v>
      </c>
      <c r="C78" s="379">
        <v>50</v>
      </c>
    </row>
    <row r="79" spans="1:20" ht="15" thickBot="1" x14ac:dyDescent="0.35">
      <c r="A79" s="382" t="s">
        <v>502</v>
      </c>
      <c r="B79" s="156">
        <v>50121</v>
      </c>
      <c r="C79" s="379">
        <v>50</v>
      </c>
    </row>
    <row r="80" spans="1:20" ht="15" thickBot="1" x14ac:dyDescent="0.35">
      <c r="A80" s="382" t="s">
        <v>503</v>
      </c>
      <c r="B80" s="156">
        <v>50122</v>
      </c>
      <c r="C80" s="379">
        <v>50</v>
      </c>
    </row>
    <row r="81" spans="1:3" ht="15" thickBot="1" x14ac:dyDescent="0.35">
      <c r="A81" s="382" t="s">
        <v>1285</v>
      </c>
      <c r="B81" s="156">
        <v>50123</v>
      </c>
      <c r="C81" s="379">
        <v>50</v>
      </c>
    </row>
    <row r="82" spans="1:3" ht="15" thickBot="1" x14ac:dyDescent="0.35">
      <c r="A82" s="382" t="s">
        <v>1286</v>
      </c>
      <c r="B82" s="156">
        <v>50124</v>
      </c>
      <c r="C82" s="379">
        <v>50</v>
      </c>
    </row>
    <row r="83" spans="1:3" ht="15" thickBot="1" x14ac:dyDescent="0.35">
      <c r="A83" s="382" t="s">
        <v>504</v>
      </c>
      <c r="B83" s="156">
        <v>50125</v>
      </c>
      <c r="C83" s="379">
        <v>50</v>
      </c>
    </row>
    <row r="84" spans="1:3" ht="15" thickBot="1" x14ac:dyDescent="0.35">
      <c r="A84" s="382" t="s">
        <v>829</v>
      </c>
      <c r="B84" s="156">
        <v>50126</v>
      </c>
      <c r="C84" s="379">
        <v>50</v>
      </c>
    </row>
    <row r="85" spans="1:3" ht="15" thickBot="1" x14ac:dyDescent="0.35">
      <c r="A85" s="382" t="s">
        <v>830</v>
      </c>
      <c r="B85" s="156">
        <v>50127</v>
      </c>
      <c r="C85" s="379">
        <v>50</v>
      </c>
    </row>
    <row r="86" spans="1:3" ht="15" thickBot="1" x14ac:dyDescent="0.35">
      <c r="A86" s="382" t="s">
        <v>506</v>
      </c>
      <c r="B86" s="156">
        <v>50128</v>
      </c>
      <c r="C86" s="379">
        <v>50</v>
      </c>
    </row>
    <row r="87" spans="1:3" ht="15" thickBot="1" x14ac:dyDescent="0.35">
      <c r="A87" s="382"/>
      <c r="B87" s="156"/>
      <c r="C87" s="379"/>
    </row>
    <row r="88" spans="1:3" x14ac:dyDescent="0.3">
      <c r="C88" s="379"/>
    </row>
    <row r="89" spans="1:3" x14ac:dyDescent="0.3">
      <c r="C89" s="379"/>
    </row>
    <row r="90" spans="1:3" x14ac:dyDescent="0.3">
      <c r="C90" s="379"/>
    </row>
    <row r="91" spans="1:3" x14ac:dyDescent="0.3">
      <c r="C91" s="379"/>
    </row>
    <row r="92" spans="1:3" x14ac:dyDescent="0.3">
      <c r="C92" s="379"/>
    </row>
    <row r="93" spans="1:3" x14ac:dyDescent="0.3">
      <c r="C93" s="379"/>
    </row>
    <row r="94" spans="1:3" x14ac:dyDescent="0.3">
      <c r="C94" s="379"/>
    </row>
    <row r="95" spans="1:3" x14ac:dyDescent="0.3">
      <c r="C95" s="379"/>
    </row>
  </sheetData>
  <sheetProtection algorithmName="SHA-512" hashValue="thy/kuy1sylpL3MRIwJnUd7ALCZSqPOWvYHxydqOJYYtyiemZuQ2MnIGAIsRlGHIUrTD269e/gmLqzjyQE668Q==" saltValue="XM9rtLBUrCigdpxFBs4FP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5" customWidth="1"/>
    <col min="5" max="5" width="17.109375" style="18" customWidth="1"/>
    <col min="6" max="6" width="21.5546875" style="385" customWidth="1"/>
    <col min="7" max="7" width="26.6640625" style="450" customWidth="1"/>
    <col min="8" max="8" width="25.109375" style="311" customWidth="1"/>
    <col min="9" max="10" width="24" style="385" customWidth="1"/>
    <col min="11" max="11" width="17.33203125" style="18" customWidth="1"/>
    <col min="12" max="12" width="11.6640625" style="18"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5"/>
  </cols>
  <sheetData>
    <row r="1" spans="1:123" ht="15" thickBot="1" x14ac:dyDescent="0.35">
      <c r="B1" s="452" t="s">
        <v>388</v>
      </c>
      <c r="C1" s="452"/>
      <c r="E1" s="386" t="s">
        <v>35</v>
      </c>
      <c r="F1" s="387">
        <v>2023</v>
      </c>
      <c r="G1" s="115" t="s">
        <v>118</v>
      </c>
      <c r="H1" s="388"/>
      <c r="I1" s="389"/>
      <c r="J1" s="389"/>
      <c r="K1" s="390"/>
      <c r="N1" s="18" t="s">
        <v>50</v>
      </c>
      <c r="P1" s="18">
        <v>1</v>
      </c>
      <c r="Q1" s="18" t="s">
        <v>1153</v>
      </c>
    </row>
    <row r="2" spans="1:123" ht="44.25" customHeight="1" thickBot="1" x14ac:dyDescent="0.35">
      <c r="B2" s="1074" t="s">
        <v>284</v>
      </c>
      <c r="C2" s="1075"/>
      <c r="D2" s="391" t="s">
        <v>814</v>
      </c>
      <c r="E2" s="1072" t="s">
        <v>296</v>
      </c>
      <c r="F2" s="1072"/>
      <c r="G2" s="1073"/>
      <c r="H2" s="774" t="s">
        <v>2809</v>
      </c>
      <c r="N2" s="18" t="s">
        <v>51</v>
      </c>
      <c r="O2" s="187">
        <v>50</v>
      </c>
      <c r="P2" s="18">
        <v>2</v>
      </c>
      <c r="Q2" s="18">
        <v>9004</v>
      </c>
    </row>
    <row r="3" spans="1:123" ht="15" thickBot="1" x14ac:dyDescent="0.35">
      <c r="B3" s="453" t="s">
        <v>0</v>
      </c>
      <c r="C3" s="454"/>
      <c r="D3" s="393" t="e">
        <f>VLOOKUP(D2,'Unit Names(H)'!A2:B139,2,FALSE)</f>
        <v>#N/A</v>
      </c>
      <c r="E3" s="525"/>
      <c r="F3" s="394"/>
      <c r="G3" s="395"/>
      <c r="H3" s="392"/>
      <c r="O3" s="187">
        <v>51</v>
      </c>
      <c r="P3" s="18">
        <v>3</v>
      </c>
    </row>
    <row r="4" spans="1:123" ht="15" thickBot="1" x14ac:dyDescent="0.35">
      <c r="B4" s="455" t="s">
        <v>680</v>
      </c>
      <c r="C4" s="456"/>
      <c r="D4" s="396"/>
      <c r="E4" s="396"/>
      <c r="F4" s="397"/>
      <c r="G4" s="398"/>
      <c r="H4" s="392"/>
      <c r="I4" s="2"/>
      <c r="J4" s="2"/>
      <c r="N4" s="18" t="s">
        <v>324</v>
      </c>
      <c r="O4" s="187">
        <v>52</v>
      </c>
      <c r="P4" s="18">
        <v>4</v>
      </c>
    </row>
    <row r="5" spans="1:123" ht="37.5" customHeight="1" thickBot="1" x14ac:dyDescent="0.35">
      <c r="A5" s="374" t="s">
        <v>385</v>
      </c>
      <c r="B5" s="954" t="s">
        <v>103</v>
      </c>
      <c r="C5" s="954" t="s">
        <v>120</v>
      </c>
      <c r="D5" s="955" t="s">
        <v>1</v>
      </c>
      <c r="E5" s="955">
        <v>2022</v>
      </c>
      <c r="F5" s="399">
        <v>2023</v>
      </c>
      <c r="G5" s="956" t="s">
        <v>789</v>
      </c>
      <c r="H5" s="400" t="s">
        <v>300</v>
      </c>
      <c r="I5" s="387" t="s">
        <v>13</v>
      </c>
      <c r="J5" s="387"/>
      <c r="N5" s="18" t="s">
        <v>430</v>
      </c>
    </row>
    <row r="6" spans="1:123" ht="48" customHeight="1" thickBot="1" x14ac:dyDescent="0.4">
      <c r="A6" s="374"/>
      <c r="B6" s="1081" t="s">
        <v>2015</v>
      </c>
      <c r="C6" s="1082"/>
      <c r="D6" s="1082"/>
      <c r="E6" s="1082"/>
      <c r="F6" s="1082"/>
      <c r="G6" s="1083"/>
      <c r="H6" s="947"/>
      <c r="I6" s="387"/>
      <c r="J6" s="387"/>
      <c r="M6" s="180"/>
      <c r="N6" s="343"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4"/>
      <c r="B7" s="1081" t="s">
        <v>2051</v>
      </c>
      <c r="C7" s="1082"/>
      <c r="D7" s="1082"/>
      <c r="E7" s="1082"/>
      <c r="F7" s="1082"/>
      <c r="G7" s="1083"/>
      <c r="H7" s="947"/>
      <c r="I7" s="387"/>
      <c r="J7" s="387"/>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0" t="s">
        <v>119</v>
      </c>
      <c r="C8" s="481"/>
      <c r="D8" s="482"/>
      <c r="E8" s="483"/>
      <c r="F8" s="484"/>
      <c r="G8" s="476"/>
      <c r="H8" s="17"/>
      <c r="K8" s="769"/>
      <c r="N8" s="18" t="s">
        <v>413</v>
      </c>
    </row>
    <row r="9" spans="1:123" s="18" customFormat="1" ht="72.599999999999994" customHeight="1" x14ac:dyDescent="0.3">
      <c r="A9" s="552">
        <v>333</v>
      </c>
      <c r="B9" s="374" t="s">
        <v>66</v>
      </c>
      <c r="C9" s="374" t="s">
        <v>121</v>
      </c>
      <c r="D9" s="384" t="s">
        <v>681</v>
      </c>
      <c r="E9" s="372" t="e">
        <f>INDEX('PY1 Data(H)'!$A$1:$CZ$265,MATCH('Unit Data from Audit Worksheet'!$A9,'PY1 Data(H)'!$A$1:$A$258,0),MATCH('Unit Data from Audit Worksheet'!$D$2,'PY1 Data(H)'!$A$1:$CZ$1,0))</f>
        <v>#N/A</v>
      </c>
      <c r="F9" s="807">
        <v>0</v>
      </c>
      <c r="G9" s="402">
        <f>IF(F9&lt;0,"Note: Number is normally positive.",)</f>
        <v>0</v>
      </c>
      <c r="H9" s="403"/>
      <c r="I9" s="404"/>
      <c r="J9" s="404"/>
      <c r="K9" s="294"/>
      <c r="L9" s="549"/>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4" t="s">
        <v>54</v>
      </c>
      <c r="C10" s="374" t="s">
        <v>121</v>
      </c>
      <c r="D10" s="384" t="s">
        <v>682</v>
      </c>
      <c r="E10" s="372" t="e">
        <f>INDEX('PY1 Data(H)'!$A$1:$CZ$265,MATCH('Unit Data from Audit Worksheet'!$A10,'PY1 Data(H)'!$A$1:$A$258,0),MATCH('Unit Data from Audit Worksheet'!$D$2,'PY1 Data(H)'!$A$1:$CZ$1,0))</f>
        <v>#N/A</v>
      </c>
      <c r="F10" s="807">
        <v>0</v>
      </c>
      <c r="G10" s="402">
        <f>IF(F10&lt;0,"Note: Number is normally positive.",)</f>
        <v>0</v>
      </c>
      <c r="H10" s="403"/>
      <c r="I10" s="403"/>
      <c r="J10" s="403"/>
      <c r="K10" s="294"/>
      <c r="L10" s="549"/>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4">
        <v>385</v>
      </c>
      <c r="B11" s="4" t="s">
        <v>59</v>
      </c>
      <c r="C11" s="374" t="s">
        <v>121</v>
      </c>
      <c r="D11" s="99" t="s">
        <v>122</v>
      </c>
      <c r="E11" s="372" t="e">
        <f>INDEX('PY1 Data(H)'!$A$1:$CZ$265,MATCH('Unit Data from Audit Worksheet'!$A11,'PY1 Data(H)'!$A$1:$A$258,0),MATCH('Unit Data from Audit Worksheet'!$D$2,'PY1 Data(H)'!$A$1:$CZ$1,0))-INDEX('PY1 Data(H)'!$A$1:$CZ$258,MATCH('Unit Data from Audit Worksheet'!$A13,'PY1 Data(H)'!$A$1:$A$258,0),MATCH('Unit Data from Audit Worksheet'!$D$2,'PY1 Data(H)'!$A$1:$CZ$1,0))</f>
        <v>#N/A</v>
      </c>
      <c r="F11" s="807">
        <v>0</v>
      </c>
      <c r="G11" s="402">
        <f>IF((F9+F10)&gt;F11,"Error: Please review Account numbers (333+500)&gt;385",)</f>
        <v>0</v>
      </c>
      <c r="H11" s="403"/>
      <c r="I11" s="403"/>
      <c r="J11" s="403"/>
      <c r="K11"/>
      <c r="L11" s="549"/>
    </row>
    <row r="12" spans="1:123" s="18" customFormat="1" ht="90" customHeight="1" x14ac:dyDescent="0.3">
      <c r="A12" s="100">
        <v>575</v>
      </c>
      <c r="B12" s="374" t="s">
        <v>69</v>
      </c>
      <c r="C12" s="374" t="s">
        <v>121</v>
      </c>
      <c r="D12" s="457" t="s">
        <v>683</v>
      </c>
      <c r="E12" s="372" t="e">
        <f>INDEX('PY1 Data(H)'!$A$1:$CZ$265,MATCH('Unit Data from Audit Worksheet'!$A12,'PY1 Data(H)'!$A$1:$A$258,0),MATCH('Unit Data from Audit Worksheet'!$D$2,'PY1 Data(H)'!$A$1:$CZ$1,0))</f>
        <v>#N/A</v>
      </c>
      <c r="F12" s="807">
        <v>0</v>
      </c>
      <c r="G12" s="402">
        <f>IF(F12&lt;0,"Note: Number is normally positive.",)</f>
        <v>0</v>
      </c>
      <c r="H12" s="405"/>
      <c r="I12" s="406"/>
      <c r="J12" s="406"/>
      <c r="K12"/>
      <c r="L12" s="549"/>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4" t="s">
        <v>69</v>
      </c>
      <c r="C13" s="374" t="s">
        <v>121</v>
      </c>
      <c r="D13" s="457" t="s">
        <v>684</v>
      </c>
      <c r="E13" s="372" t="e">
        <f>INDEX('PY1 Data(H)'!$A$1:$CZ$265,MATCH('Unit Data from Audit Worksheet'!$A13,'PY1 Data(H)'!$A$1:$A$258,0),MATCH('Unit Data from Audit Worksheet'!$D$2,'PY1 Data(H)'!$A$1:$CZ$1,0))</f>
        <v>#N/A</v>
      </c>
      <c r="F13" s="807">
        <v>0</v>
      </c>
      <c r="G13" s="402">
        <f>IF(F13&lt;0,"Error: Enter as positive.",)</f>
        <v>0</v>
      </c>
      <c r="H13" s="405"/>
      <c r="I13" s="406"/>
      <c r="J13" s="406"/>
      <c r="K13"/>
      <c r="L13" s="549"/>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5">
        <v>626</v>
      </c>
      <c r="B14" s="461" t="s">
        <v>445</v>
      </c>
      <c r="C14" s="461" t="s">
        <v>121</v>
      </c>
      <c r="D14" s="216" t="s">
        <v>685</v>
      </c>
      <c r="E14" s="372" t="e">
        <f>INDEX('PY1 Data(H)'!$A$1:$CZ$265,MATCH('Unit Data from Audit Worksheet'!$A14,'PY1 Data(H)'!$A$1:$A$258,0),MATCH('Unit Data from Audit Worksheet'!$D$2,'PY1 Data(H)'!$A$1:$CZ$1,0))-INDEX('PY1 Data(H)'!$A$1:$CZ$258,MATCH('Unit Data from Audit Worksheet'!$A13,'PY1 Data(H)'!$A$1:$A$258,0),MATCH('Unit Data from Audit Worksheet'!$D$2,'PY1 Data(H)'!$A$1:$CZ$1,0))</f>
        <v>#N/A</v>
      </c>
      <c r="F14" s="807">
        <v>0</v>
      </c>
      <c r="G14" s="402">
        <f>IF(F14&lt;0,"Error: Enter as positive.",)</f>
        <v>0</v>
      </c>
      <c r="H14" s="407"/>
      <c r="I14" s="407"/>
      <c r="J14" s="770"/>
      <c r="K14"/>
      <c r="L14" s="549"/>
    </row>
    <row r="15" spans="1:123" ht="89.25" customHeight="1" x14ac:dyDescent="0.3">
      <c r="A15" s="191">
        <v>627</v>
      </c>
      <c r="B15" s="462" t="s">
        <v>360</v>
      </c>
      <c r="C15" s="461" t="s">
        <v>121</v>
      </c>
      <c r="D15" s="216" t="s">
        <v>686</v>
      </c>
      <c r="E15" s="372" t="e">
        <f>INDEX('PY1 Data(H)'!$A$1:$CZ$265,MATCH('Unit Data from Audit Worksheet'!$A15,'PY1 Data(H)'!$A$1:$A$258,0),MATCH('Unit Data from Audit Worksheet'!$D$2,'PY1 Data(H)'!$A$1:$CZ$1,0))</f>
        <v>#N/A</v>
      </c>
      <c r="F15" s="807">
        <v>0</v>
      </c>
      <c r="G15" s="402">
        <f>IF(F15&gt;F14,"Please review account numbers 627 &gt;626",)</f>
        <v>0</v>
      </c>
      <c r="H15" s="407"/>
      <c r="I15" s="407"/>
      <c r="J15" s="770"/>
      <c r="K15"/>
      <c r="L15" s="549"/>
    </row>
    <row r="16" spans="1:123" ht="105" customHeight="1" x14ac:dyDescent="0.3">
      <c r="A16" s="191">
        <v>628</v>
      </c>
      <c r="B16" s="462" t="s">
        <v>360</v>
      </c>
      <c r="C16" s="461" t="s">
        <v>121</v>
      </c>
      <c r="D16" s="216" t="s">
        <v>687</v>
      </c>
      <c r="E16" s="372" t="e">
        <f>INDEX('PY1 Data(H)'!$A$1:$CZ$265,MATCH('Unit Data from Audit Worksheet'!$A16,'PY1 Data(H)'!$A$1:$A$258,0),MATCH('Unit Data from Audit Worksheet'!$D$2,'PY1 Data(H)'!$A$1:$CZ$1,0))</f>
        <v>#N/A</v>
      </c>
      <c r="F16" s="807">
        <v>0</v>
      </c>
      <c r="G16" s="402">
        <f>IF(F16&gt;F14,"Please review account numbers 628 &gt; 626",)</f>
        <v>0</v>
      </c>
      <c r="H16" s="407"/>
      <c r="I16" s="407"/>
      <c r="J16" s="770"/>
      <c r="K16"/>
      <c r="L16" s="549"/>
    </row>
    <row r="17" spans="1:12" ht="95.25" customHeight="1" x14ac:dyDescent="0.3">
      <c r="A17" s="191">
        <v>629</v>
      </c>
      <c r="B17" s="462" t="s">
        <v>360</v>
      </c>
      <c r="C17" s="461" t="s">
        <v>121</v>
      </c>
      <c r="D17" s="216" t="s">
        <v>688</v>
      </c>
      <c r="E17" s="372" t="e">
        <f>INDEX('PY1 Data(H)'!$A$1:$CZ$265,MATCH('Unit Data from Audit Worksheet'!$A17,'PY1 Data(H)'!$A$1:$A$258,0),MATCH('Unit Data from Audit Worksheet'!$D$2,'PY1 Data(H)'!$A$1:$CZ$1,0))</f>
        <v>#N/A</v>
      </c>
      <c r="F17" s="807">
        <v>0</v>
      </c>
      <c r="G17" s="402">
        <f>IF(F17&gt;F14,"Please review account numbers 629 &gt; 626",)</f>
        <v>0</v>
      </c>
      <c r="H17" s="407"/>
      <c r="I17" s="407"/>
      <c r="J17" s="770"/>
      <c r="K17"/>
      <c r="L17" s="549"/>
    </row>
    <row r="18" spans="1:12" ht="69" customHeight="1" x14ac:dyDescent="0.3">
      <c r="A18" s="191">
        <v>630</v>
      </c>
      <c r="B18" s="462" t="s">
        <v>360</v>
      </c>
      <c r="C18" s="461" t="s">
        <v>121</v>
      </c>
      <c r="D18" s="216" t="s">
        <v>426</v>
      </c>
      <c r="E18" s="372" t="e">
        <f>INDEX('PY1 Data(H)'!$A$1:$CZ$265,MATCH('Unit Data from Audit Worksheet'!$A18,'PY1 Data(H)'!$A$1:$A$258,0),MATCH('Unit Data from Audit Worksheet'!$D$2,'PY1 Data(H)'!$A$1:$CZ$1,0))</f>
        <v>#N/A</v>
      </c>
      <c r="F18" s="807">
        <v>0</v>
      </c>
      <c r="G18" s="402">
        <f>IF(F18&gt;F14,"Please review account numbers 630 &gt; 626",)</f>
        <v>0</v>
      </c>
      <c r="H18" s="407"/>
      <c r="I18" s="407"/>
      <c r="J18" s="770"/>
      <c r="K18"/>
      <c r="L18" s="549"/>
    </row>
    <row r="19" spans="1:12" ht="95.25" customHeight="1" x14ac:dyDescent="0.3">
      <c r="A19" s="191">
        <v>631</v>
      </c>
      <c r="B19" s="462" t="s">
        <v>360</v>
      </c>
      <c r="C19" s="461" t="s">
        <v>121</v>
      </c>
      <c r="D19" s="216" t="s">
        <v>689</v>
      </c>
      <c r="E19" s="372" t="e">
        <f>INDEX('PY1 Data(H)'!$A$1:$CZ$265,MATCH('Unit Data from Audit Worksheet'!$A19,'PY1 Data(H)'!$A$1:$A$258,0),MATCH('Unit Data from Audit Worksheet'!$D$2,'PY1 Data(H)'!$A$1:$CZ$1,0))</f>
        <v>#N/A</v>
      </c>
      <c r="F19" s="807">
        <v>0</v>
      </c>
      <c r="G19" s="402">
        <f>IF(F19&gt;F14,"Please review account numbers 631 &gt; 626",)</f>
        <v>0</v>
      </c>
      <c r="H19" s="407"/>
      <c r="I19" s="407"/>
      <c r="J19" s="770"/>
      <c r="K19"/>
      <c r="L19" s="549"/>
    </row>
    <row r="20" spans="1:12" ht="111.75" customHeight="1" x14ac:dyDescent="0.3">
      <c r="A20" s="191">
        <v>632</v>
      </c>
      <c r="B20" s="462" t="s">
        <v>360</v>
      </c>
      <c r="C20" s="461" t="s">
        <v>121</v>
      </c>
      <c r="D20" s="216" t="s">
        <v>690</v>
      </c>
      <c r="E20" s="372" t="e">
        <f>INDEX('PY1 Data(H)'!$A$1:$CZ$265,MATCH('Unit Data from Audit Worksheet'!$A20,'PY1 Data(H)'!$A$1:$A$258,0),MATCH('Unit Data from Audit Worksheet'!$D$2,'PY1 Data(H)'!$A$1:$CZ$1,0))</f>
        <v>#N/A</v>
      </c>
      <c r="F20" s="807">
        <v>0</v>
      </c>
      <c r="G20" s="402">
        <f>IF(F20&gt;F14,"Please review account numbers 632 &gt; 626",)</f>
        <v>0</v>
      </c>
      <c r="H20" s="407"/>
      <c r="I20" s="407"/>
      <c r="J20" s="770"/>
      <c r="K20"/>
      <c r="L20" s="549"/>
    </row>
    <row r="21" spans="1:12" ht="55.5" customHeight="1" x14ac:dyDescent="0.3">
      <c r="A21" s="564">
        <v>338</v>
      </c>
      <c r="B21" s="4" t="s">
        <v>55</v>
      </c>
      <c r="C21" s="374" t="s">
        <v>121</v>
      </c>
      <c r="D21" s="99" t="s">
        <v>123</v>
      </c>
      <c r="E21" s="372" t="e">
        <f>INDEX('PY1 Data(H)'!$A$1:$CZ$265,MATCH('Unit Data from Audit Worksheet'!$A21,'PY1 Data(H)'!$A$1:$A$258,0),MATCH('Unit Data from Audit Worksheet'!$D$2,'PY1 Data(H)'!$A$1:$CZ$1,0))-INDEX('PY1 Data(H)'!$A$1:$CZ$258,MATCH('Unit Data from Audit Worksheet'!$A13,'PY1 Data(H)'!$A$1:$A$258,0),MATCH('Unit Data from Audit Worksheet'!$D$2,'PY1 Data(H)'!$A$1:$CZ$1,0))</f>
        <v>#N/A</v>
      </c>
      <c r="F21" s="807">
        <v>0</v>
      </c>
      <c r="G21" s="402" t="str">
        <f>IF(F14&gt;F21,"Error: Please review accts 626 &gt; 338","")</f>
        <v/>
      </c>
      <c r="H21" s="403"/>
      <c r="I21" s="403"/>
      <c r="J21" s="403"/>
      <c r="K21"/>
      <c r="L21" s="549"/>
    </row>
    <row r="22" spans="1:12" ht="89.25" customHeight="1" x14ac:dyDescent="0.3">
      <c r="A22" s="100">
        <v>335</v>
      </c>
      <c r="B22" s="4" t="s">
        <v>55</v>
      </c>
      <c r="C22" s="374" t="s">
        <v>121</v>
      </c>
      <c r="D22" s="384" t="s">
        <v>691</v>
      </c>
      <c r="E22" s="372" t="e">
        <f>INDEX('PY1 Data(H)'!$A$1:$CZ$265,MATCH('Unit Data from Audit Worksheet'!$A22,'PY1 Data(H)'!$A$1:$A$258,0),MATCH('Unit Data from Audit Worksheet'!$D$2,'PY1 Data(H)'!$A$1:$CZ$1,0))</f>
        <v>#N/A</v>
      </c>
      <c r="F22" s="807">
        <v>0</v>
      </c>
      <c r="G22" s="402">
        <f>IF(F22&lt;0,"Error: Enter as positive.",)</f>
        <v>0</v>
      </c>
      <c r="H22" s="403"/>
      <c r="I22" s="244"/>
      <c r="J22" s="244"/>
      <c r="K22"/>
      <c r="L22" s="549"/>
    </row>
    <row r="23" spans="1:12" ht="48.75" customHeight="1" x14ac:dyDescent="0.3">
      <c r="A23" s="100">
        <v>252</v>
      </c>
      <c r="B23" s="4" t="s">
        <v>55</v>
      </c>
      <c r="C23" s="374" t="s">
        <v>121</v>
      </c>
      <c r="D23" s="99" t="s">
        <v>124</v>
      </c>
      <c r="E23" s="372" t="e">
        <f>INDEX('PY1 Data(H)'!$A$1:$CZ$265,MATCH('Unit Data from Audit Worksheet'!$A23,'PY1 Data(H)'!$A$1:$A$258,0),MATCH('Unit Data from Audit Worksheet'!$D$2,'PY1 Data(H)'!$A$1:$CZ$1,0))</f>
        <v>#N/A</v>
      </c>
      <c r="F23" s="807">
        <v>0</v>
      </c>
      <c r="G23" s="733"/>
      <c r="H23" s="403"/>
      <c r="I23" s="72"/>
      <c r="J23" s="72"/>
      <c r="K23"/>
      <c r="L23" s="549"/>
    </row>
    <row r="24" spans="1:12" ht="43.2" x14ac:dyDescent="0.3">
      <c r="A24" s="100">
        <v>253</v>
      </c>
      <c r="B24" s="4" t="s">
        <v>55</v>
      </c>
      <c r="C24" s="374" t="s">
        <v>121</v>
      </c>
      <c r="D24" s="99" t="s">
        <v>125</v>
      </c>
      <c r="E24" s="372" t="e">
        <f>INDEX('PY1 Data(H)'!$A$1:$CZ$265,MATCH('Unit Data from Audit Worksheet'!$A24,'PY1 Data(H)'!$A$1:$A$258,0),MATCH('Unit Data from Audit Worksheet'!$D$2,'PY1 Data(H)'!$A$1:$CZ$1,0))</f>
        <v>#N/A</v>
      </c>
      <c r="F24" s="807">
        <v>0</v>
      </c>
      <c r="G24" s="402"/>
      <c r="H24" s="403"/>
      <c r="I24" s="72"/>
      <c r="J24" s="72"/>
      <c r="K24"/>
      <c r="L24" s="549"/>
    </row>
    <row r="25" spans="1:12" ht="138" customHeight="1" x14ac:dyDescent="0.3">
      <c r="A25" s="100">
        <v>254</v>
      </c>
      <c r="B25" s="4" t="s">
        <v>55</v>
      </c>
      <c r="C25" s="374" t="s">
        <v>121</v>
      </c>
      <c r="D25" s="99" t="s">
        <v>692</v>
      </c>
      <c r="E25" s="372" t="e">
        <f>INDEX('PY1 Data(H)'!$A$1:$CZ$265,MATCH('Unit Data from Audit Worksheet'!$A25,'PY1 Data(H)'!$A$1:$A$258,0),MATCH('Unit Data from Audit Worksheet'!$D$2,'PY1 Data(H)'!$A$1:$CZ$1,0))</f>
        <v>#N/A</v>
      </c>
      <c r="F25" s="807">
        <v>0</v>
      </c>
      <c r="G25" s="402">
        <f>IF(H25=0,,"Error: Total assets and deferred outflows less total liabilities and deferred inflows do not equal total net position. Account numbers  385-338-252-253-254 = 0.  The amount the formula is off is located in the cell to the right")</f>
        <v>0</v>
      </c>
      <c r="H25" s="405">
        <f>F11-F21-F23-F24-F25</f>
        <v>0</v>
      </c>
      <c r="I25" s="72"/>
      <c r="J25" s="72"/>
      <c r="K25"/>
      <c r="L25" s="549"/>
    </row>
    <row r="26" spans="1:12" ht="21.75" customHeight="1" x14ac:dyDescent="0.3">
      <c r="A26" s="100"/>
      <c r="B26" s="491" t="s">
        <v>126</v>
      </c>
      <c r="C26" s="501"/>
      <c r="D26" s="474"/>
      <c r="E26" s="485"/>
      <c r="F26" s="485"/>
      <c r="G26" s="486"/>
      <c r="H26" s="17"/>
      <c r="I26" s="72"/>
      <c r="J26" s="72"/>
      <c r="K26"/>
      <c r="L26" s="549"/>
    </row>
    <row r="27" spans="1:12" ht="59.25" customHeight="1" x14ac:dyDescent="0.3">
      <c r="A27" s="100">
        <v>502</v>
      </c>
      <c r="B27" s="4" t="s">
        <v>54</v>
      </c>
      <c r="C27" s="374" t="s">
        <v>128</v>
      </c>
      <c r="D27" s="384" t="s">
        <v>693</v>
      </c>
      <c r="E27" s="372" t="e">
        <f>INDEX('PY1 Data(H)'!$A$1:$CZ$265,MATCH('Unit Data from Audit Worksheet'!$A27,'PY1 Data(H)'!$A$1:$A$258,0),MATCH('Unit Data from Audit Worksheet'!$D$2,'PY1 Data(H)'!$A$1:$CZ$1,0))</f>
        <v>#N/A</v>
      </c>
      <c r="F27" s="807">
        <v>0</v>
      </c>
      <c r="G27" s="402">
        <f>IF(F27&lt;0,"Note: Number is normally positive.",)</f>
        <v>0</v>
      </c>
      <c r="H27" s="17"/>
      <c r="I27" s="72"/>
      <c r="J27" s="72"/>
      <c r="K27"/>
      <c r="L27" s="549"/>
    </row>
    <row r="28" spans="1:12" ht="59.25" customHeight="1" x14ac:dyDescent="0.3">
      <c r="A28" s="100">
        <v>503</v>
      </c>
      <c r="B28" s="4" t="s">
        <v>54</v>
      </c>
      <c r="C28" s="374" t="s">
        <v>128</v>
      </c>
      <c r="D28" s="99" t="s">
        <v>127</v>
      </c>
      <c r="E28" s="372" t="e">
        <f>INDEX('PY1 Data(H)'!$A$1:$CZ$265,MATCH('Unit Data from Audit Worksheet'!$A28,'PY1 Data(H)'!$A$1:$A$258,0),MATCH('Unit Data from Audit Worksheet'!$D$2,'PY1 Data(H)'!$A$1:$CZ$1,0))</f>
        <v>#N/A</v>
      </c>
      <c r="F28" s="807">
        <v>0</v>
      </c>
      <c r="G28" s="402">
        <f>IF(F28&lt;0,"Note: Number is normally positive.",)</f>
        <v>0</v>
      </c>
      <c r="H28" s="17"/>
      <c r="I28" s="72"/>
      <c r="J28" s="72"/>
      <c r="K28"/>
      <c r="L28" s="549"/>
    </row>
    <row r="29" spans="1:12" ht="27" customHeight="1" x14ac:dyDescent="0.3">
      <c r="A29" s="100"/>
      <c r="B29" s="491" t="s">
        <v>129</v>
      </c>
      <c r="C29" s="501"/>
      <c r="D29" s="474"/>
      <c r="E29" s="475"/>
      <c r="F29" s="475"/>
      <c r="G29" s="476"/>
      <c r="H29" s="17"/>
      <c r="I29" s="72"/>
      <c r="J29" s="72"/>
      <c r="K29"/>
      <c r="L29" s="549"/>
    </row>
    <row r="30" spans="1:12" ht="49.5" customHeight="1" x14ac:dyDescent="0.3">
      <c r="A30" s="100">
        <v>344</v>
      </c>
      <c r="B30" s="4" t="s">
        <v>55</v>
      </c>
      <c r="C30" s="4" t="s">
        <v>136</v>
      </c>
      <c r="D30" s="99" t="s">
        <v>130</v>
      </c>
      <c r="E30" s="372" t="e">
        <f>INDEX('PY1 Data(H)'!$A$1:$CZ$265,MATCH('Unit Data from Audit Worksheet'!$A30,'PY1 Data(H)'!$A$1:$A$258,0),MATCH('Unit Data from Audit Worksheet'!$D$2,'PY1 Data(H)'!$A$1:$CZ$1,0))</f>
        <v>#N/A</v>
      </c>
      <c r="F30" s="807">
        <v>0</v>
      </c>
      <c r="G30" s="402">
        <f t="shared" ref="G30:G37" si="0">IF(F30&lt;0,"Error: Enter as positive.",)</f>
        <v>0</v>
      </c>
      <c r="H30" s="17"/>
      <c r="I30" s="72"/>
      <c r="J30" s="72"/>
      <c r="K30"/>
      <c r="L30" s="549"/>
    </row>
    <row r="31" spans="1:12" ht="49.5" customHeight="1" x14ac:dyDescent="0.3">
      <c r="A31" s="100">
        <v>388</v>
      </c>
      <c r="B31" s="4" t="s">
        <v>59</v>
      </c>
      <c r="C31" s="4" t="s">
        <v>136</v>
      </c>
      <c r="D31" s="99" t="s">
        <v>131</v>
      </c>
      <c r="E31" s="372" t="e">
        <f>INDEX('PY1 Data(H)'!$A$1:$CZ$265,MATCH('Unit Data from Audit Worksheet'!$A31,'PY1 Data(H)'!$A$1:$A$258,0),MATCH('Unit Data from Audit Worksheet'!$D$2,'PY1 Data(H)'!$A$1:$CZ$1,0))</f>
        <v>#N/A</v>
      </c>
      <c r="F31" s="807">
        <v>0</v>
      </c>
      <c r="G31" s="402">
        <f t="shared" si="0"/>
        <v>0</v>
      </c>
      <c r="H31" s="17"/>
      <c r="I31" s="72"/>
      <c r="J31" s="72"/>
      <c r="K31"/>
      <c r="L31" s="549"/>
    </row>
    <row r="32" spans="1:12" ht="51.75" customHeight="1" x14ac:dyDescent="0.3">
      <c r="A32" s="100">
        <v>339</v>
      </c>
      <c r="B32" s="4" t="s">
        <v>55</v>
      </c>
      <c r="C32" s="4" t="s">
        <v>136</v>
      </c>
      <c r="D32" s="99" t="s">
        <v>132</v>
      </c>
      <c r="E32" s="372" t="e">
        <f>INDEX('PY1 Data(H)'!$A$1:$CZ$265,MATCH('Unit Data from Audit Worksheet'!$A32,'PY1 Data(H)'!$A$1:$A$258,0),MATCH('Unit Data from Audit Worksheet'!$D$2,'PY1 Data(H)'!$A$1:$CZ$1,0))</f>
        <v>#N/A</v>
      </c>
      <c r="F32" s="807">
        <v>0</v>
      </c>
      <c r="G32" s="402">
        <f t="shared" si="0"/>
        <v>0</v>
      </c>
      <c r="H32" s="17"/>
      <c r="I32" s="72"/>
      <c r="J32" s="72"/>
      <c r="K32"/>
      <c r="L32" s="549"/>
    </row>
    <row r="33" spans="1:123" ht="50.25" customHeight="1" x14ac:dyDescent="0.3">
      <c r="A33" s="100">
        <v>504</v>
      </c>
      <c r="B33" s="4" t="s">
        <v>55</v>
      </c>
      <c r="C33" s="4" t="s">
        <v>136</v>
      </c>
      <c r="D33" s="99" t="s">
        <v>133</v>
      </c>
      <c r="E33" s="372" t="e">
        <f>INDEX('PY1 Data(H)'!$A$1:$CZ$265,MATCH('Unit Data from Audit Worksheet'!$A33,'PY1 Data(H)'!$A$1:$A$258,0),MATCH('Unit Data from Audit Worksheet'!$D$2,'PY1 Data(H)'!$A$1:$CZ$1,0))</f>
        <v>#N/A</v>
      </c>
      <c r="F33" s="807">
        <v>0</v>
      </c>
      <c r="G33" s="402">
        <f t="shared" si="0"/>
        <v>0</v>
      </c>
      <c r="H33" s="17"/>
      <c r="I33" s="72"/>
      <c r="J33" s="72"/>
      <c r="K33"/>
      <c r="L33" s="549"/>
    </row>
    <row r="34" spans="1:123" ht="60" customHeight="1" x14ac:dyDescent="0.3">
      <c r="A34" s="100">
        <v>505</v>
      </c>
      <c r="B34" s="4" t="s">
        <v>55</v>
      </c>
      <c r="C34" s="4" t="s">
        <v>136</v>
      </c>
      <c r="D34" s="378" t="s">
        <v>134</v>
      </c>
      <c r="E34" s="372" t="e">
        <f>INDEX('PY1 Data(H)'!$A$1:$CZ$265,MATCH('Unit Data from Audit Worksheet'!$A34,'PY1 Data(H)'!$A$1:$A$258,0),MATCH('Unit Data from Audit Worksheet'!$D$2,'PY1 Data(H)'!$A$1:$CZ$1,0))</f>
        <v>#N/A</v>
      </c>
      <c r="F34" s="807">
        <v>0</v>
      </c>
      <c r="G34" s="402">
        <f t="shared" si="0"/>
        <v>0</v>
      </c>
      <c r="H34" s="17"/>
      <c r="I34" s="72"/>
      <c r="J34" s="72"/>
      <c r="K34"/>
      <c r="L34" s="549"/>
    </row>
    <row r="35" spans="1:123" ht="67.95" customHeight="1" x14ac:dyDescent="0.3">
      <c r="A35" s="100">
        <v>341</v>
      </c>
      <c r="B35" s="4" t="s">
        <v>55</v>
      </c>
      <c r="C35" s="4" t="s">
        <v>136</v>
      </c>
      <c r="D35" s="384" t="s">
        <v>694</v>
      </c>
      <c r="E35" s="372" t="e">
        <f>INDEX('PY1 Data(H)'!$A$1:$CZ$265,MATCH('Unit Data from Audit Worksheet'!$A35,'PY1 Data(H)'!$A$1:$A$258,0),MATCH('Unit Data from Audit Worksheet'!$D$2,'PY1 Data(H)'!$A$1:$CZ$1,0))</f>
        <v>#N/A</v>
      </c>
      <c r="F35" s="807">
        <v>0</v>
      </c>
      <c r="G35" s="402">
        <f t="shared" si="0"/>
        <v>0</v>
      </c>
      <c r="H35" s="17"/>
      <c r="I35" s="72"/>
      <c r="J35" s="72"/>
      <c r="K35"/>
      <c r="L35" s="549"/>
    </row>
    <row r="36" spans="1:123" ht="44.25" customHeight="1" x14ac:dyDescent="0.3">
      <c r="A36" s="100">
        <v>386</v>
      </c>
      <c r="B36" s="4" t="s">
        <v>55</v>
      </c>
      <c r="C36" s="4" t="s">
        <v>136</v>
      </c>
      <c r="D36" s="99" t="s">
        <v>695</v>
      </c>
      <c r="E36" s="372" t="e">
        <f>INDEX('PY1 Data(H)'!$A$1:$CZ$265,MATCH('Unit Data from Audit Worksheet'!$A36,'PY1 Data(H)'!$A$1:$A$258,0),MATCH('Unit Data from Audit Worksheet'!$D$2,'PY1 Data(H)'!$A$1:$CZ$1,0))</f>
        <v>#N/A</v>
      </c>
      <c r="F36" s="807">
        <v>0</v>
      </c>
      <c r="G36" s="402">
        <f t="shared" si="0"/>
        <v>0</v>
      </c>
      <c r="H36" s="17"/>
      <c r="I36" s="72"/>
      <c r="J36" s="72"/>
      <c r="K36"/>
      <c r="L36" s="549"/>
    </row>
    <row r="37" spans="1:123" ht="48.75" customHeight="1" x14ac:dyDescent="0.3">
      <c r="A37" s="100">
        <v>387</v>
      </c>
      <c r="B37" s="4" t="s">
        <v>59</v>
      </c>
      <c r="C37" s="4" t="s">
        <v>136</v>
      </c>
      <c r="D37" s="99" t="s">
        <v>696</v>
      </c>
      <c r="E37" s="372" t="e">
        <f>INDEX('PY1 Data(H)'!$A$1:$CZ$265,MATCH('Unit Data from Audit Worksheet'!$A37,'PY1 Data(H)'!$A$1:$A$258,0),MATCH('Unit Data from Audit Worksheet'!$D$2,'PY1 Data(H)'!$A$1:$CZ$1,0))</f>
        <v>#N/A</v>
      </c>
      <c r="F37" s="807">
        <v>0</v>
      </c>
      <c r="G37" s="402">
        <f t="shared" si="0"/>
        <v>0</v>
      </c>
      <c r="H37" s="17"/>
      <c r="I37" s="72"/>
      <c r="J37" s="72"/>
      <c r="K37"/>
      <c r="L37" s="549"/>
    </row>
    <row r="38" spans="1:123" ht="92.25" customHeight="1" x14ac:dyDescent="0.3">
      <c r="A38" s="100">
        <v>389</v>
      </c>
      <c r="B38" s="4" t="s">
        <v>59</v>
      </c>
      <c r="C38" s="4" t="s">
        <v>136</v>
      </c>
      <c r="D38" s="384" t="s">
        <v>697</v>
      </c>
      <c r="E38" s="372" t="e">
        <f>INDEX('PY1 Data(H)'!$A$1:$CZ$265,MATCH('Unit Data from Audit Worksheet'!$A38,'PY1 Data(H)'!$A$1:$A$258,0),MATCH('Unit Data from Audit Worksheet'!$D$2,'PY1 Data(H)'!$A$1:$CZ$1,0))</f>
        <v>#N/A</v>
      </c>
      <c r="F38" s="807">
        <v>0</v>
      </c>
      <c r="G38" s="402"/>
      <c r="H38" s="17"/>
      <c r="I38" s="72"/>
      <c r="J38" s="72"/>
      <c r="K38"/>
      <c r="L38" s="549"/>
    </row>
    <row r="39" spans="1:123" ht="138" customHeight="1" x14ac:dyDescent="0.3">
      <c r="A39" s="100">
        <v>255</v>
      </c>
      <c r="B39" s="4" t="s">
        <v>55</v>
      </c>
      <c r="C39" s="4" t="s">
        <v>136</v>
      </c>
      <c r="D39" s="384" t="s">
        <v>698</v>
      </c>
      <c r="E39" s="372" t="e">
        <f>INDEX('PY1 Data(H)'!$A$1:$CZ$265,MATCH('Unit Data from Audit Worksheet'!$A39,'PY1 Data(H)'!$A$1:$A$258,0),MATCH('Unit Data from Audit Worksheet'!$D$2,'PY1 Data(H)'!$A$1:$CZ$1,0))</f>
        <v>#N/A</v>
      </c>
      <c r="F39" s="807">
        <v>0</v>
      </c>
      <c r="G39" s="402">
        <f>IF(H39=0,,"Error: Total revenues less total expenses do not equal total change in net position. Account numbers 339+504+505+341+386-387+389-388-255 = 0  The amount the formula is off is located in the cell to the right")</f>
        <v>0</v>
      </c>
      <c r="H39" s="405">
        <f>F32+F33+F34+F35+F36-F37+F38-F31-F39</f>
        <v>0</v>
      </c>
      <c r="I39" s="72"/>
      <c r="J39" s="72"/>
      <c r="K39"/>
      <c r="L39" s="549"/>
    </row>
    <row r="40" spans="1:123" ht="138" customHeight="1" x14ac:dyDescent="0.3">
      <c r="A40" s="100">
        <v>376</v>
      </c>
      <c r="B40" s="4" t="s">
        <v>55</v>
      </c>
      <c r="C40" s="4" t="s">
        <v>136</v>
      </c>
      <c r="D40" s="384" t="s">
        <v>699</v>
      </c>
      <c r="E40" s="372" t="e">
        <f>INDEX('PY1 Data(H)'!$A$1:$CZ$265,MATCH('Unit Data from Audit Worksheet'!$A40,'PY1 Data(H)'!$A$1:$A$258,0),MATCH('Unit Data from Audit Worksheet'!$D$2,'PY1 Data(H)'!$A$1:$CZ$1,0))</f>
        <v>#N/A</v>
      </c>
      <c r="F40" s="807">
        <v>0</v>
      </c>
      <c r="G40" s="761" t="e">
        <f>IF(H40=0,,"Error: Beginning Balance does not agree with our records.  Account numbers  252+253+254-255-376-(Prior Year 252+253+254)=0  The amount the formula is off is located in the cell to the right")</f>
        <v>#N/A</v>
      </c>
      <c r="H40" s="762" t="e">
        <f>F23+F24+F25-F39-F40-(E23+E24+E25)</f>
        <v>#N/A</v>
      </c>
      <c r="I40" s="787" t="e">
        <f>IF(H40=0," ","If the out of balance is because prior years data is not populated in cells E21,E22,E23, disregard the error message.  Do not include prior year's ending balances in cell F40")</f>
        <v>#N/A</v>
      </c>
      <c r="J40" s="772"/>
      <c r="K40" s="526"/>
      <c r="L40" s="549"/>
    </row>
    <row r="41" spans="1:123" s="18" customFormat="1" ht="141.75" customHeight="1" x14ac:dyDescent="0.3">
      <c r="A41" s="100">
        <v>597</v>
      </c>
      <c r="B41" s="374" t="s">
        <v>326</v>
      </c>
      <c r="C41" s="374" t="s">
        <v>336</v>
      </c>
      <c r="D41" s="458" t="s">
        <v>700</v>
      </c>
      <c r="E41" s="372" t="e">
        <f>INDEX('PY1 Data(H)'!$A$1:$CZ$265,MATCH('Unit Data from Audit Worksheet'!$A41,'PY1 Data(H)'!$A$1:$A$258,0),MATCH('Unit Data from Audit Worksheet'!$D$2,'PY1 Data(H)'!$A$1:$CZ$1,0))</f>
        <v>#N/A</v>
      </c>
      <c r="F41" s="807">
        <v>0</v>
      </c>
      <c r="G41" s="402">
        <f>IF(F41&lt;0,"Note: Number is normally positive.",)</f>
        <v>0</v>
      </c>
      <c r="H41" s="403"/>
      <c r="J41" s="404"/>
      <c r="K41"/>
      <c r="L41" s="549"/>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1" t="s">
        <v>325</v>
      </c>
      <c r="C42" s="501"/>
      <c r="D42" s="474"/>
      <c r="E42" s="475"/>
      <c r="F42" s="475"/>
      <c r="G42" s="476"/>
      <c r="H42" s="17"/>
      <c r="I42" s="72"/>
      <c r="J42" s="72"/>
      <c r="K42"/>
      <c r="L42" s="549"/>
    </row>
    <row r="43" spans="1:123" s="18" customFormat="1" ht="86.25" customHeight="1" x14ac:dyDescent="0.3">
      <c r="A43" s="100">
        <v>592</v>
      </c>
      <c r="B43" s="374" t="s">
        <v>58</v>
      </c>
      <c r="C43" s="374" t="s">
        <v>327</v>
      </c>
      <c r="D43" s="384" t="s">
        <v>701</v>
      </c>
      <c r="E43" s="372" t="e">
        <f>INDEX('PY1 Data(H)'!$A$1:$CZ$265,MATCH('Unit Data from Audit Worksheet'!$A43,'PY1 Data(H)'!$A$1:$A$258,0),MATCH('Unit Data from Audit Worksheet'!$D$2,'PY1 Data(H)'!$A$1:$CZ$1,0))</f>
        <v>#N/A</v>
      </c>
      <c r="F43" s="807">
        <v>0</v>
      </c>
      <c r="G43" s="402"/>
      <c r="H43" s="403"/>
      <c r="K43"/>
      <c r="L43" s="549"/>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4" t="s">
        <v>58</v>
      </c>
      <c r="C44" s="374" t="s">
        <v>327</v>
      </c>
      <c r="D44" s="99" t="s">
        <v>328</v>
      </c>
      <c r="E44" s="372" t="e">
        <f>INDEX('PY1 Data(H)'!$A$1:$CZ$265,MATCH('Unit Data from Audit Worksheet'!$A44,'PY1 Data(H)'!$A$1:$A$258,0),MATCH('Unit Data from Audit Worksheet'!$D$2,'PY1 Data(H)'!$A$1:$CZ$1,0))</f>
        <v>#N/A</v>
      </c>
      <c r="F44" s="807">
        <v>0</v>
      </c>
      <c r="G44" s="402">
        <f>IF(F44&lt;0,"Error: Enter as positive.",)</f>
        <v>0</v>
      </c>
      <c r="H44" s="403"/>
      <c r="K44"/>
      <c r="L44" s="549"/>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1" t="s">
        <v>137</v>
      </c>
      <c r="C45" s="501"/>
      <c r="D45" s="477"/>
      <c r="E45" s="478"/>
      <c r="F45" s="478"/>
      <c r="G45" s="479"/>
      <c r="H45" s="17"/>
      <c r="I45" s="72"/>
      <c r="J45" s="72"/>
      <c r="K45"/>
      <c r="L45" s="549"/>
    </row>
    <row r="46" spans="1:123" s="18" customFormat="1" ht="55.5" customHeight="1" x14ac:dyDescent="0.3">
      <c r="A46" s="100">
        <v>506</v>
      </c>
      <c r="B46" s="958" t="s">
        <v>2027</v>
      </c>
      <c r="C46" s="459" t="s">
        <v>141</v>
      </c>
      <c r="D46" s="99" t="s">
        <v>702</v>
      </c>
      <c r="E46" s="372" t="e">
        <f>INDEX('PY1 Data(H)'!$A$1:$CZ$265,MATCH('Unit Data from Audit Worksheet'!$A46,'PY1 Data(H)'!$A$1:$A$258,0),MATCH('Unit Data from Audit Worksheet'!$D$2,'PY1 Data(H)'!$A$1:$CZ$1,0))</f>
        <v>#N/A</v>
      </c>
      <c r="F46" s="807">
        <v>0</v>
      </c>
      <c r="G46" s="402">
        <f>IF(F46&lt;0,"Note: Number is normally positive.",)</f>
        <v>0</v>
      </c>
      <c r="H46" s="403"/>
      <c r="I46" s="72"/>
      <c r="J46" s="72"/>
      <c r="K46"/>
      <c r="L46" s="549"/>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58" t="s">
        <v>2027</v>
      </c>
      <c r="C47" s="459" t="s">
        <v>141</v>
      </c>
      <c r="D47" s="99" t="s">
        <v>138</v>
      </c>
      <c r="E47" s="372" t="e">
        <f>INDEX('PY1 Data(H)'!$A$1:$CZ$265,MATCH('Unit Data from Audit Worksheet'!$A47,'PY1 Data(H)'!$A$1:$A$258,0),MATCH('Unit Data from Audit Worksheet'!$D$2,'PY1 Data(H)'!$A$1:$CZ$1,0))</f>
        <v>#N/A</v>
      </c>
      <c r="F47" s="807">
        <v>0</v>
      </c>
      <c r="G47" s="402">
        <f>IF(F47&lt;0,"Note: Number is normally positive.",)</f>
        <v>0</v>
      </c>
      <c r="H47" s="403"/>
      <c r="I47" s="404"/>
      <c r="J47" s="404"/>
      <c r="K47"/>
      <c r="L47" s="549"/>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59" t="s">
        <v>58</v>
      </c>
      <c r="C48" s="459" t="s">
        <v>141</v>
      </c>
      <c r="D48" s="377" t="s">
        <v>314</v>
      </c>
      <c r="E48" s="372" t="e">
        <f>INDEX('PY1 Data(H)'!$A$1:$CZ$265,MATCH('Unit Data from Audit Worksheet'!$A48,'PY1 Data(H)'!$A$1:$A$258,0),MATCH('Unit Data from Audit Worksheet'!$D$2,'PY1 Data(H)'!$A$1:$CZ$1,0))</f>
        <v>#N/A</v>
      </c>
      <c r="F48" s="807">
        <v>0</v>
      </c>
      <c r="G48" s="402">
        <f>IF(F48&lt;0,"Note: Number is normally positive.",)</f>
        <v>0</v>
      </c>
      <c r="H48" s="403"/>
      <c r="I48" s="404"/>
      <c r="J48" s="404"/>
      <c r="K48"/>
      <c r="L48" s="549"/>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59" t="s">
        <v>59</v>
      </c>
      <c r="C49" s="459" t="s">
        <v>141</v>
      </c>
      <c r="D49" s="99" t="s">
        <v>122</v>
      </c>
      <c r="E49" s="372" t="e">
        <f>INDEX('PY1 Data(H)'!$A$1:$CZ$265,MATCH('Unit Data from Audit Worksheet'!$A49,'PY1 Data(H)'!$A$1:$A$258,0),MATCH('Unit Data from Audit Worksheet'!$D$2,'PY1 Data(H)'!$A$1:$CZ$1,0))</f>
        <v>#N/A</v>
      </c>
      <c r="F49" s="807">
        <v>0</v>
      </c>
      <c r="G49" s="402">
        <f>IF((F46+F47)&gt;F49,"Error: Please review account numbers (506+536)&gt;379",)</f>
        <v>0</v>
      </c>
      <c r="H49" s="403"/>
      <c r="I49" s="72"/>
      <c r="J49" s="72"/>
      <c r="K49"/>
      <c r="L49" s="549"/>
    </row>
    <row r="50" spans="1:123" ht="93" customHeight="1" x14ac:dyDescent="0.3">
      <c r="A50" s="100">
        <v>368</v>
      </c>
      <c r="B50" s="459" t="s">
        <v>1541</v>
      </c>
      <c r="C50" s="459" t="s">
        <v>141</v>
      </c>
      <c r="D50" s="384" t="s">
        <v>703</v>
      </c>
      <c r="E50" s="372" t="e">
        <f>INDEX('PY1 Data(H)'!$A$1:$CZ$265,MATCH('Unit Data from Audit Worksheet'!$A50,'PY1 Data(H)'!$A$1:$A$258,0),MATCH('Unit Data from Audit Worksheet'!$D$2,'PY1 Data(H)'!$A$1:$CZ$1,0))</f>
        <v>#N/A</v>
      </c>
      <c r="F50" s="807">
        <v>0</v>
      </c>
      <c r="G50" s="402">
        <f t="shared" ref="G50:G56" si="1">IF(F50&lt;0,"Error: Enter as positive.",)</f>
        <v>0</v>
      </c>
      <c r="H50" s="403"/>
      <c r="I50" s="403"/>
      <c r="J50" s="403"/>
      <c r="K50"/>
      <c r="L50" s="549"/>
    </row>
    <row r="51" spans="1:123" ht="87" customHeight="1" x14ac:dyDescent="0.3">
      <c r="A51" s="100">
        <v>4</v>
      </c>
      <c r="B51" s="958" t="s">
        <v>2027</v>
      </c>
      <c r="C51" s="459" t="s">
        <v>141</v>
      </c>
      <c r="D51" s="190" t="s">
        <v>704</v>
      </c>
      <c r="E51" s="372" t="e">
        <f>INDEX('PY1 Data(H)'!$A$1:$CZ$265,MATCH('Unit Data from Audit Worksheet'!$A51,'PY1 Data(H)'!$A$1:$A$258,0),MATCH('Unit Data from Audit Worksheet'!$D$2,'PY1 Data(H)'!$A$1:$CZ$1,0))</f>
        <v>#N/A</v>
      </c>
      <c r="F51" s="807">
        <v>0</v>
      </c>
      <c r="G51" s="402">
        <f t="shared" si="1"/>
        <v>0</v>
      </c>
      <c r="H51" s="403"/>
      <c r="I51" s="72"/>
      <c r="J51" s="72"/>
      <c r="K51"/>
      <c r="L51" s="549"/>
    </row>
    <row r="52" spans="1:123" ht="132" customHeight="1" x14ac:dyDescent="0.3">
      <c r="A52" s="100">
        <v>5</v>
      </c>
      <c r="B52" s="958" t="s">
        <v>2027</v>
      </c>
      <c r="C52" s="459" t="s">
        <v>141</v>
      </c>
      <c r="D52" s="213" t="s">
        <v>705</v>
      </c>
      <c r="E52" s="372" t="e">
        <f>INDEX('PY1 Data(H)'!$A$1:$CZ$265,MATCH('Unit Data from Audit Worksheet'!$A52,'PY1 Data(H)'!$A$1:$A$258,0),MATCH('Unit Data from Audit Worksheet'!$D$2,'PY1 Data(H)'!$A$1:$CZ$1,0))</f>
        <v>#N/A</v>
      </c>
      <c r="F52" s="807">
        <v>0</v>
      </c>
      <c r="G52" s="402">
        <f t="shared" si="1"/>
        <v>0</v>
      </c>
      <c r="H52" s="403"/>
      <c r="I52" s="72"/>
      <c r="J52" s="72"/>
      <c r="K52"/>
      <c r="L52" s="549"/>
    </row>
    <row r="53" spans="1:123" ht="93.75" customHeight="1" x14ac:dyDescent="0.3">
      <c r="A53" s="100">
        <v>380</v>
      </c>
      <c r="B53" s="459" t="s">
        <v>59</v>
      </c>
      <c r="C53" s="459" t="s">
        <v>141</v>
      </c>
      <c r="D53" s="213" t="s">
        <v>706</v>
      </c>
      <c r="E53" s="372" t="e">
        <f>INDEX('PY1 Data(H)'!$A$1:$CZ$265,MATCH('Unit Data from Audit Worksheet'!$A53,'PY1 Data(H)'!$A$1:$A$258,0),MATCH('Unit Data from Audit Worksheet'!$D$2,'PY1 Data(H)'!$A$1:$CZ$1,0))</f>
        <v>#N/A</v>
      </c>
      <c r="F53" s="807">
        <v>0</v>
      </c>
      <c r="G53" s="402">
        <f t="shared" si="1"/>
        <v>0</v>
      </c>
      <c r="H53" s="403"/>
      <c r="I53" s="72"/>
      <c r="J53" s="72"/>
      <c r="K53"/>
      <c r="L53" s="549"/>
    </row>
    <row r="54" spans="1:123" ht="48.75" customHeight="1" x14ac:dyDescent="0.3">
      <c r="A54" s="100">
        <v>391</v>
      </c>
      <c r="B54" s="459" t="s">
        <v>68</v>
      </c>
      <c r="C54" s="459" t="s">
        <v>141</v>
      </c>
      <c r="D54" s="99" t="s">
        <v>139</v>
      </c>
      <c r="E54" s="372" t="e">
        <f>INDEX('PY1 Data(H)'!$A$1:$CZ$265,MATCH('Unit Data from Audit Worksheet'!$A54,'PY1 Data(H)'!$A$1:$A$258,0),MATCH('Unit Data from Audit Worksheet'!$D$2,'PY1 Data(H)'!$A$1:$CZ$1,0))</f>
        <v>#N/A</v>
      </c>
      <c r="F54" s="807">
        <v>0</v>
      </c>
      <c r="G54" s="402">
        <f t="shared" si="1"/>
        <v>0</v>
      </c>
      <c r="H54" s="403"/>
      <c r="I54" s="72"/>
      <c r="J54" s="72"/>
      <c r="K54"/>
      <c r="L54" s="549"/>
    </row>
    <row r="55" spans="1:123" ht="51.75" customHeight="1" x14ac:dyDescent="0.3">
      <c r="A55" s="100">
        <v>7</v>
      </c>
      <c r="B55" s="459" t="s">
        <v>68</v>
      </c>
      <c r="C55" s="459" t="s">
        <v>141</v>
      </c>
      <c r="D55" s="99" t="s">
        <v>140</v>
      </c>
      <c r="E55" s="372" t="e">
        <f>INDEX('PY1 Data(H)'!$A$1:$CZ$265,MATCH('Unit Data from Audit Worksheet'!$A55,'PY1 Data(H)'!$A$1:$A$258,0),MATCH('Unit Data from Audit Worksheet'!$D$2,'PY1 Data(H)'!$A$1:$CZ$1,0))</f>
        <v>#N/A</v>
      </c>
      <c r="F55" s="807">
        <v>0</v>
      </c>
      <c r="G55" s="402">
        <f t="shared" si="1"/>
        <v>0</v>
      </c>
      <c r="H55" s="403"/>
      <c r="I55" s="72"/>
      <c r="J55" s="72"/>
      <c r="K55"/>
      <c r="L55" s="549"/>
    </row>
    <row r="56" spans="1:123" ht="83.4" customHeight="1" x14ac:dyDescent="0.3">
      <c r="A56" s="100">
        <v>11</v>
      </c>
      <c r="B56" s="958" t="s">
        <v>2028</v>
      </c>
      <c r="C56" s="459" t="s">
        <v>141</v>
      </c>
      <c r="D56" s="384" t="s">
        <v>707</v>
      </c>
      <c r="E56" s="372" t="e">
        <f>INDEX('PY1 Data(H)'!$A$1:$CZ$265,MATCH('Unit Data from Audit Worksheet'!$A56,'PY1 Data(H)'!$A$1:$A$258,0),MATCH('Unit Data from Audit Worksheet'!$D$2,'PY1 Data(H)'!$A$1:$CZ$1,0))</f>
        <v>#N/A</v>
      </c>
      <c r="F56" s="807">
        <v>0</v>
      </c>
      <c r="G56" s="402">
        <f t="shared" si="1"/>
        <v>0</v>
      </c>
      <c r="H56" s="403"/>
      <c r="I56" s="72"/>
      <c r="J56" s="72"/>
      <c r="K56"/>
      <c r="L56" s="549"/>
    </row>
    <row r="57" spans="1:123" ht="78.75" customHeight="1" x14ac:dyDescent="0.3">
      <c r="A57" s="191">
        <v>645</v>
      </c>
      <c r="B57" s="462" t="s">
        <v>360</v>
      </c>
      <c r="C57" s="462" t="s">
        <v>141</v>
      </c>
      <c r="D57" s="644" t="s">
        <v>386</v>
      </c>
      <c r="E57" s="372" t="e">
        <f>INDEX('PY1 Data(H)'!$A$1:$CZ$265,MATCH('Unit Data from Audit Worksheet'!$A57,'PY1 Data(H)'!$A$1:$A$258,0),MATCH('Unit Data from Audit Worksheet'!$D$2,'PY1 Data(H)'!$A$1:$CZ$1,0))</f>
        <v>#N/A</v>
      </c>
      <c r="F57" s="807">
        <v>0</v>
      </c>
      <c r="G57" s="402">
        <f>IF(F57&lt;0,"Note: Number is normally positive.",)</f>
        <v>0</v>
      </c>
      <c r="H57" s="403"/>
      <c r="I57" s="404"/>
      <c r="J57" s="404"/>
      <c r="K57"/>
      <c r="L57" s="549"/>
    </row>
    <row r="58" spans="1:123" ht="78.75" customHeight="1" x14ac:dyDescent="0.3">
      <c r="A58" s="191">
        <v>646</v>
      </c>
      <c r="B58" s="462" t="s">
        <v>360</v>
      </c>
      <c r="C58" s="462" t="s">
        <v>141</v>
      </c>
      <c r="D58" s="190" t="s">
        <v>361</v>
      </c>
      <c r="E58" s="372" t="e">
        <f>INDEX('PY1 Data(H)'!$A$1:$CZ$265,MATCH('Unit Data from Audit Worksheet'!$A58,'PY1 Data(H)'!$A$1:$A$258,0),MATCH('Unit Data from Audit Worksheet'!$D$2,'PY1 Data(H)'!$A$1:$CZ$1,0))</f>
        <v>#N/A</v>
      </c>
      <c r="F58" s="807">
        <v>0</v>
      </c>
      <c r="G58" s="402">
        <f>IF(F58&lt;0,"Note: Number is normally positive.",)</f>
        <v>0</v>
      </c>
      <c r="H58" s="403"/>
      <c r="I58" s="404"/>
      <c r="J58" s="404"/>
      <c r="K58"/>
      <c r="L58" s="549"/>
    </row>
    <row r="59" spans="1:123" ht="138" customHeight="1" x14ac:dyDescent="0.3">
      <c r="A59" s="100">
        <v>9</v>
      </c>
      <c r="B59" s="958" t="s">
        <v>2031</v>
      </c>
      <c r="C59" s="459" t="s">
        <v>141</v>
      </c>
      <c r="D59" s="384" t="s">
        <v>708</v>
      </c>
      <c r="E59" s="372" t="e">
        <f>INDEX('PY1 Data(H)'!$A$1:$CZ$265,MATCH('Unit Data from Audit Worksheet'!$A59,'PY1 Data(H)'!$A$1:$A$258,0),MATCH('Unit Data from Audit Worksheet'!$D$2,'PY1 Data(H)'!$A$1:$CZ$1,0))</f>
        <v>#N/A</v>
      </c>
      <c r="F59" s="807">
        <v>0</v>
      </c>
      <c r="G59" s="402">
        <f>IF(F49-F51-F52-F53-F59=0,,"Error: Total assets less total liabilities do not equal total fund balance. Account numbers 379-4-5-380-9= 0  The amount of the formula is in the cell to the right")</f>
        <v>0</v>
      </c>
      <c r="H59" s="405">
        <f>F49-F51-F52-F53-F59</f>
        <v>0</v>
      </c>
      <c r="I59" s="72"/>
      <c r="J59" s="72"/>
      <c r="K59"/>
      <c r="L59" s="549"/>
    </row>
    <row r="60" spans="1:123" s="18" customFormat="1" ht="63.75" customHeight="1" x14ac:dyDescent="0.3">
      <c r="A60" s="100">
        <v>540</v>
      </c>
      <c r="B60" s="374" t="s">
        <v>58</v>
      </c>
      <c r="C60" s="374" t="s">
        <v>709</v>
      </c>
      <c r="D60" s="99" t="s">
        <v>387</v>
      </c>
      <c r="E60" s="372" t="e">
        <f>INDEX('PY1 Data(H)'!$A$1:$CZ$265,MATCH('Unit Data from Audit Worksheet'!$A60,'PY1 Data(H)'!$A$1:$A$258,0),MATCH('Unit Data from Audit Worksheet'!$D$2,'PY1 Data(H)'!$A$1:$CZ$1,0))</f>
        <v>#N/A</v>
      </c>
      <c r="F60" s="807">
        <v>0</v>
      </c>
      <c r="G60" s="402"/>
      <c r="H60" s="403"/>
      <c r="I60" s="404"/>
      <c r="J60" s="404"/>
      <c r="K60"/>
      <c r="L60" s="549"/>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4" t="s">
        <v>58</v>
      </c>
      <c r="C61" s="791" t="s">
        <v>144</v>
      </c>
      <c r="D61" s="786" t="s">
        <v>1578</v>
      </c>
      <c r="E61" s="372" t="e">
        <f>INDEX('PY1 Data(H)'!$A$1:$CZ$265,MATCH('Unit Data from Audit Worksheet'!$A61,'PY1 Data(H)'!$A$1:$A$258,0),MATCH('Unit Data from Audit Worksheet'!$D$2,'PY1 Data(H)'!$A$1:$CZ$1,0))</f>
        <v>#N/A</v>
      </c>
      <c r="F61" s="807">
        <v>0</v>
      </c>
      <c r="G61" s="402"/>
      <c r="H61" s="403"/>
      <c r="I61" s="404"/>
      <c r="J61" s="404"/>
      <c r="K61" s="180"/>
      <c r="L61" s="549"/>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1" t="s">
        <v>143</v>
      </c>
      <c r="C62" s="501"/>
      <c r="D62" s="474"/>
      <c r="E62" s="475"/>
      <c r="F62" s="475"/>
      <c r="G62" s="476"/>
      <c r="H62" s="17"/>
      <c r="I62" s="72"/>
      <c r="J62" s="72"/>
      <c r="K62"/>
      <c r="L62" s="549"/>
    </row>
    <row r="63" spans="1:123" ht="82.5" customHeight="1" x14ac:dyDescent="0.3">
      <c r="A63" s="100">
        <v>984</v>
      </c>
      <c r="B63" s="957" t="s">
        <v>2041</v>
      </c>
      <c r="C63" s="374" t="s">
        <v>709</v>
      </c>
      <c r="D63" s="384" t="s">
        <v>790</v>
      </c>
      <c r="E63" s="372" t="e">
        <f>INDEX('PY1 Data(H)'!$A$1:$CZ$265,MATCH('Unit Data from Audit Worksheet'!$A63,'PY1 Data(H)'!$A$1:$A$258,0),MATCH('Unit Data from Audit Worksheet'!$D$2,'PY1 Data(H)'!$A$1:$CZ$1,0))</f>
        <v>#N/A</v>
      </c>
      <c r="F63" s="807">
        <v>0</v>
      </c>
      <c r="G63" s="402"/>
      <c r="H63" s="17"/>
      <c r="I63" s="72"/>
      <c r="J63" s="72"/>
      <c r="K63"/>
      <c r="L63" s="549"/>
    </row>
    <row r="64" spans="1:123" ht="69" customHeight="1" x14ac:dyDescent="0.3">
      <c r="A64" s="100">
        <v>985</v>
      </c>
      <c r="B64" s="957" t="s">
        <v>2041</v>
      </c>
      <c r="C64" s="374" t="s">
        <v>709</v>
      </c>
      <c r="D64" s="384" t="s">
        <v>791</v>
      </c>
      <c r="E64" s="372" t="e">
        <f>INDEX('PY1 Data(H)'!$A$1:$CZ$265,MATCH('Unit Data from Audit Worksheet'!$A64,'PY1 Data(H)'!$A$1:$A$258,0),MATCH('Unit Data from Audit Worksheet'!$D$2,'PY1 Data(H)'!$A$1:$CZ$1,0))</f>
        <v>#N/A</v>
      </c>
      <c r="F64" s="807">
        <v>0</v>
      </c>
      <c r="G64" s="402"/>
      <c r="H64" s="17"/>
      <c r="I64" s="72"/>
      <c r="J64" s="72"/>
      <c r="K64"/>
      <c r="L64" s="549"/>
    </row>
    <row r="65" spans="1:123" ht="52.5" customHeight="1" x14ac:dyDescent="0.3">
      <c r="A65" s="100">
        <v>369</v>
      </c>
      <c r="B65" s="4" t="s">
        <v>55</v>
      </c>
      <c r="C65" s="4" t="s">
        <v>144</v>
      </c>
      <c r="D65" s="384" t="s">
        <v>710</v>
      </c>
      <c r="E65" s="372" t="e">
        <f>INDEX('PY1 Data(H)'!$A$1:$CZ$265,MATCH('Unit Data from Audit Worksheet'!$A65,'PY1 Data(H)'!$A$1:$A$258,0),MATCH('Unit Data from Audit Worksheet'!$D$2,'PY1 Data(H)'!$A$1:$CZ$1,0))</f>
        <v>#N/A</v>
      </c>
      <c r="F65" s="807">
        <v>0</v>
      </c>
      <c r="G65" s="402"/>
      <c r="H65" s="17"/>
      <c r="I65" s="72"/>
      <c r="J65" s="72"/>
      <c r="K65"/>
      <c r="L65" s="549"/>
    </row>
    <row r="66" spans="1:123" ht="57.75" customHeight="1" x14ac:dyDescent="0.3">
      <c r="A66" s="100">
        <v>16</v>
      </c>
      <c r="B66" s="4" t="s">
        <v>65</v>
      </c>
      <c r="C66" s="4" t="s">
        <v>144</v>
      </c>
      <c r="D66" s="99" t="s">
        <v>142</v>
      </c>
      <c r="E66" s="372" t="e">
        <f>INDEX('PY1 Data(H)'!$A$1:$CZ$265,MATCH('Unit Data from Audit Worksheet'!$A66,'PY1 Data(H)'!$A$1:$A$258,0),MATCH('Unit Data from Audit Worksheet'!$D$2,'PY1 Data(H)'!$A$1:$CZ$1,0))</f>
        <v>#N/A</v>
      </c>
      <c r="F66" s="807">
        <v>0</v>
      </c>
      <c r="G66" s="402"/>
      <c r="H66" s="17"/>
      <c r="I66" s="72"/>
      <c r="J66" s="72"/>
      <c r="K66"/>
      <c r="L66" s="549"/>
    </row>
    <row r="67" spans="1:123" ht="65.25" customHeight="1" x14ac:dyDescent="0.3">
      <c r="A67" s="100">
        <v>370</v>
      </c>
      <c r="B67" s="4" t="s">
        <v>55</v>
      </c>
      <c r="C67" s="4" t="s">
        <v>144</v>
      </c>
      <c r="D67" s="384" t="s">
        <v>711</v>
      </c>
      <c r="E67" s="372" t="e">
        <f>INDEX('PY1 Data(H)'!$A$1:$CZ$265,MATCH('Unit Data from Audit Worksheet'!$A67,'PY1 Data(H)'!$A$1:$A$258,0),MATCH('Unit Data from Audit Worksheet'!$D$2,'PY1 Data(H)'!$A$1:$CZ$1,0))</f>
        <v>#N/A</v>
      </c>
      <c r="F67" s="807">
        <v>0</v>
      </c>
      <c r="G67" s="402">
        <f>IF(F67&lt;0,"Error: Enter as positive.",)</f>
        <v>0</v>
      </c>
      <c r="H67" s="17"/>
      <c r="I67" s="72"/>
      <c r="J67" s="72"/>
      <c r="K67"/>
      <c r="L67" s="549"/>
    </row>
    <row r="68" spans="1:123" ht="69.75" customHeight="1" x14ac:dyDescent="0.3">
      <c r="A68" s="100">
        <v>532</v>
      </c>
      <c r="B68" s="957" t="s">
        <v>2027</v>
      </c>
      <c r="C68" s="4" t="s">
        <v>144</v>
      </c>
      <c r="D68" s="380" t="s">
        <v>712</v>
      </c>
      <c r="E68" s="372" t="e">
        <f>INDEX('PY1 Data(H)'!$A$1:$CZ$265,MATCH('Unit Data from Audit Worksheet'!$A68,'PY1 Data(H)'!$A$1:$A$258,0),MATCH('Unit Data from Audit Worksheet'!$D$2,'PY1 Data(H)'!$A$1:$CZ$1,0))</f>
        <v>#N/A</v>
      </c>
      <c r="F68" s="807">
        <v>0</v>
      </c>
      <c r="G68" s="402">
        <f>IF(F68&lt;0,"Error: Enter as positive.",)</f>
        <v>0</v>
      </c>
      <c r="H68" s="17"/>
      <c r="I68" s="72"/>
      <c r="J68" s="72"/>
      <c r="K68"/>
      <c r="L68" s="549"/>
    </row>
    <row r="69" spans="1:123" ht="69.75" customHeight="1" x14ac:dyDescent="0.3">
      <c r="A69" s="100">
        <v>1050</v>
      </c>
      <c r="B69" s="960" t="s">
        <v>2030</v>
      </c>
      <c r="C69" s="791" t="s">
        <v>144</v>
      </c>
      <c r="D69" s="792" t="s">
        <v>1529</v>
      </c>
      <c r="E69" s="372" t="e">
        <f>INDEX('PY1 Data(H)'!$A$1:$CZ$265,MATCH('Unit Data from Audit Worksheet'!$A69,'PY1 Data(H)'!$A$1:$A$258,0),MATCH('Unit Data from Audit Worksheet'!$D$2,'PY1 Data(H)'!$A$1:$CZ$1,0))</f>
        <v>#N/A</v>
      </c>
      <c r="F69" s="807">
        <v>0</v>
      </c>
      <c r="G69" s="402">
        <f>IF(F69&lt;0,"Error: Enter as positive.",)</f>
        <v>0</v>
      </c>
      <c r="H69" s="17"/>
      <c r="I69" s="72"/>
      <c r="J69" s="72"/>
      <c r="K69" s="180"/>
      <c r="L69" s="549"/>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713</v>
      </c>
      <c r="E70" s="372" t="e">
        <f>INDEX('PY1 Data(H)'!$A$1:$CZ$265,MATCH('Unit Data from Audit Worksheet'!$A70,'PY1 Data(H)'!$A$1:$A$258,0),MATCH('Unit Data from Audit Worksheet'!$D$2,'PY1 Data(H)'!$A$1:$CZ$1,0))</f>
        <v>#N/A</v>
      </c>
      <c r="F70" s="807">
        <v>0</v>
      </c>
      <c r="G70" s="402"/>
      <c r="H70" s="17"/>
      <c r="I70" s="72"/>
      <c r="J70" s="72"/>
      <c r="K70"/>
      <c r="L70" s="549"/>
    </row>
    <row r="71" spans="1:123" ht="66" customHeight="1" x14ac:dyDescent="0.3">
      <c r="A71" s="100">
        <v>20</v>
      </c>
      <c r="B71" s="957" t="s">
        <v>2027</v>
      </c>
      <c r="C71" s="4" t="s">
        <v>144</v>
      </c>
      <c r="D71" s="99" t="s">
        <v>714</v>
      </c>
      <c r="E71" s="372" t="e">
        <f>INDEX('PY1 Data(H)'!$A$1:$CZ$265,MATCH('Unit Data from Audit Worksheet'!$A71,'PY1 Data(H)'!$A$1:$A$258,0),MATCH('Unit Data from Audit Worksheet'!$D$2,'PY1 Data(H)'!$A$1:$CZ$1,0))</f>
        <v>#N/A</v>
      </c>
      <c r="F71" s="807">
        <v>0</v>
      </c>
      <c r="G71" s="402">
        <f>IF(F71&lt;0,"Error: Enter as positive.",)</f>
        <v>0</v>
      </c>
      <c r="H71" s="17"/>
      <c r="I71" s="72"/>
      <c r="J71" s="72"/>
      <c r="K71"/>
      <c r="L71" s="549"/>
    </row>
    <row r="72" spans="1:123" ht="62.4" customHeight="1" x14ac:dyDescent="0.3">
      <c r="A72" s="100">
        <v>533</v>
      </c>
      <c r="B72" s="957" t="s">
        <v>2027</v>
      </c>
      <c r="C72" s="4" t="s">
        <v>144</v>
      </c>
      <c r="D72" s="380" t="s">
        <v>715</v>
      </c>
      <c r="E72" s="372" t="e">
        <f>INDEX('PY1 Data(H)'!$A$1:$CZ$265,MATCH('Unit Data from Audit Worksheet'!$A72,'PY1 Data(H)'!$A$1:$A$258,0),MATCH('Unit Data from Audit Worksheet'!$D$2,'PY1 Data(H)'!$A$1:$CZ$1,0))</f>
        <v>#N/A</v>
      </c>
      <c r="F72" s="807">
        <v>0</v>
      </c>
      <c r="G72" s="408"/>
      <c r="H72" s="17"/>
      <c r="I72" s="72"/>
      <c r="J72" s="72"/>
      <c r="K72"/>
      <c r="L72" s="549"/>
    </row>
    <row r="73" spans="1:123" s="18" customFormat="1" ht="72.599999999999994" customHeight="1" x14ac:dyDescent="0.3">
      <c r="A73" s="100">
        <v>508</v>
      </c>
      <c r="B73" s="957" t="s">
        <v>2027</v>
      </c>
      <c r="C73" s="4" t="s">
        <v>144</v>
      </c>
      <c r="D73" s="99" t="s">
        <v>292</v>
      </c>
      <c r="E73" s="372" t="e">
        <f>INDEX('PY1 Data(H)'!$A$1:$CZ$265,MATCH('Unit Data from Audit Worksheet'!$A73,'PY1 Data(H)'!$A$1:$A$258,0),MATCH('Unit Data from Audit Worksheet'!$D$2,'PY1 Data(H)'!$A$1:$CZ$1,0))</f>
        <v>#N/A</v>
      </c>
      <c r="F73" s="807">
        <v>0</v>
      </c>
      <c r="G73" s="402"/>
      <c r="H73" s="403"/>
      <c r="I73" s="404"/>
      <c r="J73" s="404"/>
      <c r="K73"/>
      <c r="L73" s="549"/>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57" t="s">
        <v>2027</v>
      </c>
      <c r="C74" s="4" t="s">
        <v>144</v>
      </c>
      <c r="D74" s="99" t="s">
        <v>290</v>
      </c>
      <c r="E74" s="372" t="e">
        <f>INDEX('PY1 Data(H)'!$A$1:$CZ$265,MATCH('Unit Data from Audit Worksheet'!$A74,'PY1 Data(H)'!$A$1:$A$258,0),MATCH('Unit Data from Audit Worksheet'!$D$2,'PY1 Data(H)'!$A$1:$CZ$1,0))</f>
        <v>#N/A</v>
      </c>
      <c r="F74" s="807">
        <v>0</v>
      </c>
      <c r="G74" s="402">
        <f>IF(F74&lt;0,"Error: Enter as positive.",)</f>
        <v>0</v>
      </c>
      <c r="H74" s="403"/>
      <c r="I74" s="404"/>
      <c r="J74" s="404"/>
      <c r="K74"/>
      <c r="L74" s="549"/>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2" t="e">
        <f>INDEX('PY1 Data(H)'!$A$1:$CZ$265,MATCH('Unit Data from Audit Worksheet'!$A75,'PY1 Data(H)'!$A$1:$A$258,0),MATCH('Unit Data from Audit Worksheet'!$D$2,'PY1 Data(H)'!$A$1:$CZ$1,0))</f>
        <v>#N/A</v>
      </c>
      <c r="F75" s="807">
        <v>0</v>
      </c>
      <c r="G75" s="408"/>
      <c r="H75" s="17"/>
      <c r="I75" s="72"/>
      <c r="J75" s="72"/>
      <c r="K75"/>
      <c r="L75" s="549"/>
    </row>
    <row r="76" spans="1:123" ht="138" customHeight="1" x14ac:dyDescent="0.3">
      <c r="A76" s="100">
        <v>23</v>
      </c>
      <c r="B76" s="4" t="s">
        <v>59</v>
      </c>
      <c r="C76" s="4" t="s">
        <v>144</v>
      </c>
      <c r="D76" s="384" t="s">
        <v>716</v>
      </c>
      <c r="E76" s="372" t="e">
        <f>INDEX('PY1 Data(H)'!$A$1:$CZ$265,MATCH('Unit Data from Audit Worksheet'!$A76,'PY1 Data(H)'!$A$1:$A$258,0),MATCH('Unit Data from Audit Worksheet'!$D$2,'PY1 Data(H)'!$A$1:$CZ$1,0))</f>
        <v>#N/A</v>
      </c>
      <c r="F76" s="807"/>
      <c r="G76" s="402">
        <f>IF(H76=0,,"Error: Total revenues less total expenditures do not equal total change in fund balance.  Account numbers 16-532+17-20+533+22+508-509-23=0  The amount of the formula is located in the cell to the right")</f>
        <v>0</v>
      </c>
      <c r="H76" s="405">
        <f>+F66-F68+F70-F71+F72+F75+F73-F74-F76</f>
        <v>0</v>
      </c>
      <c r="I76" s="72"/>
      <c r="J76" s="72"/>
      <c r="K76"/>
      <c r="L76" s="549"/>
    </row>
    <row r="77" spans="1:123" ht="194.25" customHeight="1" x14ac:dyDescent="0.3">
      <c r="A77" s="100">
        <v>590</v>
      </c>
      <c r="B77" s="957" t="s">
        <v>2793</v>
      </c>
      <c r="C77" s="4"/>
      <c r="D77" s="789" t="s">
        <v>1692</v>
      </c>
      <c r="E77" s="524"/>
      <c r="F77" s="808"/>
      <c r="G77" s="660"/>
      <c r="H77" s="405"/>
      <c r="I77" s="1044" t="str">
        <f>IF(F77&lt;&gt;""," ","Please do not leave cell F77 blank.")</f>
        <v>Please do not leave cell F77 blank.</v>
      </c>
      <c r="J77" s="404"/>
      <c r="K77"/>
      <c r="L77" s="549"/>
    </row>
    <row r="78" spans="1:123" ht="138" customHeight="1" x14ac:dyDescent="0.3">
      <c r="A78" s="100">
        <v>507</v>
      </c>
      <c r="B78" s="374" t="s">
        <v>59</v>
      </c>
      <c r="C78" s="374" t="s">
        <v>144</v>
      </c>
      <c r="D78" s="384" t="s">
        <v>717</v>
      </c>
      <c r="E78" s="372" t="e">
        <f>INDEX('PY1 Data(H)'!$A$1:$CZ$265,MATCH('Unit Data from Audit Worksheet'!$A78,'PY1 Data(H)'!$A$1:$A$258,0),MATCH('Unit Data from Audit Worksheet'!$D$2,'PY1 Data(H)'!$A$1:$CZ$1,0))</f>
        <v>#N/A</v>
      </c>
      <c r="F78" s="807">
        <v>0</v>
      </c>
      <c r="G78" s="763" t="e">
        <f>IF(F59-F76-F78=E59,,"Error: Beginning Balance does not agree with our records.  (Acct# 9-23-507)= Prior Years Acct # 9 The amount of the formula is in the cell to the right")</f>
        <v>#N/A</v>
      </c>
      <c r="H78" s="764" t="e">
        <f>+F59-F76-F78-E59</f>
        <v>#N/A</v>
      </c>
      <c r="I78" s="787" t="e">
        <f>IF(H78=0," ","If the out of balance is because prior years data is not populated in cell E57, disregard the error message. Do not include prior year's ending balance in cell F78.")</f>
        <v>#N/A</v>
      </c>
      <c r="J78" s="772"/>
      <c r="K78"/>
      <c r="L78" s="549"/>
    </row>
    <row r="79" spans="1:123" ht="82.5" customHeight="1" x14ac:dyDescent="0.3">
      <c r="A79" s="191">
        <v>647</v>
      </c>
      <c r="B79" s="959" t="s">
        <v>2029</v>
      </c>
      <c r="C79" s="461" t="s">
        <v>362</v>
      </c>
      <c r="D79" s="190" t="s">
        <v>1626</v>
      </c>
      <c r="E79" s="372" t="e">
        <f>INDEX('PY1 Data(H)'!$A$1:$CZ$265,MATCH('Unit Data from Audit Worksheet'!$A79,'PY1 Data(H)'!$A$1:$A$258,0),MATCH('Unit Data from Audit Worksheet'!$D$2,'PY1 Data(H)'!$A$1:$CZ$1,0))</f>
        <v>#N/A</v>
      </c>
      <c r="F79" s="807">
        <v>0</v>
      </c>
      <c r="G79" s="402">
        <f>IF(F79&lt;0,"Error: Enter as positive.",)</f>
        <v>0</v>
      </c>
      <c r="H79" s="409"/>
      <c r="I79" s="72"/>
      <c r="J79" s="72"/>
      <c r="K79"/>
      <c r="L79" s="549"/>
    </row>
    <row r="80" spans="1:123" ht="25.5" customHeight="1" x14ac:dyDescent="0.3">
      <c r="A80" s="100"/>
      <c r="B80" s="491" t="s">
        <v>11</v>
      </c>
      <c r="C80" s="501"/>
      <c r="D80" s="471"/>
      <c r="E80" s="472"/>
      <c r="F80" s="472"/>
      <c r="G80" s="473"/>
      <c r="H80" s="17"/>
      <c r="I80" s="72"/>
      <c r="J80" s="72"/>
      <c r="K80"/>
      <c r="L80" s="549"/>
    </row>
    <row r="81" spans="1:12" ht="78" customHeight="1" x14ac:dyDescent="0.3">
      <c r="A81" s="100">
        <v>171</v>
      </c>
      <c r="B81" s="4" t="s">
        <v>295</v>
      </c>
      <c r="C81" s="4" t="s">
        <v>294</v>
      </c>
      <c r="D81" s="373" t="s">
        <v>718</v>
      </c>
      <c r="E81" s="372" t="e">
        <f>INDEX('PY1 Data(H)'!$A$1:$CZ$265,MATCH('Unit Data from Audit Worksheet'!$A81,'PY1 Data(H)'!$A$1:$A$258,0),MATCH('Unit Data from Audit Worksheet'!$D$2,'PY1 Data(H)'!$A$1:$CZ$1,0))</f>
        <v>#N/A</v>
      </c>
      <c r="F81" s="817">
        <v>0</v>
      </c>
      <c r="G81" s="402">
        <f>IF(F81&lt;0,"Error: Enter as positive.",)</f>
        <v>0</v>
      </c>
      <c r="H81" s="17"/>
      <c r="I81" s="72"/>
      <c r="J81" s="72"/>
      <c r="K81"/>
      <c r="L81" s="549"/>
    </row>
    <row r="82" spans="1:12" ht="18" customHeight="1" x14ac:dyDescent="0.3">
      <c r="A82" s="100"/>
      <c r="B82" s="492" t="s">
        <v>719</v>
      </c>
      <c r="C82" s="501"/>
      <c r="D82" s="469"/>
      <c r="E82" s="488"/>
      <c r="F82" s="487"/>
      <c r="G82" s="488"/>
      <c r="H82" s="17"/>
      <c r="I82" s="72"/>
      <c r="J82" s="72"/>
      <c r="K82"/>
      <c r="L82" s="549"/>
    </row>
    <row r="83" spans="1:12" ht="14.4" customHeight="1" x14ac:dyDescent="0.3">
      <c r="A83" s="100"/>
      <c r="B83" s="492" t="s">
        <v>24</v>
      </c>
      <c r="C83" s="501"/>
      <c r="D83" s="483"/>
      <c r="E83" s="490"/>
      <c r="F83" s="489"/>
      <c r="G83" s="490"/>
      <c r="H83" s="17"/>
      <c r="I83" s="72"/>
      <c r="J83" s="72"/>
      <c r="K83"/>
      <c r="L83" s="549"/>
    </row>
    <row r="84" spans="1:12" ht="14.4" customHeight="1" x14ac:dyDescent="0.3">
      <c r="A84" s="100"/>
      <c r="B84" s="492" t="s">
        <v>22</v>
      </c>
      <c r="C84" s="501"/>
      <c r="D84" s="483"/>
      <c r="E84" s="490"/>
      <c r="F84" s="489"/>
      <c r="G84" s="490"/>
      <c r="H84" s="410"/>
      <c r="I84" s="72"/>
      <c r="J84" s="72"/>
      <c r="K84"/>
      <c r="L84" s="549"/>
    </row>
    <row r="85" spans="1:12" ht="88.95" customHeight="1" x14ac:dyDescent="0.3">
      <c r="A85" s="100">
        <v>596</v>
      </c>
      <c r="B85" s="374" t="s">
        <v>56</v>
      </c>
      <c r="C85" s="279"/>
      <c r="D85" s="748" t="s">
        <v>1639</v>
      </c>
      <c r="E85" s="372" t="e">
        <f>INDEX('PY1 Data(H)'!$A$1:$CZ$265,MATCH('Unit Data from Audit Worksheet'!$A85,'PY1 Data(H)'!$A$1:$A$258,0),MATCH('Unit Data from Audit Worksheet'!$D$2,'PY1 Data(H)'!$A$1:$CZ$1,0))</f>
        <v>#N/A</v>
      </c>
      <c r="F85" s="181"/>
      <c r="G85" s="935" t="s">
        <v>2777</v>
      </c>
      <c r="H85" s="410"/>
      <c r="I85" s="72"/>
      <c r="J85" s="72"/>
      <c r="K85"/>
      <c r="L85" s="549"/>
    </row>
    <row r="86" spans="1:12" ht="85.95" customHeight="1" x14ac:dyDescent="0.3">
      <c r="A86" s="100">
        <v>80</v>
      </c>
      <c r="B86" s="957" t="s">
        <v>2032</v>
      </c>
      <c r="C86" s="4" t="s">
        <v>720</v>
      </c>
      <c r="D86" s="21" t="s">
        <v>721</v>
      </c>
      <c r="E86" s="372" t="e">
        <f>INDEX('PY1 Data(H)'!$A$1:$CZ$265,MATCH('Unit Data from Audit Worksheet'!$A86,'PY1 Data(H)'!$A$1:$A$258,0),MATCH('Unit Data from Audit Worksheet'!$D$2,'PY1 Data(H)'!$A$1:$CZ$1,0))</f>
        <v>#N/A</v>
      </c>
      <c r="F86" s="817">
        <v>0</v>
      </c>
      <c r="G86" s="793" t="e">
        <f>INDEX('PY1 Data(H)'!$A$1:$CZ$282,MATCH('PY1 Data(H)'!$A261,'PY1 Data(H)'!$A$1:$A$282,0),MATCH('Unit Data from Audit Worksheet'!$D$2,'PY1 Data(H)'!$A$1:$CZ$1,0))</f>
        <v>#N/A</v>
      </c>
      <c r="H86" s="411"/>
      <c r="I86" s="72"/>
      <c r="J86" s="72"/>
      <c r="K86"/>
      <c r="L86" s="549"/>
    </row>
    <row r="87" spans="1:12" ht="69" customHeight="1" x14ac:dyDescent="0.3">
      <c r="A87" s="100">
        <v>81</v>
      </c>
      <c r="B87" s="4" t="s">
        <v>61</v>
      </c>
      <c r="C87" s="4" t="s">
        <v>720</v>
      </c>
      <c r="D87" s="21" t="s">
        <v>722</v>
      </c>
      <c r="E87" s="372" t="e">
        <f>INDEX('PY1 Data(H)'!$A$1:$CZ$265,MATCH('Unit Data from Audit Worksheet'!$A87,'PY1 Data(H)'!$A$1:$A$258,0),MATCH('Unit Data from Audit Worksheet'!$D$2,'PY1 Data(H)'!$A$1:$CZ$1,0))</f>
        <v>#N/A</v>
      </c>
      <c r="F87" s="807">
        <v>0</v>
      </c>
      <c r="G87" s="408"/>
      <c r="H87" s="17"/>
      <c r="I87" s="72"/>
      <c r="J87" s="72"/>
      <c r="K87"/>
      <c r="L87" s="549"/>
    </row>
    <row r="88" spans="1:12" ht="84" customHeight="1" x14ac:dyDescent="0.3">
      <c r="A88" s="100">
        <v>579</v>
      </c>
      <c r="B88" s="958" t="s">
        <v>2044</v>
      </c>
      <c r="C88" s="374" t="s">
        <v>720</v>
      </c>
      <c r="D88" s="460" t="s">
        <v>723</v>
      </c>
      <c r="E88" s="372" t="e">
        <f>INDEX('PY1 Data(H)'!$A$1:$CZ$265,MATCH('Unit Data from Audit Worksheet'!$A88,'PY1 Data(H)'!$A$1:$A$258,0),MATCH('Unit Data from Audit Worksheet'!$D$2,'PY1 Data(H)'!$A$1:$CZ$1,0))</f>
        <v>#N/A</v>
      </c>
      <c r="F88" s="807">
        <v>0</v>
      </c>
      <c r="G88" s="402"/>
      <c r="H88" s="17"/>
      <c r="I88" s="403"/>
      <c r="J88" s="403"/>
      <c r="K88"/>
      <c r="L88" s="549"/>
    </row>
    <row r="89" spans="1:12" ht="78.599999999999994" customHeight="1" x14ac:dyDescent="0.3">
      <c r="A89" s="100">
        <v>510</v>
      </c>
      <c r="B89" s="957" t="s">
        <v>2032</v>
      </c>
      <c r="C89" s="4" t="s">
        <v>720</v>
      </c>
      <c r="D89" s="26" t="s">
        <v>289</v>
      </c>
      <c r="E89" s="372" t="e">
        <f>INDEX('PY1 Data(H)'!$A$1:$CZ$265,MATCH('Unit Data from Audit Worksheet'!$A89,'PY1 Data(H)'!$A$1:$A$258,0),MATCH('Unit Data from Audit Worksheet'!$D$2,'PY1 Data(H)'!$A$1:$CZ$1,0))</f>
        <v>#N/A</v>
      </c>
      <c r="F89" s="807">
        <v>0</v>
      </c>
      <c r="G89" s="408"/>
      <c r="H89" s="17"/>
      <c r="I89"/>
      <c r="J89" s="72"/>
      <c r="K89"/>
      <c r="L89" s="549"/>
    </row>
    <row r="90" spans="1:12" ht="68.25" customHeight="1" x14ac:dyDescent="0.3">
      <c r="A90" s="191">
        <v>654</v>
      </c>
      <c r="B90" s="961" t="s">
        <v>2043</v>
      </c>
      <c r="C90" s="461" t="s">
        <v>720</v>
      </c>
      <c r="D90" s="216" t="s">
        <v>724</v>
      </c>
      <c r="E90" s="372" t="e">
        <f>INDEX('PY1 Data(H)'!$A$1:$CZ$265,MATCH('Unit Data from Audit Worksheet'!$A90,'PY1 Data(H)'!$A$1:$A$258,0),MATCH('Unit Data from Audit Worksheet'!$D$2,'PY1 Data(H)'!$A$1:$CZ$1,0))</f>
        <v>#N/A</v>
      </c>
      <c r="F90" s="807">
        <v>0</v>
      </c>
      <c r="G90" s="402">
        <f>IF((F86+F87+F89)&gt;F90,"Error: Please review components of current assets above.  Account numbers (80+81+510)&gt;654",)</f>
        <v>0</v>
      </c>
      <c r="H90" s="17"/>
      <c r="I90" s="72"/>
      <c r="J90" s="72"/>
      <c r="K90"/>
      <c r="L90" s="549"/>
    </row>
    <row r="91" spans="1:12" ht="75.75" customHeight="1" x14ac:dyDescent="0.3">
      <c r="A91" s="191">
        <v>655</v>
      </c>
      <c r="B91" s="961" t="s">
        <v>2043</v>
      </c>
      <c r="C91" s="461" t="s">
        <v>720</v>
      </c>
      <c r="D91" s="193" t="s">
        <v>446</v>
      </c>
      <c r="E91" s="372" t="e">
        <f>INDEX('PY1 Data(H)'!$A$1:$CZ$265,MATCH('Unit Data from Audit Worksheet'!$A91,'PY1 Data(H)'!$A$1:$A$258,0),MATCH('Unit Data from Audit Worksheet'!$D$2,'PY1 Data(H)'!$A$1:$CZ$1,0))</f>
        <v>#N/A</v>
      </c>
      <c r="F91" s="807">
        <v>0</v>
      </c>
      <c r="G91" s="408"/>
      <c r="H91" s="17"/>
      <c r="I91" s="72"/>
      <c r="J91" s="72"/>
      <c r="K91"/>
      <c r="L91" s="549"/>
    </row>
    <row r="92" spans="1:12" ht="81.599999999999994" customHeight="1" x14ac:dyDescent="0.3">
      <c r="A92" s="100">
        <v>381</v>
      </c>
      <c r="B92" s="4" t="s">
        <v>36</v>
      </c>
      <c r="C92" s="4" t="s">
        <v>720</v>
      </c>
      <c r="D92" s="98" t="s">
        <v>122</v>
      </c>
      <c r="E92" s="372" t="e">
        <f>INDEX('PY1 Data(H)'!$A$1:$CZ$265,MATCH('Unit Data from Audit Worksheet'!$A92,'PY1 Data(H)'!$A$1:$A$258,0),MATCH('Unit Data from Audit Worksheet'!$D$2,'PY1 Data(H)'!$A$1:$CZ$1,0))</f>
        <v>#N/A</v>
      </c>
      <c r="F92" s="807">
        <v>0</v>
      </c>
      <c r="G92" s="402">
        <f>IF(F90&gt;F92,"Error: Please review components of current assets above. Account numbers 654&gt;381",)</f>
        <v>0</v>
      </c>
      <c r="H92" s="17"/>
      <c r="I92" s="72"/>
      <c r="J92" s="72"/>
      <c r="K92"/>
      <c r="L92" s="549"/>
    </row>
    <row r="93" spans="1:12" ht="63" customHeight="1" x14ac:dyDescent="0.3">
      <c r="A93" s="100">
        <v>578</v>
      </c>
      <c r="B93" s="957" t="s">
        <v>2044</v>
      </c>
      <c r="C93" s="374" t="s">
        <v>720</v>
      </c>
      <c r="D93" s="460" t="s">
        <v>725</v>
      </c>
      <c r="E93" s="372" t="e">
        <f>INDEX('PY1 Data(H)'!$A$1:$CZ$265,MATCH('Unit Data from Audit Worksheet'!$A93,'PY1 Data(H)'!$A$1:$A$258,0),MATCH('Unit Data from Audit Worksheet'!$D$2,'PY1 Data(H)'!$A$1:$CZ$1,0))</f>
        <v>#N/A</v>
      </c>
      <c r="F93" s="807">
        <v>0</v>
      </c>
      <c r="G93" s="402"/>
      <c r="H93" s="403"/>
      <c r="I93" s="404"/>
      <c r="J93" s="404"/>
      <c r="K93"/>
      <c r="L93" s="549"/>
    </row>
    <row r="94" spans="1:12" ht="113.4" customHeight="1" x14ac:dyDescent="0.3">
      <c r="A94" s="192">
        <v>633</v>
      </c>
      <c r="B94" s="961" t="s">
        <v>2035</v>
      </c>
      <c r="C94" s="461" t="s">
        <v>363</v>
      </c>
      <c r="D94" s="216" t="s">
        <v>792</v>
      </c>
      <c r="E94" s="372" t="e">
        <f>INDEX('PY1 Data(H)'!$A$1:$CZ$265,MATCH('Unit Data from Audit Worksheet'!$A94,'PY1 Data(H)'!$A$1:$A$258,0),MATCH('Unit Data from Audit Worksheet'!$D$2,'PY1 Data(H)'!$A$1:$CZ$1,0))</f>
        <v>#N/A</v>
      </c>
      <c r="F94" s="807">
        <v>0</v>
      </c>
      <c r="G94" s="734" t="str">
        <f>IF(F94&gt;=(F95+F96+F97+F98+F99+F100),"","Account 633 is less than the total sum of accounts 634 through 638 + 383")</f>
        <v/>
      </c>
      <c r="H94" s="413"/>
      <c r="I94" s="407"/>
      <c r="J94" s="770"/>
      <c r="K94"/>
      <c r="L94" s="549"/>
    </row>
    <row r="95" spans="1:12" ht="101.4" customHeight="1" x14ac:dyDescent="0.3">
      <c r="A95" s="191">
        <v>634</v>
      </c>
      <c r="B95" s="959" t="s">
        <v>2036</v>
      </c>
      <c r="C95" s="461" t="s">
        <v>363</v>
      </c>
      <c r="D95" s="216" t="s">
        <v>794</v>
      </c>
      <c r="E95" s="372" t="e">
        <f>INDEX('PY1 Data(H)'!$A$1:$CZ$265,MATCH('Unit Data from Audit Worksheet'!$A95,'PY1 Data(H)'!$A$1:$A$258,0),MATCH('Unit Data from Audit Worksheet'!$D$2,'PY1 Data(H)'!$A$1:$CZ$1,0))</f>
        <v>#N/A</v>
      </c>
      <c r="F95" s="807">
        <v>0</v>
      </c>
      <c r="G95" s="735">
        <f>IF(F95&gt;F94,"Please review account numbers 634&gt;633",)</f>
        <v>0</v>
      </c>
      <c r="H95" s="407"/>
      <c r="I95" s="407"/>
      <c r="J95" s="770"/>
      <c r="K95"/>
      <c r="L95" s="549"/>
    </row>
    <row r="96" spans="1:12" ht="107.4" customHeight="1" x14ac:dyDescent="0.3">
      <c r="A96" s="191">
        <v>635</v>
      </c>
      <c r="B96" s="959" t="s">
        <v>2036</v>
      </c>
      <c r="C96" s="461" t="s">
        <v>363</v>
      </c>
      <c r="D96" s="216" t="s">
        <v>793</v>
      </c>
      <c r="E96" s="372" t="e">
        <f>INDEX('PY1 Data(H)'!$A$1:$CZ$265,MATCH('Unit Data from Audit Worksheet'!$A96,'PY1 Data(H)'!$A$1:$A$258,0),MATCH('Unit Data from Audit Worksheet'!$D$2,'PY1 Data(H)'!$A$1:$CZ$1,0))</f>
        <v>#N/A</v>
      </c>
      <c r="F96" s="807">
        <v>0</v>
      </c>
      <c r="G96" s="735">
        <f>IF(F96&gt;F94,"Please review account numbers 635&gt;633",)</f>
        <v>0</v>
      </c>
      <c r="H96" s="407"/>
      <c r="I96" s="407"/>
      <c r="J96" s="770"/>
      <c r="K96"/>
      <c r="L96" s="549"/>
    </row>
    <row r="97" spans="1:12" ht="106.5" customHeight="1" x14ac:dyDescent="0.3">
      <c r="A97" s="191">
        <v>636</v>
      </c>
      <c r="B97" s="959" t="s">
        <v>2036</v>
      </c>
      <c r="C97" s="461" t="s">
        <v>363</v>
      </c>
      <c r="D97" s="216" t="s">
        <v>798</v>
      </c>
      <c r="E97" s="372" t="e">
        <f>INDEX('PY1 Data(H)'!$A$1:$CZ$265,MATCH('Unit Data from Audit Worksheet'!$A97,'PY1 Data(H)'!$A$1:$A$258,0),MATCH('Unit Data from Audit Worksheet'!$D$2,'PY1 Data(H)'!$A$1:$CZ$1,0))</f>
        <v>#N/A</v>
      </c>
      <c r="F97" s="807">
        <v>0</v>
      </c>
      <c r="G97" s="735">
        <f>IF(F97&gt;F94,"Please review account numbers 636&gt;633",)</f>
        <v>0</v>
      </c>
      <c r="H97" s="407"/>
      <c r="I97" s="407"/>
      <c r="J97" s="770"/>
      <c r="K97"/>
      <c r="L97" s="549"/>
    </row>
    <row r="98" spans="1:12" ht="80.25" customHeight="1" x14ac:dyDescent="0.3">
      <c r="A98" s="191">
        <v>637</v>
      </c>
      <c r="B98" s="959" t="s">
        <v>2036</v>
      </c>
      <c r="C98" s="461" t="s">
        <v>363</v>
      </c>
      <c r="D98" s="216" t="s">
        <v>797</v>
      </c>
      <c r="E98" s="372" t="e">
        <f>INDEX('PY1 Data(H)'!$A$1:$CZ$265,MATCH('Unit Data from Audit Worksheet'!$A98,'PY1 Data(H)'!$A$1:$A$258,0),MATCH('Unit Data from Audit Worksheet'!$D$2,'PY1 Data(H)'!$A$1:$CZ$1,0))</f>
        <v>#N/A</v>
      </c>
      <c r="F98" s="807">
        <v>0</v>
      </c>
      <c r="G98" s="735">
        <f>IF(F98&gt;F94,"Please review account numbers 637&gt;633",)</f>
        <v>0</v>
      </c>
      <c r="H98" s="407"/>
      <c r="I98" s="407"/>
      <c r="J98" s="770"/>
      <c r="K98"/>
      <c r="L98" s="549"/>
    </row>
    <row r="99" spans="1:12" ht="106.2" customHeight="1" x14ac:dyDescent="0.3">
      <c r="A99" s="191">
        <v>638</v>
      </c>
      <c r="B99" s="959" t="s">
        <v>2036</v>
      </c>
      <c r="C99" s="461" t="s">
        <v>363</v>
      </c>
      <c r="D99" s="216" t="s">
        <v>796</v>
      </c>
      <c r="E99" s="372" t="e">
        <f>INDEX('PY1 Data(H)'!$A$1:$CZ$265,MATCH('Unit Data from Audit Worksheet'!$A99,'PY1 Data(H)'!$A$1:$A$258,0),MATCH('Unit Data from Audit Worksheet'!$D$2,'PY1 Data(H)'!$A$1:$CZ$1,0))</f>
        <v>#N/A</v>
      </c>
      <c r="F99" s="807">
        <v>0</v>
      </c>
      <c r="G99" s="735">
        <f>IF(F99&gt;F94,"Please review account numbers 638&gt;633",)</f>
        <v>0</v>
      </c>
      <c r="H99" s="407"/>
      <c r="I99" s="407"/>
      <c r="J99" s="770"/>
      <c r="K99"/>
      <c r="L99" s="549"/>
    </row>
    <row r="100" spans="1:12" ht="93.75" customHeight="1" x14ac:dyDescent="0.3">
      <c r="A100" s="100">
        <v>383</v>
      </c>
      <c r="B100" s="4" t="s">
        <v>61</v>
      </c>
      <c r="C100" s="4" t="s">
        <v>720</v>
      </c>
      <c r="D100" s="26" t="s">
        <v>795</v>
      </c>
      <c r="E100" s="372" t="e">
        <f>INDEX('PY1 Data(H)'!$A$1:$CZ$265,MATCH('Unit Data from Audit Worksheet'!$A100,'PY1 Data(H)'!$A$1:$A$258,0),MATCH('Unit Data from Audit Worksheet'!$D$2,'PY1 Data(H)'!$A$1:$CZ$1,0))</f>
        <v>#N/A</v>
      </c>
      <c r="F100" s="807">
        <v>0</v>
      </c>
      <c r="G100" s="736">
        <f>IF(F100&gt;F94,"Error: Please review account numbers 383&gt;633",)</f>
        <v>0</v>
      </c>
      <c r="H100" s="412"/>
      <c r="I100" s="72"/>
      <c r="J100" s="72"/>
      <c r="K100"/>
      <c r="L100" s="549"/>
    </row>
    <row r="101" spans="1:12" ht="61.5" customHeight="1" x14ac:dyDescent="0.3">
      <c r="A101" s="100">
        <v>349</v>
      </c>
      <c r="B101" s="4" t="s">
        <v>61</v>
      </c>
      <c r="C101" s="4" t="s">
        <v>720</v>
      </c>
      <c r="D101" s="99" t="s">
        <v>145</v>
      </c>
      <c r="E101" s="372" t="e">
        <f>INDEX('PY1 Data(H)'!$A$1:$CZ$265,MATCH('Unit Data from Audit Worksheet'!$A101,'PY1 Data(H)'!$A$1:$A$258,0),MATCH('Unit Data from Audit Worksheet'!$D$2,'PY1 Data(H)'!$A$1:$CZ$1,0))</f>
        <v>#N/A</v>
      </c>
      <c r="F101" s="807">
        <v>0</v>
      </c>
      <c r="G101" s="402" t="str">
        <f>IF(F94&gt;F101,"Error: Please review accts 633&gt;349","")</f>
        <v/>
      </c>
      <c r="H101" s="17"/>
      <c r="I101" s="72"/>
      <c r="J101" s="72"/>
      <c r="K101"/>
      <c r="L101" s="549"/>
    </row>
    <row r="102" spans="1:12" ht="72" customHeight="1" x14ac:dyDescent="0.3">
      <c r="A102" s="100">
        <v>375</v>
      </c>
      <c r="B102" s="4" t="s">
        <v>61</v>
      </c>
      <c r="C102" s="4" t="s">
        <v>720</v>
      </c>
      <c r="D102" s="384" t="s">
        <v>726</v>
      </c>
      <c r="E102" s="372" t="e">
        <f>INDEX('PY1 Data(H)'!$A$1:$CZ$265,MATCH('Unit Data from Audit Worksheet'!$A102,'PY1 Data(H)'!$A$1:$A$258,0),MATCH('Unit Data from Audit Worksheet'!$D$2,'PY1 Data(H)'!$A$1:$CZ$1,0))</f>
        <v>#N/A</v>
      </c>
      <c r="F102" s="807">
        <v>0</v>
      </c>
      <c r="G102" s="408"/>
      <c r="H102" s="17"/>
      <c r="I102" s="72"/>
      <c r="J102" s="72"/>
      <c r="K102"/>
      <c r="L102" s="549"/>
    </row>
    <row r="103" spans="1:12" ht="138" customHeight="1" x14ac:dyDescent="0.3">
      <c r="A103" s="100">
        <v>83</v>
      </c>
      <c r="B103" s="4" t="s">
        <v>60</v>
      </c>
      <c r="C103" s="4" t="s">
        <v>720</v>
      </c>
      <c r="D103" s="99" t="s">
        <v>146</v>
      </c>
      <c r="E103" s="372" t="e">
        <f>INDEX('PY1 Data(H)'!$A$1:$CZ$265,MATCH('Unit Data from Audit Worksheet'!$A103,'PY1 Data(H)'!$A$1:$A$258,0),MATCH('Unit Data from Audit Worksheet'!$D$2,'PY1 Data(H)'!$A$1:$CZ$1,0))</f>
        <v>#N/A</v>
      </c>
      <c r="F103" s="807">
        <v>0</v>
      </c>
      <c r="G103" s="402">
        <f>IF(F92-F101-F103=0,,"Error: Total assets less total liabilities do not equal total net assets.  Account numbers 381-349-83=0  The amount of the formula is in the cell to the right")</f>
        <v>0</v>
      </c>
      <c r="H103" s="405">
        <f>F92-F101-F103</f>
        <v>0</v>
      </c>
      <c r="I103" s="72"/>
      <c r="J103" s="72"/>
      <c r="K103"/>
      <c r="L103" s="549"/>
    </row>
    <row r="104" spans="1:12" ht="40.5" customHeight="1" x14ac:dyDescent="0.3">
      <c r="A104" s="100"/>
      <c r="B104" s="491" t="s">
        <v>147</v>
      </c>
      <c r="C104" s="501"/>
      <c r="D104" s="469"/>
      <c r="E104" s="487"/>
      <c r="F104" s="487"/>
      <c r="G104" s="488"/>
      <c r="H104" s="410"/>
      <c r="I104" s="72"/>
      <c r="J104" s="72"/>
      <c r="K104"/>
      <c r="L104" s="549"/>
    </row>
    <row r="105" spans="1:12" ht="59.25" customHeight="1" x14ac:dyDescent="0.3">
      <c r="A105" s="100">
        <v>90</v>
      </c>
      <c r="B105" s="957" t="s">
        <v>2039</v>
      </c>
      <c r="C105" s="4" t="s">
        <v>727</v>
      </c>
      <c r="D105" s="21" t="s">
        <v>728</v>
      </c>
      <c r="E105" s="372" t="e">
        <f>INDEX('PY1 Data(H)'!$A$1:$CZ$265,MATCH('Unit Data from Audit Worksheet'!$A105,'PY1 Data(H)'!$A$1:$A$258,0),MATCH('Unit Data from Audit Worksheet'!$D$2,'PY1 Data(H)'!$A$1:$CZ$1,0))</f>
        <v>#N/A</v>
      </c>
      <c r="F105" s="807">
        <v>0</v>
      </c>
      <c r="G105" s="402">
        <f>IF(F105&lt;0,"Note: Number is normally positive.",)</f>
        <v>0</v>
      </c>
      <c r="H105" s="405"/>
      <c r="I105" s="72"/>
      <c r="J105" s="72"/>
      <c r="K105"/>
      <c r="L105" s="549"/>
    </row>
    <row r="106" spans="1:12" ht="75" customHeight="1" x14ac:dyDescent="0.3">
      <c r="A106" s="100">
        <v>91</v>
      </c>
      <c r="B106" s="4" t="s">
        <v>57</v>
      </c>
      <c r="C106" s="4" t="s">
        <v>727</v>
      </c>
      <c r="D106" s="21" t="s">
        <v>729</v>
      </c>
      <c r="E106" s="372" t="e">
        <f>INDEX('PY1 Data(H)'!$A$1:$CZ$265,MATCH('Unit Data from Audit Worksheet'!$A106,'PY1 Data(H)'!$A$1:$A$258,0),MATCH('Unit Data from Audit Worksheet'!$D$2,'PY1 Data(H)'!$A$1:$CZ$1,0))</f>
        <v>#N/A</v>
      </c>
      <c r="F106" s="807">
        <v>0</v>
      </c>
      <c r="G106" s="402">
        <f>IF(F106&lt;0,"Note: Number is normally positive.",)</f>
        <v>0</v>
      </c>
      <c r="H106" s="403"/>
      <c r="I106" s="72"/>
      <c r="J106" s="72"/>
      <c r="K106"/>
      <c r="L106" s="549"/>
    </row>
    <row r="107" spans="1:12" ht="66.75" customHeight="1" x14ac:dyDescent="0.3">
      <c r="A107" s="100">
        <v>581</v>
      </c>
      <c r="B107" s="957" t="s">
        <v>2034</v>
      </c>
      <c r="C107" s="374" t="s">
        <v>727</v>
      </c>
      <c r="D107" s="460" t="s">
        <v>730</v>
      </c>
      <c r="E107" s="372" t="e">
        <f>INDEX('PY1 Data(H)'!$A$1:$CZ$265,MATCH('Unit Data from Audit Worksheet'!$A107,'PY1 Data(H)'!$A$1:$A$258,0),MATCH('Unit Data from Audit Worksheet'!$D$2,'PY1 Data(H)'!$A$1:$CZ$1,0))</f>
        <v>#N/A</v>
      </c>
      <c r="F107" s="807">
        <v>0</v>
      </c>
      <c r="G107" s="402"/>
      <c r="H107" s="403"/>
      <c r="I107" s="72"/>
      <c r="J107" s="72"/>
      <c r="K107"/>
      <c r="L107" s="549"/>
    </row>
    <row r="108" spans="1:12" ht="67.5" customHeight="1" x14ac:dyDescent="0.3">
      <c r="A108" s="100">
        <v>511</v>
      </c>
      <c r="B108" s="957" t="s">
        <v>2034</v>
      </c>
      <c r="C108" s="4" t="s">
        <v>727</v>
      </c>
      <c r="D108" s="22" t="s">
        <v>148</v>
      </c>
      <c r="E108" s="372" t="e">
        <f>INDEX('PY1 Data(H)'!$A$1:$CZ$265,MATCH('Unit Data from Audit Worksheet'!$A108,'PY1 Data(H)'!$A$1:$A$258,0),MATCH('Unit Data from Audit Worksheet'!$D$2,'PY1 Data(H)'!$A$1:$CZ$1,0))</f>
        <v>#N/A</v>
      </c>
      <c r="F108" s="807">
        <v>0</v>
      </c>
      <c r="G108" s="402">
        <f>IF(F108&lt;0,"Note: Number is normally positive.",)</f>
        <v>0</v>
      </c>
      <c r="H108" s="403"/>
      <c r="I108" s="72"/>
      <c r="J108" s="72"/>
      <c r="K108"/>
      <c r="L108" s="549"/>
    </row>
    <row r="109" spans="1:12" ht="72" customHeight="1" x14ac:dyDescent="0.3">
      <c r="A109" s="191">
        <v>657</v>
      </c>
      <c r="B109" s="957" t="s">
        <v>2034</v>
      </c>
      <c r="C109" s="461" t="s">
        <v>727</v>
      </c>
      <c r="D109" s="216" t="s">
        <v>731</v>
      </c>
      <c r="E109" s="372" t="e">
        <f>INDEX('PY1 Data(H)'!$A$1:$CZ$265,MATCH('Unit Data from Audit Worksheet'!$A109,'PY1 Data(H)'!$A$1:$A$258,0),MATCH('Unit Data from Audit Worksheet'!$D$2,'PY1 Data(H)'!$A$1:$CZ$1,0))</f>
        <v>#N/A</v>
      </c>
      <c r="F109" s="807">
        <v>0</v>
      </c>
      <c r="G109" s="736">
        <f>IF((F105+F106+F108)&gt;F109,"Error: Please review components of current assets above.  Account numbers (90+91+511)&gt;657",)</f>
        <v>0</v>
      </c>
      <c r="H109" s="403"/>
      <c r="I109" s="72"/>
      <c r="J109" s="72"/>
      <c r="K109"/>
      <c r="L109" s="549"/>
    </row>
    <row r="110" spans="1:12" ht="70.5" customHeight="1" x14ac:dyDescent="0.3">
      <c r="A110" s="191">
        <v>658</v>
      </c>
      <c r="B110" s="957" t="s">
        <v>2034</v>
      </c>
      <c r="C110" s="461" t="s">
        <v>727</v>
      </c>
      <c r="D110" s="193" t="s">
        <v>447</v>
      </c>
      <c r="E110" s="372" t="e">
        <f>INDEX('PY1 Data(H)'!$A$1:$CZ$265,MATCH('Unit Data from Audit Worksheet'!$A110,'PY1 Data(H)'!$A$1:$A$258,0),MATCH('Unit Data from Audit Worksheet'!$D$2,'PY1 Data(H)'!$A$1:$CZ$1,0))</f>
        <v>#N/A</v>
      </c>
      <c r="F110" s="807">
        <v>0</v>
      </c>
      <c r="G110" s="402"/>
      <c r="H110" s="403"/>
      <c r="I110" s="72"/>
      <c r="J110" s="72"/>
      <c r="K110"/>
      <c r="L110" s="549"/>
    </row>
    <row r="111" spans="1:12" ht="138" customHeight="1" x14ac:dyDescent="0.3">
      <c r="A111" s="100">
        <v>382</v>
      </c>
      <c r="B111" s="4" t="s">
        <v>59</v>
      </c>
      <c r="C111" s="4" t="s">
        <v>727</v>
      </c>
      <c r="D111" s="98" t="s">
        <v>122</v>
      </c>
      <c r="E111" s="372" t="e">
        <f>INDEX('PY1 Data(H)'!$A$1:$CZ$265,MATCH('Unit Data from Audit Worksheet'!$A111,'PY1 Data(H)'!$A$1:$A$258,0),MATCH('Unit Data from Audit Worksheet'!$D$2,'PY1 Data(H)'!$A$1:$CZ$1,0))</f>
        <v>#N/A</v>
      </c>
      <c r="F111" s="807">
        <v>0</v>
      </c>
      <c r="G111" s="736">
        <f>IF(F109&gt;F111,"Error: Please review components of current assets above. Account numbers 657&gt;382",)</f>
        <v>0</v>
      </c>
      <c r="H111" s="403"/>
      <c r="I111" s="72"/>
      <c r="J111" s="72"/>
      <c r="K111"/>
      <c r="L111" s="549"/>
    </row>
    <row r="112" spans="1:12" ht="57.75" customHeight="1" x14ac:dyDescent="0.3">
      <c r="A112" s="100">
        <v>360</v>
      </c>
      <c r="B112" s="4" t="s">
        <v>55</v>
      </c>
      <c r="C112" s="4" t="s">
        <v>727</v>
      </c>
      <c r="D112" s="99" t="s">
        <v>149</v>
      </c>
      <c r="E112" s="372" t="e">
        <f>INDEX('PY1 Data(H)'!$A$1:$CZ$265,MATCH('Unit Data from Audit Worksheet'!$A112,'PY1 Data(H)'!$A$1:$A$258,0),MATCH('Unit Data from Audit Worksheet'!$D$2,'PY1 Data(H)'!$A$1:$CZ$1,0))</f>
        <v>#N/A</v>
      </c>
      <c r="F112" s="807">
        <v>0</v>
      </c>
      <c r="G112" s="734"/>
      <c r="H112" s="403"/>
      <c r="I112" s="72"/>
      <c r="J112" s="72"/>
      <c r="K112"/>
      <c r="L112" s="549"/>
    </row>
    <row r="113" spans="1:123" ht="62.25" customHeight="1" x14ac:dyDescent="0.3">
      <c r="A113" s="100">
        <v>580</v>
      </c>
      <c r="B113" s="957" t="s">
        <v>2034</v>
      </c>
      <c r="C113" s="374" t="s">
        <v>727</v>
      </c>
      <c r="D113" s="460" t="s">
        <v>732</v>
      </c>
      <c r="E113" s="372" t="e">
        <f>INDEX('PY1 Data(H)'!$A$1:$CZ$265,MATCH('Unit Data from Audit Worksheet'!$A113,'PY1 Data(H)'!$A$1:$A$258,0),MATCH('Unit Data from Audit Worksheet'!$D$2,'PY1 Data(H)'!$A$1:$CZ$1,0))</f>
        <v>#N/A</v>
      </c>
      <c r="F113" s="807">
        <v>0</v>
      </c>
      <c r="G113" s="734"/>
      <c r="H113" s="403"/>
      <c r="I113" s="72"/>
      <c r="J113" s="72"/>
      <c r="K113"/>
      <c r="L113" s="549"/>
    </row>
    <row r="114" spans="1:123" ht="114" customHeight="1" x14ac:dyDescent="0.3">
      <c r="A114" s="192">
        <v>639</v>
      </c>
      <c r="B114" s="961" t="s">
        <v>2035</v>
      </c>
      <c r="C114" s="461" t="s">
        <v>727</v>
      </c>
      <c r="D114" s="216" t="s">
        <v>799</v>
      </c>
      <c r="E114" s="372" t="e">
        <f>INDEX('PY1 Data(H)'!$A$1:$CZ$265,MATCH('Unit Data from Audit Worksheet'!$A114,'PY1 Data(H)'!$A$1:$A$258,0),MATCH('Unit Data from Audit Worksheet'!$D$2,'PY1 Data(H)'!$A$1:$CZ$1,0))</f>
        <v>#N/A</v>
      </c>
      <c r="F114" s="807">
        <v>0</v>
      </c>
      <c r="G114" s="734" t="str">
        <f>IF(F114&gt;=(F115+F116+F117+F118+F119+F120),"","Account 639 is less than the total sum of accounts 640 through 644 + 384")</f>
        <v/>
      </c>
      <c r="H114" s="413"/>
      <c r="I114" s="407"/>
      <c r="J114" s="770"/>
      <c r="K114"/>
      <c r="L114" s="549"/>
    </row>
    <row r="115" spans="1:123" ht="111.6" customHeight="1" x14ac:dyDescent="0.3">
      <c r="A115" s="191">
        <v>640</v>
      </c>
      <c r="B115" s="959" t="s">
        <v>2036</v>
      </c>
      <c r="C115" s="461" t="s">
        <v>727</v>
      </c>
      <c r="D115" s="216" t="s">
        <v>800</v>
      </c>
      <c r="E115" s="372" t="e">
        <f>INDEX('PY1 Data(H)'!$A$1:$CZ$265,MATCH('Unit Data from Audit Worksheet'!$A115,'PY1 Data(H)'!$A$1:$A$258,0),MATCH('Unit Data from Audit Worksheet'!$D$2,'PY1 Data(H)'!$A$1:$CZ$1,0))</f>
        <v>#N/A</v>
      </c>
      <c r="F115" s="807">
        <v>0</v>
      </c>
      <c r="G115" s="736">
        <f>IF(F115&gt;F114,"Error: Please review components of current liabilities above. Account numbers 640&gt;639",)</f>
        <v>0</v>
      </c>
      <c r="H115" s="407"/>
      <c r="I115" s="413"/>
      <c r="J115" s="771"/>
      <c r="K115"/>
      <c r="L115" s="549"/>
    </row>
    <row r="116" spans="1:123" ht="121.2" customHeight="1" x14ac:dyDescent="0.3">
      <c r="A116" s="191">
        <v>641</v>
      </c>
      <c r="B116" s="959" t="s">
        <v>2036</v>
      </c>
      <c r="C116" s="461" t="s">
        <v>727</v>
      </c>
      <c r="D116" s="216" t="s">
        <v>801</v>
      </c>
      <c r="E116" s="372" t="e">
        <f>INDEX('PY1 Data(H)'!$A$1:$CZ$265,MATCH('Unit Data from Audit Worksheet'!$A116,'PY1 Data(H)'!$A$1:$A$258,0),MATCH('Unit Data from Audit Worksheet'!$D$2,'PY1 Data(H)'!$A$1:$CZ$1,0))</f>
        <v>#N/A</v>
      </c>
      <c r="F116" s="807">
        <v>0</v>
      </c>
      <c r="G116" s="736">
        <f>IF(F116&gt;F114,"Error: Please review components of current liabilities above. Account numbers 641&gt;639",)</f>
        <v>0</v>
      </c>
      <c r="H116" s="407"/>
      <c r="I116" s="407"/>
      <c r="J116" s="770"/>
      <c r="K116"/>
      <c r="L116" s="549"/>
    </row>
    <row r="117" spans="1:123" ht="110.4" customHeight="1" x14ac:dyDescent="0.3">
      <c r="A117" s="191">
        <v>642</v>
      </c>
      <c r="B117" s="959" t="s">
        <v>2036</v>
      </c>
      <c r="C117" s="461" t="s">
        <v>727</v>
      </c>
      <c r="D117" s="216" t="s">
        <v>802</v>
      </c>
      <c r="E117" s="372" t="e">
        <f>INDEX('PY1 Data(H)'!$A$1:$CZ$265,MATCH('Unit Data from Audit Worksheet'!$A117,'PY1 Data(H)'!$A$1:$A$258,0),MATCH('Unit Data from Audit Worksheet'!$D$2,'PY1 Data(H)'!$A$1:$CZ$1,0))</f>
        <v>#N/A</v>
      </c>
      <c r="F117" s="807">
        <v>0</v>
      </c>
      <c r="G117" s="736">
        <f>IF(F117&gt;F114,"Error: Please review components of current liabilities above. Account numbers  642&gt;639",)</f>
        <v>0</v>
      </c>
      <c r="H117" s="407"/>
      <c r="I117" s="407"/>
      <c r="J117" s="770"/>
      <c r="K117"/>
      <c r="L117" s="549"/>
    </row>
    <row r="118" spans="1:123" ht="79.95" customHeight="1" x14ac:dyDescent="0.3">
      <c r="A118" s="191">
        <v>643</v>
      </c>
      <c r="B118" s="959" t="s">
        <v>2036</v>
      </c>
      <c r="C118" s="461" t="s">
        <v>727</v>
      </c>
      <c r="D118" s="216" t="s">
        <v>803</v>
      </c>
      <c r="E118" s="372" t="e">
        <f>INDEX('PY1 Data(H)'!$A$1:$CZ$265,MATCH('Unit Data from Audit Worksheet'!$A118,'PY1 Data(H)'!$A$1:$A$258,0),MATCH('Unit Data from Audit Worksheet'!$D$2,'PY1 Data(H)'!$A$1:$CZ$1,0))</f>
        <v>#N/A</v>
      </c>
      <c r="F118" s="807">
        <v>0</v>
      </c>
      <c r="G118" s="736">
        <f>IF(F118&gt;F114,"Error: Please review components of current liabilities above. Account numbers 643&gt;639",)</f>
        <v>0</v>
      </c>
      <c r="H118" s="407"/>
      <c r="I118" s="407"/>
      <c r="J118" s="770"/>
      <c r="K118"/>
      <c r="L118" s="549"/>
    </row>
    <row r="119" spans="1:123" ht="105" customHeight="1" x14ac:dyDescent="0.3">
      <c r="A119" s="191">
        <v>644</v>
      </c>
      <c r="B119" s="959" t="s">
        <v>2036</v>
      </c>
      <c r="C119" s="461" t="s">
        <v>727</v>
      </c>
      <c r="D119" s="216" t="s">
        <v>804</v>
      </c>
      <c r="E119" s="372" t="e">
        <f>INDEX('PY1 Data(H)'!$A$1:$CZ$265,MATCH('Unit Data from Audit Worksheet'!$A119,'PY1 Data(H)'!$A$1:$A$258,0),MATCH('Unit Data from Audit Worksheet'!$D$2,'PY1 Data(H)'!$A$1:$CZ$1,0))</f>
        <v>#N/A</v>
      </c>
      <c r="F119" s="807">
        <v>0</v>
      </c>
      <c r="G119" s="736">
        <f>IF(F119&gt;F114,"Error: Please review components of current liabilities above. Account number 644&gt;639",)</f>
        <v>0</v>
      </c>
      <c r="H119" s="407"/>
      <c r="I119" s="407"/>
      <c r="J119" s="770"/>
      <c r="K119"/>
      <c r="L119" s="549"/>
    </row>
    <row r="120" spans="1:123" ht="88.95" customHeight="1" x14ac:dyDescent="0.3">
      <c r="A120" s="100">
        <v>384</v>
      </c>
      <c r="B120" s="4" t="s">
        <v>62</v>
      </c>
      <c r="C120" s="4" t="s">
        <v>727</v>
      </c>
      <c r="D120" s="26" t="s">
        <v>805</v>
      </c>
      <c r="E120" s="372" t="e">
        <f>INDEX('PY1 Data(H)'!$A$1:$CZ$265,MATCH('Unit Data from Audit Worksheet'!$A120,'PY1 Data(H)'!$A$1:$A$258,0),MATCH('Unit Data from Audit Worksheet'!$D$2,'PY1 Data(H)'!$A$1:$CZ$1,0))</f>
        <v>#N/A</v>
      </c>
      <c r="F120" s="807">
        <v>0</v>
      </c>
      <c r="G120" s="736">
        <f>IF(F120&gt;F114,"Error: Please review components of current liabilities above. Account number 384&gt;639",)</f>
        <v>0</v>
      </c>
      <c r="H120" s="343"/>
      <c r="I120" s="72"/>
      <c r="J120" s="72"/>
      <c r="K120"/>
      <c r="L120" s="549"/>
    </row>
    <row r="121" spans="1:123" ht="92.4" customHeight="1" x14ac:dyDescent="0.3">
      <c r="A121" s="100">
        <v>361</v>
      </c>
      <c r="B121" s="4" t="s">
        <v>55</v>
      </c>
      <c r="C121" s="4" t="s">
        <v>727</v>
      </c>
      <c r="D121" s="384" t="s">
        <v>733</v>
      </c>
      <c r="E121" s="372" t="e">
        <f>INDEX('PY1 Data(H)'!$A$1:$CZ$265,MATCH('Unit Data from Audit Worksheet'!$A121,'PY1 Data(H)'!$A$1:$A$258,0),MATCH('Unit Data from Audit Worksheet'!$D$2,'PY1 Data(H)'!$A$1:$CZ$1,0))</f>
        <v>#N/A</v>
      </c>
      <c r="F121" s="807">
        <v>0</v>
      </c>
      <c r="G121" s="408"/>
      <c r="H121" s="403"/>
      <c r="I121" s="72"/>
      <c r="J121" s="72"/>
      <c r="K121"/>
      <c r="L121" s="549"/>
    </row>
    <row r="122" spans="1:123" ht="54" customHeight="1" x14ac:dyDescent="0.3">
      <c r="A122" s="100">
        <v>362</v>
      </c>
      <c r="B122" s="4" t="s">
        <v>55</v>
      </c>
      <c r="C122" s="4" t="s">
        <v>727</v>
      </c>
      <c r="D122" s="99" t="s">
        <v>150</v>
      </c>
      <c r="E122" s="372" t="e">
        <f>INDEX('PY1 Data(H)'!$A$1:$CZ$265,MATCH('Unit Data from Audit Worksheet'!$A122,'PY1 Data(H)'!$A$1:$A$258,0),MATCH('Unit Data from Audit Worksheet'!$D$2,'PY1 Data(H)'!$A$1:$CZ$1,0))</f>
        <v>#N/A</v>
      </c>
      <c r="F122" s="807">
        <v>0</v>
      </c>
      <c r="G122" s="402">
        <f>IF(H122=0,,"Error: Total assets less total liabilities do not equal total net position. Account numbers 382-360-362=0  The amount of the formula is in the cell to the right")</f>
        <v>0</v>
      </c>
      <c r="H122" s="405">
        <f>F111-F112-F122</f>
        <v>0</v>
      </c>
      <c r="I122" s="72"/>
      <c r="J122" s="72"/>
      <c r="K122"/>
      <c r="L122" s="549"/>
    </row>
    <row r="123" spans="1:123" ht="26.25" customHeight="1" x14ac:dyDescent="0.3">
      <c r="A123" s="100"/>
      <c r="B123" s="480" t="s">
        <v>174</v>
      </c>
      <c r="C123" s="481"/>
      <c r="D123" s="493"/>
      <c r="E123" s="479"/>
      <c r="F123" s="479"/>
      <c r="G123" s="479"/>
      <c r="H123" s="17"/>
      <c r="I123" s="72"/>
      <c r="J123" s="72"/>
      <c r="K123"/>
      <c r="L123" s="549"/>
    </row>
    <row r="124" spans="1:123" s="18" customFormat="1" ht="84.6" customHeight="1" x14ac:dyDescent="0.3">
      <c r="A124" s="100"/>
      <c r="B124" s="1076" t="s">
        <v>813</v>
      </c>
      <c r="C124" s="1076"/>
      <c r="D124" s="1076"/>
      <c r="E124" s="488"/>
      <c r="F124" s="488"/>
      <c r="G124" s="488"/>
      <c r="H124" s="17"/>
      <c r="I124" s="72"/>
      <c r="J124" s="72"/>
      <c r="K124"/>
      <c r="L124" s="549"/>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734</v>
      </c>
      <c r="D125" s="21" t="s">
        <v>735</v>
      </c>
      <c r="E125" s="372" t="e">
        <f>INDEX('PY1 Data(H)'!$A$1:$CZ$265,MATCH('Unit Data from Audit Worksheet'!$A125,'PY1 Data(H)'!$A$1:$A$258,0),MATCH('Unit Data from Audit Worksheet'!$D$2,'PY1 Data(H)'!$A$1:$CZ$1,0))</f>
        <v>#N/A</v>
      </c>
      <c r="F125" s="807">
        <v>0</v>
      </c>
      <c r="G125" s="408"/>
      <c r="H125" s="17"/>
      <c r="I125" s="72"/>
      <c r="J125" s="72"/>
      <c r="K125"/>
      <c r="L125" s="549"/>
    </row>
    <row r="126" spans="1:123" ht="81" customHeight="1" x14ac:dyDescent="0.3">
      <c r="A126" s="100">
        <v>84</v>
      </c>
      <c r="B126" s="957" t="s">
        <v>2032</v>
      </c>
      <c r="C126" s="4" t="s">
        <v>734</v>
      </c>
      <c r="D126" s="26" t="s">
        <v>151</v>
      </c>
      <c r="E126" s="372" t="e">
        <f>INDEX('PY1 Data(H)'!$A$1:$CZ$265,MATCH('Unit Data from Audit Worksheet'!$A126,'PY1 Data(H)'!$A$1:$A$258,0),MATCH('Unit Data from Audit Worksheet'!$D$2,'PY1 Data(H)'!$A$1:$CZ$1,0))</f>
        <v>#N/A</v>
      </c>
      <c r="F126" s="807">
        <v>0</v>
      </c>
      <c r="G126" s="402">
        <f>IF(F126&gt;=F125,,"Error: Charges for services exceed total operating revenues. Account numbers 88&gt;84")</f>
        <v>0</v>
      </c>
      <c r="H126" s="17"/>
      <c r="I126" s="72"/>
      <c r="J126" s="72"/>
      <c r="K126"/>
      <c r="L126" s="549"/>
    </row>
    <row r="127" spans="1:123" ht="78" customHeight="1" x14ac:dyDescent="0.3">
      <c r="A127" s="100">
        <v>49</v>
      </c>
      <c r="B127" s="957" t="s">
        <v>2032</v>
      </c>
      <c r="C127" s="4" t="s">
        <v>734</v>
      </c>
      <c r="D127" s="26" t="s">
        <v>152</v>
      </c>
      <c r="E127" s="372" t="e">
        <f>INDEX('PY1 Data(H)'!$A$1:$CZ$265,MATCH('Unit Data from Audit Worksheet'!$A127,'PY1 Data(H)'!$A$1:$A$258,0),MATCH('Unit Data from Audit Worksheet'!$D$2,'PY1 Data(H)'!$A$1:$CZ$1,0))</f>
        <v>#N/A</v>
      </c>
      <c r="F127" s="807">
        <v>0</v>
      </c>
      <c r="G127" s="402">
        <f>IF(F127&lt;0,"Error: Enter as positive.",)</f>
        <v>0</v>
      </c>
      <c r="H127" s="17"/>
      <c r="I127" s="72"/>
      <c r="J127" s="72"/>
      <c r="K127"/>
      <c r="L127" s="549"/>
    </row>
    <row r="128" spans="1:123" ht="87.6" customHeight="1" x14ac:dyDescent="0.3">
      <c r="A128" s="100">
        <v>85</v>
      </c>
      <c r="B128" s="957" t="s">
        <v>2032</v>
      </c>
      <c r="C128" s="4" t="s">
        <v>734</v>
      </c>
      <c r="D128" s="26" t="s">
        <v>153</v>
      </c>
      <c r="E128" s="372" t="e">
        <f>INDEX('PY1 Data(H)'!$A$1:$CZ$265,MATCH('Unit Data from Audit Worksheet'!$A128,'PY1 Data(H)'!$A$1:$A$258,0),MATCH('Unit Data from Audit Worksheet'!$D$2,'PY1 Data(H)'!$A$1:$CZ$1,0))</f>
        <v>#N/A</v>
      </c>
      <c r="F128" s="807">
        <v>0</v>
      </c>
      <c r="G128" s="402">
        <f>IF(F128&lt;0,"Error: Enter as positive.",)</f>
        <v>0</v>
      </c>
      <c r="H128" s="17"/>
      <c r="I128" s="72"/>
      <c r="J128" s="72"/>
      <c r="K128"/>
      <c r="L128" s="549"/>
    </row>
    <row r="129" spans="1:123" ht="75.599999999999994" customHeight="1" x14ac:dyDescent="0.3">
      <c r="A129" s="100">
        <v>89</v>
      </c>
      <c r="B129" s="957" t="s">
        <v>2032</v>
      </c>
      <c r="C129" s="4" t="s">
        <v>734</v>
      </c>
      <c r="D129" s="26" t="s">
        <v>154</v>
      </c>
      <c r="E129" s="372" t="e">
        <f>INDEX('PY1 Data(H)'!$A$1:$CZ$265,MATCH('Unit Data from Audit Worksheet'!$A129,'PY1 Data(H)'!$A$1:$A$258,0),MATCH('Unit Data from Audit Worksheet'!$D$2,'PY1 Data(H)'!$A$1:$CZ$1,0))</f>
        <v>#N/A</v>
      </c>
      <c r="F129" s="807">
        <v>0</v>
      </c>
      <c r="G129" s="402">
        <f>IF(F129&lt;0,"Error: Enter as positive.",)</f>
        <v>0</v>
      </c>
      <c r="H129" s="403"/>
      <c r="I129" s="72"/>
      <c r="J129" s="72"/>
      <c r="K129"/>
      <c r="L129" s="549"/>
    </row>
    <row r="130" spans="1:123" ht="79.2" customHeight="1" x14ac:dyDescent="0.3">
      <c r="A130" s="100">
        <v>350</v>
      </c>
      <c r="B130" s="4" t="s">
        <v>55</v>
      </c>
      <c r="C130" s="4" t="s">
        <v>734</v>
      </c>
      <c r="D130" s="21" t="s">
        <v>736</v>
      </c>
      <c r="E130" s="372" t="e">
        <f>INDEX('PY1 Data(H)'!$A$1:$CZ$265,MATCH('Unit Data from Audit Worksheet'!$A130,'PY1 Data(H)'!$A$1:$A$258,0),MATCH('Unit Data from Audit Worksheet'!$D$2,'PY1 Data(H)'!$A$1:$CZ$1,0))</f>
        <v>#N/A</v>
      </c>
      <c r="F130" s="807">
        <v>0</v>
      </c>
      <c r="G130" s="408"/>
      <c r="H130" s="403"/>
      <c r="I130" s="72"/>
      <c r="J130" s="72"/>
      <c r="K130"/>
      <c r="L130" s="549"/>
    </row>
    <row r="131" spans="1:123" ht="66" customHeight="1" x14ac:dyDescent="0.3">
      <c r="A131" s="100">
        <v>351</v>
      </c>
      <c r="B131" s="957" t="s">
        <v>2032</v>
      </c>
      <c r="C131" s="4" t="s">
        <v>734</v>
      </c>
      <c r="D131" s="21" t="s">
        <v>737</v>
      </c>
      <c r="E131" s="372" t="e">
        <f>INDEX('PY1 Data(H)'!$A$1:$CZ$265,MATCH('Unit Data from Audit Worksheet'!$A131,'PY1 Data(H)'!$A$1:$A$258,0),MATCH('Unit Data from Audit Worksheet'!$D$2,'PY1 Data(H)'!$A$1:$CZ$1,0))</f>
        <v>#N/A</v>
      </c>
      <c r="F131" s="807">
        <v>0</v>
      </c>
      <c r="G131" s="402">
        <f t="shared" ref="G131:G136" si="2">IF(F131&lt;0,"Error: Enter as positive.",)</f>
        <v>0</v>
      </c>
      <c r="H131" s="403"/>
      <c r="I131" s="72"/>
      <c r="J131" s="72"/>
      <c r="K131"/>
      <c r="L131" s="549"/>
    </row>
    <row r="132" spans="1:123" ht="93.75" customHeight="1" x14ac:dyDescent="0.3">
      <c r="A132" s="100">
        <v>191</v>
      </c>
      <c r="B132" s="4" t="s">
        <v>56</v>
      </c>
      <c r="C132" s="4" t="s">
        <v>734</v>
      </c>
      <c r="D132" s="21" t="s">
        <v>738</v>
      </c>
      <c r="E132" s="372" t="e">
        <f>INDEX('PY1 Data(H)'!$A$1:$CZ$265,MATCH('Unit Data from Audit Worksheet'!$A132,'PY1 Data(H)'!$A$1:$A$258,0),MATCH('Unit Data from Audit Worksheet'!$D$2,'PY1 Data(H)'!$A$1:$CZ$1,0))</f>
        <v>#N/A</v>
      </c>
      <c r="F132" s="807">
        <v>0</v>
      </c>
      <c r="G132" s="402">
        <f t="shared" si="2"/>
        <v>0</v>
      </c>
      <c r="H132" s="403"/>
      <c r="I132" s="72"/>
      <c r="J132" s="72"/>
      <c r="K132"/>
      <c r="L132" s="549"/>
    </row>
    <row r="133" spans="1:123" ht="81.599999999999994" customHeight="1" x14ac:dyDescent="0.3">
      <c r="A133" s="100">
        <v>1053</v>
      </c>
      <c r="B133" s="791" t="s">
        <v>587</v>
      </c>
      <c r="C133" s="791" t="s">
        <v>1532</v>
      </c>
      <c r="D133" s="792" t="s">
        <v>1570</v>
      </c>
      <c r="E133" s="372" t="e">
        <f>INDEX('PY1 Data(H)'!$A$1:$CZ$265,MATCH('Unit Data from Audit Worksheet'!$A133,'PY1 Data(H)'!$A$1:$A$258,0),MATCH('Unit Data from Audit Worksheet'!$D$2,'PY1 Data(H)'!$A$1:$CZ$1,0))</f>
        <v>#N/A</v>
      </c>
      <c r="F133" s="807">
        <v>0</v>
      </c>
      <c r="G133" s="402"/>
      <c r="H133" s="403"/>
      <c r="I133" s="72"/>
      <c r="J133" s="72"/>
      <c r="K133" s="180"/>
      <c r="L133" s="549"/>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734</v>
      </c>
      <c r="D134" s="26" t="s">
        <v>660</v>
      </c>
      <c r="E134" s="372" t="e">
        <f>INDEX('PY1 Data(H)'!$A$1:$CZ$265,MATCH('Unit Data from Audit Worksheet'!$A134,'PY1 Data(H)'!$A$1:$A$258,0),MATCH('Unit Data from Audit Worksheet'!$D$2,'PY1 Data(H)'!$A$1:$CZ$1,0))</f>
        <v>#N/A</v>
      </c>
      <c r="F134" s="807">
        <v>0</v>
      </c>
      <c r="G134" s="402">
        <f t="shared" si="2"/>
        <v>0</v>
      </c>
      <c r="H134" s="18"/>
      <c r="I134" s="17"/>
      <c r="J134" s="17"/>
      <c r="K134"/>
      <c r="L134" s="549"/>
    </row>
    <row r="135" spans="1:123" ht="79.95" customHeight="1" x14ac:dyDescent="0.3">
      <c r="A135" s="100">
        <v>986</v>
      </c>
      <c r="B135" s="957" t="s">
        <v>2033</v>
      </c>
      <c r="C135" s="374" t="s">
        <v>734</v>
      </c>
      <c r="D135" s="26" t="s">
        <v>594</v>
      </c>
      <c r="E135" s="372" t="e">
        <f>INDEX('PY1 Data(H)'!$A$1:$CZ$265,MATCH('Unit Data from Audit Worksheet'!$A135,'PY1 Data(H)'!$A$1:$A$258,0),MATCH('Unit Data from Audit Worksheet'!$D$2,'PY1 Data(H)'!$A$1:$CZ$1,0))</f>
        <v>#N/A</v>
      </c>
      <c r="F135" s="807">
        <v>0</v>
      </c>
      <c r="G135" s="402">
        <f t="shared" si="2"/>
        <v>0</v>
      </c>
      <c r="H135" s="403"/>
      <c r="I135" s="72"/>
      <c r="J135" s="72"/>
      <c r="K135"/>
      <c r="L135" s="549"/>
    </row>
    <row r="136" spans="1:123" ht="79.2" customHeight="1" x14ac:dyDescent="0.3">
      <c r="A136" s="100">
        <v>353</v>
      </c>
      <c r="B136" s="4" t="s">
        <v>67</v>
      </c>
      <c r="C136" s="4" t="s">
        <v>734</v>
      </c>
      <c r="D136" s="26" t="s">
        <v>135</v>
      </c>
      <c r="E136" s="372" t="e">
        <f>INDEX('PY1 Data(H)'!$A$1:$CZ$265,MATCH('Unit Data from Audit Worksheet'!$A136,'PY1 Data(H)'!$A$1:$A$258,0),MATCH('Unit Data from Audit Worksheet'!$D$2,'PY1 Data(H)'!$A$1:$CZ$1,0))</f>
        <v>#N/A</v>
      </c>
      <c r="F136" s="807">
        <v>0</v>
      </c>
      <c r="G136" s="402">
        <f t="shared" si="2"/>
        <v>0</v>
      </c>
      <c r="H136" s="403"/>
      <c r="I136" s="72"/>
      <c r="J136" s="72"/>
      <c r="K136"/>
      <c r="L136" s="549"/>
    </row>
    <row r="137" spans="1:123" ht="138" customHeight="1" x14ac:dyDescent="0.3">
      <c r="A137" s="100">
        <v>50</v>
      </c>
      <c r="B137" s="4" t="s">
        <v>63</v>
      </c>
      <c r="C137" s="4" t="s">
        <v>734</v>
      </c>
      <c r="D137" s="384" t="s">
        <v>739</v>
      </c>
      <c r="E137" s="372" t="e">
        <f>INDEX('PY1 Data(H)'!$A$1:$CZ$265,MATCH('Unit Data from Audit Worksheet'!$A137,'PY1 Data(H)'!$A$1:$A$258,0),MATCH('Unit Data from Audit Worksheet'!$D$2,'PY1 Data(H)'!$A$1:$CZ$1,0))</f>
        <v>#N/A</v>
      </c>
      <c r="F137" s="807">
        <v>0</v>
      </c>
      <c r="G137" s="402">
        <f>IF(H137=0,,"Error: Total revenues less total expenses do not equal total change in net position. Account number 84-85+350-351+191+352-353-50=0  The amount of the formula is in the cell to the right")</f>
        <v>0</v>
      </c>
      <c r="H137" s="405">
        <f>F126-F128+F130-F131+F132+F134-F136-F137</f>
        <v>0</v>
      </c>
      <c r="I137" s="72"/>
      <c r="J137" s="72"/>
      <c r="K137"/>
      <c r="L137" s="549"/>
    </row>
    <row r="138" spans="1:123" ht="138" customHeight="1" x14ac:dyDescent="0.3">
      <c r="A138" s="100">
        <v>377</v>
      </c>
      <c r="B138" s="4" t="s">
        <v>67</v>
      </c>
      <c r="C138" s="4" t="s">
        <v>734</v>
      </c>
      <c r="D138" s="384" t="s">
        <v>740</v>
      </c>
      <c r="E138" s="372" t="e">
        <f>INDEX('PY1 Data(H)'!$A$1:$CZ$265,MATCH('Unit Data from Audit Worksheet'!$A138,'PY1 Data(H)'!$A$1:$A$258,0),MATCH('Unit Data from Audit Worksheet'!$D$2,'PY1 Data(H)'!$A$1:$CZ$1,0))</f>
        <v>#N/A</v>
      </c>
      <c r="F138" s="807">
        <v>0</v>
      </c>
      <c r="G138" s="763" t="e">
        <f>IF(F103-F137-F138=E103,,"Error: Beginning Balance does not agree with our records.  Acct #s (83-50-377)=prior year 83 The amount of the formula is in the cell to the right")</f>
        <v>#N/A</v>
      </c>
      <c r="H138" s="764" t="e">
        <f>+F103-F137-F138-E103</f>
        <v>#N/A</v>
      </c>
      <c r="I138" s="788" t="e">
        <f>IF(H138=0," ","If the out of balance is because prior years data is not populated in cell E101, disregard the error message. Do not include prior year's ending balance in cell F138.")</f>
        <v>#N/A</v>
      </c>
      <c r="J138" s="772"/>
      <c r="K138"/>
      <c r="L138" s="549"/>
    </row>
    <row r="139" spans="1:123" ht="78.599999999999994" customHeight="1" x14ac:dyDescent="0.3">
      <c r="A139" s="100">
        <v>537</v>
      </c>
      <c r="B139" s="374" t="s">
        <v>58</v>
      </c>
      <c r="C139" s="374" t="s">
        <v>734</v>
      </c>
      <c r="D139" s="371" t="s">
        <v>1550</v>
      </c>
      <c r="E139" s="806" t="e">
        <f>INDEX('PY1 Data(H)'!$A$1:$CZ$265,MATCH('Unit Data from Audit Worksheet'!$A139,'PY1 Data(H)'!$A$1:$A$258,0),MATCH('Unit Data from Audit Worksheet'!$D$2,'PY1 Data(H)'!$A$1:$CZ$1,0))</f>
        <v>#N/A</v>
      </c>
      <c r="F139" s="185"/>
      <c r="G139" s="402"/>
      <c r="H139" s="403"/>
      <c r="I139" s="404"/>
      <c r="J139" s="404"/>
      <c r="K139"/>
      <c r="L139" s="549"/>
    </row>
    <row r="140" spans="1:123" ht="96.75" customHeight="1" x14ac:dyDescent="0.3">
      <c r="A140" s="100">
        <v>538</v>
      </c>
      <c r="B140" s="374" t="s">
        <v>58</v>
      </c>
      <c r="C140" s="374" t="s">
        <v>734</v>
      </c>
      <c r="D140" s="371" t="s">
        <v>1551</v>
      </c>
      <c r="E140" s="806" t="e">
        <f>INDEX('PY1 Data(H)'!$A$1:$CZ$265,MATCH('Unit Data from Audit Worksheet'!$A140,'PY1 Data(H)'!$A$1:$A$258,0),MATCH('Unit Data from Audit Worksheet'!$D$2,'PY1 Data(H)'!$A$1:$CZ$1,0))</f>
        <v>#N/A</v>
      </c>
      <c r="F140" s="185"/>
      <c r="G140" s="402"/>
      <c r="H140" s="403"/>
      <c r="I140" s="404"/>
      <c r="J140" s="404"/>
      <c r="K140"/>
      <c r="L140" s="549"/>
    </row>
    <row r="141" spans="1:123" ht="26.25" customHeight="1" x14ac:dyDescent="0.3">
      <c r="A141" s="100"/>
      <c r="B141" s="713" t="s">
        <v>6</v>
      </c>
      <c r="C141" s="501"/>
      <c r="D141" s="469"/>
      <c r="E141" s="487"/>
      <c r="F141" s="487"/>
      <c r="G141" s="488"/>
      <c r="H141" s="17"/>
      <c r="I141" s="72"/>
      <c r="J141" s="72"/>
      <c r="K141"/>
      <c r="L141" s="549"/>
    </row>
    <row r="142" spans="1:123" ht="91.95" customHeight="1" x14ac:dyDescent="0.3">
      <c r="A142" s="100">
        <v>97</v>
      </c>
      <c r="B142" s="4" t="s">
        <v>67</v>
      </c>
      <c r="C142" s="4" t="s">
        <v>741</v>
      </c>
      <c r="D142" s="26" t="s">
        <v>155</v>
      </c>
      <c r="E142" s="372" t="e">
        <f>INDEX('PY1 Data(H)'!$A$1:$CZ$265,MATCH('Unit Data from Audit Worksheet'!$A142,'PY1 Data(H)'!$A$1:$A$258,0),MATCH('Unit Data from Audit Worksheet'!$D$2,'PY1 Data(H)'!$A$1:$CZ$1,0))</f>
        <v>#N/A</v>
      </c>
      <c r="F142" s="807">
        <v>0</v>
      </c>
      <c r="G142" s="408"/>
      <c r="H142" s="17"/>
      <c r="I142" s="72"/>
      <c r="J142" s="72"/>
      <c r="K142"/>
      <c r="L142" s="549"/>
    </row>
    <row r="143" spans="1:123" ht="72.599999999999994" customHeight="1" x14ac:dyDescent="0.3">
      <c r="A143" s="100">
        <v>93</v>
      </c>
      <c r="B143" s="957" t="s">
        <v>2037</v>
      </c>
      <c r="C143" s="4" t="s">
        <v>741</v>
      </c>
      <c r="D143" s="26" t="s">
        <v>151</v>
      </c>
      <c r="E143" s="372" t="e">
        <f>INDEX('PY1 Data(H)'!$A$1:$CZ$265,MATCH('Unit Data from Audit Worksheet'!$A143,'PY1 Data(H)'!$A$1:$A$258,0),MATCH('Unit Data from Audit Worksheet'!$D$2,'PY1 Data(H)'!$A$1:$CZ$1,0))</f>
        <v>#N/A</v>
      </c>
      <c r="F143" s="807">
        <v>0</v>
      </c>
      <c r="G143" s="402">
        <f>IF(F142&gt;F143,"Error: Charges for services exceed total operating revenues. Account number 97&gt;93",)</f>
        <v>0</v>
      </c>
      <c r="H143" s="403"/>
      <c r="I143" s="72"/>
      <c r="J143" s="72"/>
      <c r="K143"/>
      <c r="L143" s="549"/>
    </row>
    <row r="144" spans="1:123" ht="76.2" customHeight="1" x14ac:dyDescent="0.3">
      <c r="A144" s="100">
        <v>99</v>
      </c>
      <c r="B144" s="4" t="s">
        <v>57</v>
      </c>
      <c r="C144" s="4" t="s">
        <v>741</v>
      </c>
      <c r="D144" s="26" t="s">
        <v>156</v>
      </c>
      <c r="E144" s="372" t="e">
        <f>INDEX('PY1 Data(H)'!$A$1:$CZ$265,MATCH('Unit Data from Audit Worksheet'!$A144,'PY1 Data(H)'!$A$1:$A$258,0),MATCH('Unit Data from Audit Worksheet'!$D$2,'PY1 Data(H)'!$A$1:$CZ$1,0))</f>
        <v>#N/A</v>
      </c>
      <c r="F144" s="807">
        <v>0</v>
      </c>
      <c r="G144" s="402">
        <f t="shared" ref="G144:G153" si="3">IF(F144&lt;0,"Error: Enter as positive.",)</f>
        <v>0</v>
      </c>
      <c r="H144" s="403"/>
      <c r="I144" s="72"/>
      <c r="J144" s="72"/>
      <c r="K144"/>
      <c r="L144" s="549"/>
    </row>
    <row r="145" spans="1:123" ht="73.2" customHeight="1" x14ac:dyDescent="0.3">
      <c r="A145" s="100">
        <v>52</v>
      </c>
      <c r="B145" s="957" t="s">
        <v>2038</v>
      </c>
      <c r="C145" s="4" t="s">
        <v>741</v>
      </c>
      <c r="D145" s="26" t="s">
        <v>152</v>
      </c>
      <c r="E145" s="372" t="e">
        <f>INDEX('PY1 Data(H)'!$A$1:$CZ$265,MATCH('Unit Data from Audit Worksheet'!$A145,'PY1 Data(H)'!$A$1:$A$258,0),MATCH('Unit Data from Audit Worksheet'!$D$2,'PY1 Data(H)'!$A$1:$CZ$1,0))</f>
        <v>#N/A</v>
      </c>
      <c r="F145" s="807">
        <v>0</v>
      </c>
      <c r="G145" s="402">
        <f t="shared" si="3"/>
        <v>0</v>
      </c>
      <c r="H145" s="403"/>
      <c r="I145" s="72"/>
      <c r="J145" s="72"/>
      <c r="K145"/>
      <c r="L145" s="549"/>
    </row>
    <row r="146" spans="1:123" ht="81" customHeight="1" x14ac:dyDescent="0.3">
      <c r="A146" s="100">
        <v>94</v>
      </c>
      <c r="B146" s="957" t="s">
        <v>2037</v>
      </c>
      <c r="C146" s="4" t="s">
        <v>741</v>
      </c>
      <c r="D146" s="26" t="s">
        <v>153</v>
      </c>
      <c r="E146" s="372" t="e">
        <f>INDEX('PY1 Data(H)'!$A$1:$CZ$265,MATCH('Unit Data from Audit Worksheet'!$A146,'PY1 Data(H)'!$A$1:$A$258,0),MATCH('Unit Data from Audit Worksheet'!$D$2,'PY1 Data(H)'!$A$1:$CZ$1,0))</f>
        <v>#N/A</v>
      </c>
      <c r="F146" s="807">
        <v>0</v>
      </c>
      <c r="G146" s="402">
        <f t="shared" si="3"/>
        <v>0</v>
      </c>
      <c r="H146" s="403"/>
      <c r="I146" s="72"/>
      <c r="J146" s="72"/>
      <c r="K146"/>
      <c r="L146" s="549"/>
    </row>
    <row r="147" spans="1:123" ht="85.95" customHeight="1" x14ac:dyDescent="0.3">
      <c r="A147" s="100">
        <v>98</v>
      </c>
      <c r="B147" s="957" t="s">
        <v>2037</v>
      </c>
      <c r="C147" s="4" t="s">
        <v>741</v>
      </c>
      <c r="D147" s="26" t="s">
        <v>154</v>
      </c>
      <c r="E147" s="372" t="e">
        <f>INDEX('PY1 Data(H)'!$A$1:$CZ$265,MATCH('Unit Data from Audit Worksheet'!$A147,'PY1 Data(H)'!$A$1:$A$258,0),MATCH('Unit Data from Audit Worksheet'!$D$2,'PY1 Data(H)'!$A$1:$CZ$1,0))</f>
        <v>#N/A</v>
      </c>
      <c r="F147" s="807">
        <v>0</v>
      </c>
      <c r="G147" s="402">
        <f t="shared" si="3"/>
        <v>0</v>
      </c>
      <c r="H147" s="403"/>
      <c r="I147" s="72"/>
      <c r="J147" s="72"/>
      <c r="K147"/>
      <c r="L147" s="549"/>
    </row>
    <row r="148" spans="1:123" ht="84" customHeight="1" x14ac:dyDescent="0.3">
      <c r="A148" s="100">
        <v>363</v>
      </c>
      <c r="B148" s="4" t="s">
        <v>55</v>
      </c>
      <c r="C148" s="4" t="s">
        <v>741</v>
      </c>
      <c r="D148" s="21" t="s">
        <v>742</v>
      </c>
      <c r="E148" s="372" t="e">
        <f>INDEX('PY1 Data(H)'!$A$1:$CZ$265,MATCH('Unit Data from Audit Worksheet'!$A148,'PY1 Data(H)'!$A$1:$A$258,0),MATCH('Unit Data from Audit Worksheet'!$D$2,'PY1 Data(H)'!$A$1:$CZ$1,0))</f>
        <v>#N/A</v>
      </c>
      <c r="F148" s="807">
        <v>0</v>
      </c>
      <c r="G148" s="402">
        <f t="shared" si="3"/>
        <v>0</v>
      </c>
      <c r="H148" s="403"/>
      <c r="I148" s="72"/>
      <c r="J148" s="72"/>
      <c r="K148"/>
      <c r="L148" s="549"/>
    </row>
    <row r="149" spans="1:123" ht="76.95" customHeight="1" x14ac:dyDescent="0.3">
      <c r="A149" s="100">
        <v>364</v>
      </c>
      <c r="B149" s="957" t="s">
        <v>2040</v>
      </c>
      <c r="C149" s="4" t="s">
        <v>741</v>
      </c>
      <c r="D149" s="21" t="s">
        <v>743</v>
      </c>
      <c r="E149" s="372" t="e">
        <f>INDEX('PY1 Data(H)'!$A$1:$CZ$265,MATCH('Unit Data from Audit Worksheet'!$A149,'PY1 Data(H)'!$A$1:$A$258,0),MATCH('Unit Data from Audit Worksheet'!$D$2,'PY1 Data(H)'!$A$1:$CZ$1,0))</f>
        <v>#N/A</v>
      </c>
      <c r="F149" s="807">
        <v>0</v>
      </c>
      <c r="G149" s="402">
        <f t="shared" si="3"/>
        <v>0</v>
      </c>
      <c r="H149" s="403"/>
      <c r="I149" s="72"/>
      <c r="J149" s="72"/>
      <c r="K149"/>
      <c r="L149" s="549"/>
    </row>
    <row r="150" spans="1:123" ht="86.4" customHeight="1" x14ac:dyDescent="0.3">
      <c r="A150" s="100">
        <v>192</v>
      </c>
      <c r="B150" s="4" t="s">
        <v>57</v>
      </c>
      <c r="C150" s="4" t="s">
        <v>741</v>
      </c>
      <c r="D150" s="21" t="s">
        <v>744</v>
      </c>
      <c r="E150" s="372" t="e">
        <f>INDEX('PY1 Data(H)'!$A$1:$CZ$265,MATCH('Unit Data from Audit Worksheet'!$A150,'PY1 Data(H)'!$A$1:$A$258,0),MATCH('Unit Data from Audit Worksheet'!$D$2,'PY1 Data(H)'!$A$1:$CZ$1,0))</f>
        <v>#N/A</v>
      </c>
      <c r="F150" s="807">
        <v>0</v>
      </c>
      <c r="G150" s="402">
        <f t="shared" si="3"/>
        <v>0</v>
      </c>
      <c r="H150" s="403"/>
      <c r="I150" s="72"/>
      <c r="J150" s="72"/>
      <c r="K150"/>
      <c r="L150" s="549"/>
    </row>
    <row r="151" spans="1:123" ht="80.400000000000006" customHeight="1" x14ac:dyDescent="0.3">
      <c r="A151" s="100">
        <v>1054</v>
      </c>
      <c r="B151" s="374" t="s">
        <v>587</v>
      </c>
      <c r="C151" s="374" t="s">
        <v>1530</v>
      </c>
      <c r="D151" s="792" t="s">
        <v>1571</v>
      </c>
      <c r="E151" s="372" t="e">
        <f>INDEX('PY1 Data(H)'!$A$1:$CZ$265,MATCH('Unit Data from Audit Worksheet'!$A151,'PY1 Data(H)'!$A$1:$A$258,0),MATCH('Unit Data from Audit Worksheet'!$D$2,'PY1 Data(H)'!$A$1:$CZ$1,0))</f>
        <v>#N/A</v>
      </c>
      <c r="F151" s="807">
        <v>0</v>
      </c>
      <c r="G151" s="402"/>
      <c r="H151" s="403"/>
      <c r="I151" s="72"/>
      <c r="J151" s="72"/>
      <c r="K151" s="180"/>
      <c r="L151" s="549"/>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741</v>
      </c>
      <c r="D152" s="21" t="s">
        <v>745</v>
      </c>
      <c r="E152" s="372" t="e">
        <f>INDEX('PY1 Data(H)'!$A$1:$CZ$265,MATCH('Unit Data from Audit Worksheet'!$A152,'PY1 Data(H)'!$A$1:$A$258,0),MATCH('Unit Data from Audit Worksheet'!$D$2,'PY1 Data(H)'!$A$1:$CZ$1,0))</f>
        <v>#N/A</v>
      </c>
      <c r="F152" s="807">
        <v>0</v>
      </c>
      <c r="G152" s="402">
        <f t="shared" si="3"/>
        <v>0</v>
      </c>
      <c r="H152" s="403"/>
      <c r="I152" s="72"/>
      <c r="J152" s="72"/>
      <c r="K152"/>
      <c r="L152" s="549"/>
    </row>
    <row r="153" spans="1:123" ht="84.75" customHeight="1" x14ac:dyDescent="0.3">
      <c r="A153" s="100">
        <v>366</v>
      </c>
      <c r="B153" s="957" t="s">
        <v>2037</v>
      </c>
      <c r="C153" s="4" t="s">
        <v>741</v>
      </c>
      <c r="D153" s="21" t="s">
        <v>746</v>
      </c>
      <c r="E153" s="372" t="e">
        <f>INDEX('PY1 Data(H)'!$A$1:$CZ$265,MATCH('Unit Data from Audit Worksheet'!$A153,'PY1 Data(H)'!$A$1:$A$258,0),MATCH('Unit Data from Audit Worksheet'!$D$2,'PY1 Data(H)'!$A$1:$CZ$1,0))</f>
        <v>#N/A</v>
      </c>
      <c r="F153" s="807">
        <v>0</v>
      </c>
      <c r="G153" s="402">
        <f t="shared" si="3"/>
        <v>0</v>
      </c>
      <c r="H153" s="403"/>
      <c r="I153" s="72"/>
      <c r="J153" s="72"/>
      <c r="K153"/>
      <c r="L153" s="549"/>
    </row>
    <row r="154" spans="1:123" s="18" customFormat="1" ht="138" customHeight="1" x14ac:dyDescent="0.3">
      <c r="A154" s="100">
        <v>53</v>
      </c>
      <c r="B154" s="374" t="s">
        <v>65</v>
      </c>
      <c r="C154" s="374" t="s">
        <v>741</v>
      </c>
      <c r="D154" s="384" t="s">
        <v>747</v>
      </c>
      <c r="E154" s="372" t="e">
        <f>INDEX('PY1 Data(H)'!$A$1:$CZ$265,MATCH('Unit Data from Audit Worksheet'!$A154,'PY1 Data(H)'!$A$1:$A$258,0),MATCH('Unit Data from Audit Worksheet'!$D$2,'PY1 Data(H)'!$A$1:$CZ$1,0))</f>
        <v>#N/A</v>
      </c>
      <c r="F154" s="807">
        <v>0</v>
      </c>
      <c r="G154" s="402">
        <f>IF(H154=0,,"Error: Total revenues less total expenses do not equal total change in net position. Account number 93-94+363-364+192+365-366-53=0  The amount of the formula is in the cell to the right")</f>
        <v>0</v>
      </c>
      <c r="H154" s="405">
        <f>+F143-F146+F148-F149+F150+F152-F153-F154</f>
        <v>0</v>
      </c>
      <c r="I154" s="72"/>
      <c r="J154" s="72"/>
      <c r="K154"/>
      <c r="L154" s="549"/>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4" t="s">
        <v>741</v>
      </c>
      <c r="D155" s="384" t="s">
        <v>748</v>
      </c>
      <c r="E155" s="372" t="e">
        <f>INDEX('PY1 Data(H)'!$A$1:$CZ$265,MATCH('Unit Data from Audit Worksheet'!$A155,'PY1 Data(H)'!$A$1:$A$258,0),MATCH('Unit Data from Audit Worksheet'!$D$2,'PY1 Data(H)'!$A$1:$CZ$1,0))</f>
        <v>#N/A</v>
      </c>
      <c r="F155" s="807">
        <v>0</v>
      </c>
      <c r="G155" s="761" t="e">
        <f>IF(F122-F154-F155=E122,,"Error: Beginning Balance does not agree with our records.  Acct #s (362-53-378)=prior year 362  The amount of the formula is in the cell to the right")</f>
        <v>#N/A</v>
      </c>
      <c r="H155" s="764" t="e">
        <f>+F122-F154-F155-E122</f>
        <v>#N/A</v>
      </c>
      <c r="I155" s="819" t="e">
        <f>IF(H155=0," ","If the out of balance is because prior years data is not populated in cell E120, disregard the error message. Do not include prior year's ending balance in cell F155.")</f>
        <v>#N/A</v>
      </c>
      <c r="J155" s="772"/>
      <c r="K155"/>
      <c r="L155" s="549"/>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1" t="s">
        <v>427</v>
      </c>
      <c r="C156" s="713"/>
      <c r="D156" s="494"/>
      <c r="E156" s="495"/>
      <c r="F156" s="495"/>
      <c r="G156" s="476"/>
      <c r="H156" s="17"/>
      <c r="I156" s="72"/>
      <c r="J156" s="72"/>
      <c r="K156"/>
      <c r="L156" s="549"/>
    </row>
    <row r="157" spans="1:123" ht="13.5" customHeight="1" x14ac:dyDescent="0.3">
      <c r="A157" s="100"/>
      <c r="B157" s="745" t="s">
        <v>749</v>
      </c>
      <c r="C157" s="501"/>
      <c r="D157" s="469"/>
      <c r="E157" s="496"/>
      <c r="F157" s="496"/>
      <c r="G157" s="488"/>
      <c r="H157" s="17"/>
      <c r="I157" s="72"/>
      <c r="J157" s="72"/>
      <c r="K157"/>
      <c r="L157" s="549"/>
    </row>
    <row r="158" spans="1:123" ht="17.25" customHeight="1" x14ac:dyDescent="0.3">
      <c r="A158" s="100"/>
      <c r="B158" s="492" t="s">
        <v>750</v>
      </c>
      <c r="C158" s="501"/>
      <c r="D158" s="483"/>
      <c r="E158" s="497"/>
      <c r="F158" s="497"/>
      <c r="G158" s="490"/>
      <c r="H158" s="17"/>
      <c r="I158" s="72"/>
      <c r="J158" s="72"/>
      <c r="K158"/>
      <c r="L158" s="549"/>
    </row>
    <row r="159" spans="1:123" ht="13.5" customHeight="1" x14ac:dyDescent="0.3">
      <c r="A159" s="100"/>
      <c r="B159" s="492" t="s">
        <v>23</v>
      </c>
      <c r="C159" s="501"/>
      <c r="D159" s="483"/>
      <c r="E159" s="497"/>
      <c r="F159" s="497"/>
      <c r="G159" s="490"/>
      <c r="H159" s="17"/>
      <c r="I159" s="72"/>
      <c r="J159" s="72"/>
      <c r="K159"/>
      <c r="L159" s="549"/>
    </row>
    <row r="160" spans="1:123" ht="59.25" customHeight="1" x14ac:dyDescent="0.3">
      <c r="A160" s="100">
        <v>51</v>
      </c>
      <c r="B160" s="4" t="s">
        <v>285</v>
      </c>
      <c r="C160" s="464" t="s">
        <v>751</v>
      </c>
      <c r="D160" s="21" t="s">
        <v>752</v>
      </c>
      <c r="E160" s="372" t="e">
        <f>INDEX('PY1 Data(H)'!$A$1:$CZ$265,MATCH('Unit Data from Audit Worksheet'!$A160,'PY1 Data(H)'!$A$1:$A$258,0),MATCH('Unit Data from Audit Worksheet'!$D$2,'PY1 Data(H)'!$A$1:$CZ$1,0))</f>
        <v>#N/A</v>
      </c>
      <c r="F160" s="807">
        <v>0</v>
      </c>
      <c r="G160" s="408"/>
      <c r="H160" s="17"/>
      <c r="I160" s="72"/>
      <c r="J160" s="72"/>
      <c r="K160"/>
      <c r="L160" s="549"/>
    </row>
    <row r="161" spans="1:123" ht="45" customHeight="1" x14ac:dyDescent="0.3">
      <c r="A161" s="100">
        <v>332</v>
      </c>
      <c r="B161" s="4" t="s">
        <v>36</v>
      </c>
      <c r="C161" s="464" t="s">
        <v>751</v>
      </c>
      <c r="D161" s="21" t="s">
        <v>753</v>
      </c>
      <c r="E161" s="372" t="e">
        <f>INDEX('PY1 Data(H)'!$A$1:$CZ$265,MATCH('Unit Data from Audit Worksheet'!$A161,'PY1 Data(H)'!$A$1:$A$258,0),MATCH('Unit Data from Audit Worksheet'!$D$2,'PY1 Data(H)'!$A$1:$CZ$1,0))</f>
        <v>#N/A</v>
      </c>
      <c r="F161" s="807">
        <v>0</v>
      </c>
      <c r="G161" s="402">
        <f>IF(F161&lt;0,"Error: Enter as positive.",)</f>
        <v>0</v>
      </c>
      <c r="H161" s="17"/>
      <c r="I161" s="72"/>
      <c r="J161" s="72"/>
      <c r="K161"/>
      <c r="L161" s="549"/>
    </row>
    <row r="162" spans="1:123" ht="75" customHeight="1" x14ac:dyDescent="0.3">
      <c r="A162" s="100">
        <v>331</v>
      </c>
      <c r="B162" s="957" t="s">
        <v>2032</v>
      </c>
      <c r="C162" s="464" t="s">
        <v>751</v>
      </c>
      <c r="D162" s="21" t="s">
        <v>754</v>
      </c>
      <c r="E162" s="372" t="e">
        <f>INDEX('PY1 Data(H)'!$A$1:$CZ$265,MATCH('Unit Data from Audit Worksheet'!$A162,'PY1 Data(H)'!$A$1:$A$258,0),MATCH('Unit Data from Audit Worksheet'!$D$2,'PY1 Data(H)'!$A$1:$CZ$1,0))</f>
        <v>#N/A</v>
      </c>
      <c r="F162" s="807">
        <v>0</v>
      </c>
      <c r="G162" s="402">
        <f>IF(F162&lt;0,"Error: Enter as positive.",)</f>
        <v>0</v>
      </c>
      <c r="H162" s="17"/>
      <c r="I162" s="72"/>
      <c r="J162" s="72"/>
      <c r="K162"/>
      <c r="L162" s="549"/>
    </row>
    <row r="163" spans="1:123" ht="17.399999999999999" customHeight="1" x14ac:dyDescent="0.3">
      <c r="A163" s="100"/>
      <c r="B163" s="713" t="s">
        <v>6</v>
      </c>
      <c r="C163" s="501"/>
      <c r="D163" s="492"/>
      <c r="E163" s="496"/>
      <c r="F163" s="496"/>
      <c r="G163" s="498"/>
      <c r="H163" s="17"/>
      <c r="I163" s="72"/>
      <c r="J163" s="72"/>
      <c r="K163"/>
      <c r="L163" s="549"/>
    </row>
    <row r="164" spans="1:123" ht="48" customHeight="1" x14ac:dyDescent="0.3">
      <c r="A164" s="100">
        <v>55</v>
      </c>
      <c r="B164" s="4" t="s">
        <v>58</v>
      </c>
      <c r="C164" s="464" t="s">
        <v>755</v>
      </c>
      <c r="D164" s="21" t="s">
        <v>756</v>
      </c>
      <c r="E164" s="372" t="e">
        <f>INDEX('PY1 Data(H)'!$A$1:$CZ$265,MATCH('Unit Data from Audit Worksheet'!$A164,'PY1 Data(H)'!$A$1:$A$258,0),MATCH('Unit Data from Audit Worksheet'!$D$2,'PY1 Data(H)'!$A$1:$CZ$1,0))</f>
        <v>#N/A</v>
      </c>
      <c r="F164" s="807">
        <v>0</v>
      </c>
      <c r="G164" s="408"/>
      <c r="H164" s="17"/>
      <c r="I164" s="72"/>
      <c r="J164" s="72"/>
      <c r="K164"/>
      <c r="L164" s="549"/>
    </row>
    <row r="165" spans="1:123" ht="60" customHeight="1" x14ac:dyDescent="0.3">
      <c r="A165" s="100">
        <v>101</v>
      </c>
      <c r="B165" s="4" t="s">
        <v>64</v>
      </c>
      <c r="C165" s="464" t="s">
        <v>755</v>
      </c>
      <c r="D165" s="21" t="s">
        <v>757</v>
      </c>
      <c r="E165" s="372" t="e">
        <f>INDEX('PY1 Data(H)'!$A$1:$CZ$265,MATCH('Unit Data from Audit Worksheet'!$A165,'PY1 Data(H)'!$A$1:$A$258,0),MATCH('Unit Data from Audit Worksheet'!$D$2,'PY1 Data(H)'!$A$1:$CZ$1,0))</f>
        <v>#N/A</v>
      </c>
      <c r="F165" s="807">
        <v>0</v>
      </c>
      <c r="G165" s="402">
        <f>IF(F165&lt;0,"Error: Enter as positive.",)</f>
        <v>0</v>
      </c>
      <c r="H165" s="17"/>
      <c r="I165" s="72"/>
      <c r="J165" s="72"/>
      <c r="K165"/>
      <c r="L165" s="549"/>
    </row>
    <row r="166" spans="1:123" ht="71.25" customHeight="1" x14ac:dyDescent="0.3">
      <c r="A166" s="100">
        <v>100</v>
      </c>
      <c r="B166" s="957" t="s">
        <v>2037</v>
      </c>
      <c r="C166" s="464" t="s">
        <v>755</v>
      </c>
      <c r="D166" s="21" t="s">
        <v>754</v>
      </c>
      <c r="E166" s="372" t="e">
        <f>INDEX('PY1 Data(H)'!$A$1:$CZ$265,MATCH('Unit Data from Audit Worksheet'!$A166,'PY1 Data(H)'!$A$1:$A$258,0),MATCH('Unit Data from Audit Worksheet'!$D$2,'PY1 Data(H)'!$A$1:$CZ$1,0))</f>
        <v>#N/A</v>
      </c>
      <c r="F166" s="807">
        <v>0</v>
      </c>
      <c r="G166" s="402">
        <f>IF(F166&lt;0,"Error: Enter as positive.",)</f>
        <v>0</v>
      </c>
      <c r="H166" s="17"/>
      <c r="I166" s="72"/>
      <c r="J166" s="72"/>
      <c r="K166"/>
      <c r="L166" s="549"/>
    </row>
    <row r="167" spans="1:123" ht="31.2" customHeight="1" x14ac:dyDescent="0.3">
      <c r="A167" s="100"/>
      <c r="B167" s="491" t="s">
        <v>1690</v>
      </c>
      <c r="C167" s="713"/>
      <c r="D167" s="491"/>
      <c r="E167" s="491"/>
      <c r="F167" s="491"/>
      <c r="G167" s="491"/>
      <c r="H167" s="17"/>
      <c r="I167" s="72"/>
      <c r="J167" s="72"/>
      <c r="K167" s="180"/>
      <c r="L167" s="549"/>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5">
        <v>1060</v>
      </c>
      <c r="B168" s="374" t="s">
        <v>1541</v>
      </c>
      <c r="C168" s="410"/>
      <c r="D168" s="786" t="s">
        <v>1562</v>
      </c>
      <c r="E168" s="372" t="e">
        <f>INDEX('PY1 Data(H)'!$A$1:$CZ$265,MATCH('Unit Data from Audit Worksheet'!$A168,'PY1 Data(H)'!$A$1:$A$258,0),MATCH('Unit Data from Audit Worksheet'!$D$2,'PY1 Data(H)'!$A$1:$CZ$1,0))</f>
        <v>#N/A</v>
      </c>
      <c r="F168" s="807">
        <v>0</v>
      </c>
      <c r="G168" s="402"/>
      <c r="H168" s="17"/>
      <c r="I168" s="72"/>
      <c r="J168" s="72"/>
      <c r="K168" s="180"/>
      <c r="L168" s="549"/>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5">
        <v>1061</v>
      </c>
      <c r="B169" s="374" t="s">
        <v>1541</v>
      </c>
      <c r="C169" s="410"/>
      <c r="D169" s="786" t="s">
        <v>1563</v>
      </c>
      <c r="E169" s="372" t="e">
        <f>INDEX('PY1 Data(H)'!$A$1:$CZ$265,MATCH('Unit Data from Audit Worksheet'!$A169,'PY1 Data(H)'!$A$1:$A$258,0),MATCH('Unit Data from Audit Worksheet'!$D$2,'PY1 Data(H)'!$A$1:$CZ$1,0))</f>
        <v>#N/A</v>
      </c>
      <c r="F169" s="807">
        <v>0</v>
      </c>
      <c r="G169" s="402"/>
      <c r="H169" s="17"/>
      <c r="I169" s="72"/>
      <c r="J169" s="72"/>
      <c r="K169" s="180"/>
      <c r="L169" s="549"/>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5">
        <v>1062</v>
      </c>
      <c r="B170" s="374" t="s">
        <v>1541</v>
      </c>
      <c r="C170" s="410"/>
      <c r="D170" s="786" t="s">
        <v>2020</v>
      </c>
      <c r="E170" s="372" t="e">
        <f>INDEX('PY1 Data(H)'!$A$1:$CZ$265,MATCH('Unit Data from Audit Worksheet'!$A170,'PY1 Data(H)'!$A$1:$A$258,0),MATCH('Unit Data from Audit Worksheet'!$D$2,'PY1 Data(H)'!$A$1:$CZ$1,0))</f>
        <v>#N/A</v>
      </c>
      <c r="F170" s="185"/>
      <c r="G170" s="402"/>
      <c r="H170" s="17"/>
      <c r="I170" s="72"/>
      <c r="J170" s="72"/>
      <c r="K170" s="180"/>
      <c r="L170" s="549"/>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5">
        <v>1063</v>
      </c>
      <c r="B171" s="374" t="s">
        <v>1541</v>
      </c>
      <c r="C171" s="410"/>
      <c r="D171" s="786" t="s">
        <v>2021</v>
      </c>
      <c r="E171" s="372" t="e">
        <f>INDEX('PY1 Data(H)'!$A$1:$CZ$265,MATCH('Unit Data from Audit Worksheet'!$A171,'PY1 Data(H)'!$A$1:$A$258,0),MATCH('Unit Data from Audit Worksheet'!$D$2,'PY1 Data(H)'!$A$1:$CZ$1,0))</f>
        <v>#N/A</v>
      </c>
      <c r="F171" s="185"/>
      <c r="G171" s="402"/>
      <c r="H171" s="17"/>
      <c r="I171" s="72"/>
      <c r="J171" s="72"/>
      <c r="K171" s="180"/>
      <c r="L171" s="549"/>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3" t="s">
        <v>70</v>
      </c>
      <c r="C172" s="501"/>
      <c r="D172" s="469"/>
      <c r="E172" s="499"/>
      <c r="F172" s="499"/>
      <c r="G172" s="486"/>
      <c r="H172" s="17"/>
      <c r="I172" s="72"/>
      <c r="J172" s="72"/>
      <c r="K172"/>
      <c r="L172" s="549"/>
    </row>
    <row r="173" spans="1:123" ht="90.6" customHeight="1" x14ac:dyDescent="0.3">
      <c r="A173" s="100">
        <v>512</v>
      </c>
      <c r="B173" s="279"/>
      <c r="C173" s="464" t="s">
        <v>157</v>
      </c>
      <c r="D173" s="21" t="s">
        <v>758</v>
      </c>
      <c r="E173" s="372" t="e">
        <f>INDEX('PY1 Data(H)'!$A$1:$CZ$265,MATCH('Unit Data from Audit Worksheet'!$A173,'PY1 Data(H)'!$A$1:$A$258,0),MATCH('Unit Data from Audit Worksheet'!$D$2,'PY1 Data(H)'!$A$1:$CZ$1,0))</f>
        <v>#N/A</v>
      </c>
      <c r="F173" s="807">
        <v>0</v>
      </c>
      <c r="G173" s="402">
        <f>IF(F173&lt;0,"Error: Enter as positive.",)</f>
        <v>0</v>
      </c>
      <c r="H173" s="17"/>
      <c r="I173" s="72"/>
      <c r="J173" s="72"/>
      <c r="K173"/>
      <c r="L173" s="549"/>
    </row>
    <row r="174" spans="1:123" x14ac:dyDescent="0.3">
      <c r="A174" s="100"/>
      <c r="B174" s="491" t="s">
        <v>417</v>
      </c>
      <c r="C174" s="501"/>
      <c r="D174" s="494"/>
      <c r="E174" s="499"/>
      <c r="F174" s="499"/>
      <c r="G174" s="486"/>
      <c r="H174" s="403"/>
      <c r="I174" s="404"/>
      <c r="J174" s="404"/>
      <c r="K174"/>
      <c r="L174" s="549"/>
    </row>
    <row r="175" spans="1:123" ht="59.25" customHeight="1" x14ac:dyDescent="0.3">
      <c r="A175" s="191">
        <v>656</v>
      </c>
      <c r="B175" s="191"/>
      <c r="C175" s="191"/>
      <c r="D175" s="749" t="s">
        <v>1640</v>
      </c>
      <c r="E175" s="372" t="e">
        <f>INDEX('PY1 Data(H)'!$A$1:$CZ$265,MATCH('Unit Data from Audit Worksheet'!$A175,'PY1 Data(H)'!$A$1:$A$258,0),MATCH('Unit Data from Audit Worksheet'!$D$2,'PY1 Data(H)'!$A$1:$CZ$1,0))</f>
        <v>#N/A</v>
      </c>
      <c r="F175" s="807"/>
      <c r="G175" s="402"/>
      <c r="H175" s="17"/>
      <c r="I175" s="72"/>
      <c r="J175" s="72"/>
      <c r="K175"/>
      <c r="L175" s="549"/>
    </row>
    <row r="176" spans="1:123" x14ac:dyDescent="0.3">
      <c r="A176" s="100"/>
      <c r="B176" s="491" t="s">
        <v>288</v>
      </c>
      <c r="C176" s="501"/>
      <c r="D176" s="494"/>
      <c r="E176" s="499"/>
      <c r="F176" s="499"/>
      <c r="G176" s="486"/>
      <c r="H176" s="403"/>
      <c r="I176" s="404"/>
      <c r="J176" s="404"/>
      <c r="K176"/>
      <c r="L176" s="549"/>
    </row>
    <row r="177" spans="1:12" ht="106.95" customHeight="1" x14ac:dyDescent="0.3">
      <c r="A177" s="100">
        <v>535</v>
      </c>
      <c r="B177" s="374" t="s">
        <v>54</v>
      </c>
      <c r="C177" s="374" t="s">
        <v>158</v>
      </c>
      <c r="D177" s="21" t="s">
        <v>759</v>
      </c>
      <c r="E177" s="372" t="e">
        <f>INDEX('PY1 Data(H)'!$A$1:$CZ$265,MATCH('Unit Data from Audit Worksheet'!$A177,'PY1 Data(H)'!$A$1:$A$258,0),MATCH('Unit Data from Audit Worksheet'!$D$2,'PY1 Data(H)'!$A$1:$CZ$1,0))</f>
        <v>#N/A</v>
      </c>
      <c r="F177" s="807">
        <v>0</v>
      </c>
      <c r="G177" s="761" t="str">
        <f>IF(F177&lt;1,"Reminder: Please make sure you have entered all cash and investments from bond/Debt proceeds, if applicable.",)</f>
        <v>Reminder: Please make sure you have entered all cash and investments from bond/Debt proceeds, if applicable.</v>
      </c>
      <c r="H177" s="403"/>
      <c r="I177" s="404"/>
      <c r="J177" s="404"/>
      <c r="K177"/>
      <c r="L177" s="549"/>
    </row>
    <row r="178" spans="1:12" x14ac:dyDescent="0.3">
      <c r="A178" s="100"/>
      <c r="B178" s="491" t="s">
        <v>29</v>
      </c>
      <c r="C178" s="501"/>
      <c r="D178" s="470"/>
      <c r="E178" s="496"/>
      <c r="F178" s="496"/>
      <c r="G178" s="488"/>
      <c r="H178" s="17"/>
      <c r="I178" s="72"/>
      <c r="J178" s="72"/>
      <c r="K178"/>
      <c r="L178" s="549"/>
    </row>
    <row r="179" spans="1:12" x14ac:dyDescent="0.3">
      <c r="A179" s="100"/>
      <c r="B179" s="279"/>
      <c r="C179" s="279"/>
      <c r="D179" s="416" t="s">
        <v>2</v>
      </c>
      <c r="E179" s="372"/>
      <c r="F179" s="154"/>
      <c r="G179" s="408"/>
      <c r="H179" s="17"/>
      <c r="I179" s="72"/>
      <c r="J179" s="72"/>
      <c r="K179"/>
      <c r="L179" s="549"/>
    </row>
    <row r="180" spans="1:12" ht="36" customHeight="1" x14ac:dyDescent="0.3">
      <c r="A180" s="100"/>
      <c r="B180" s="279"/>
      <c r="C180" s="279"/>
      <c r="D180" s="373" t="s">
        <v>760</v>
      </c>
      <c r="E180" s="372"/>
      <c r="F180" s="154"/>
      <c r="G180" s="408"/>
      <c r="H180" s="17"/>
      <c r="I180" s="72"/>
      <c r="J180" s="72"/>
      <c r="K180"/>
      <c r="L180" s="549"/>
    </row>
    <row r="181" spans="1:12" ht="51" customHeight="1" x14ac:dyDescent="0.3">
      <c r="A181" s="100">
        <v>334</v>
      </c>
      <c r="B181" s="4" t="s">
        <v>55</v>
      </c>
      <c r="C181" s="4" t="s">
        <v>165</v>
      </c>
      <c r="D181" s="21" t="s">
        <v>761</v>
      </c>
      <c r="E181" s="372" t="e">
        <f>INDEX('PY1 Data(H)'!$A$1:$CZ$265,MATCH('Unit Data from Audit Worksheet'!$A181,'PY1 Data(H)'!$A$1:$A$258,0),MATCH('Unit Data from Audit Worksheet'!$D$2,'PY1 Data(H)'!$A$1:$CZ$1,0))</f>
        <v>#N/A</v>
      </c>
      <c r="F181" s="807">
        <v>0</v>
      </c>
      <c r="G181" s="408"/>
      <c r="H181" s="17"/>
      <c r="I181" s="72"/>
      <c r="J181" s="72"/>
      <c r="K181"/>
      <c r="L181" s="549"/>
    </row>
    <row r="182" spans="1:12" ht="45.6" customHeight="1" x14ac:dyDescent="0.3">
      <c r="A182" s="100">
        <v>373</v>
      </c>
      <c r="B182" s="4" t="s">
        <v>55</v>
      </c>
      <c r="C182" s="4" t="s">
        <v>165</v>
      </c>
      <c r="D182" s="26" t="s">
        <v>164</v>
      </c>
      <c r="E182" s="372" t="e">
        <f>INDEX('PY1 Data(H)'!$A$1:$CZ$265,MATCH('Unit Data from Audit Worksheet'!$A182,'PY1 Data(H)'!$A$1:$A$258,0),MATCH('Unit Data from Audit Worksheet'!$D$2,'PY1 Data(H)'!$A$1:$CZ$1,0))</f>
        <v>#N/A</v>
      </c>
      <c r="F182" s="807">
        <v>0</v>
      </c>
      <c r="G182" s="402">
        <f>IF(F182&lt;0,"Error: Enter as positive.",)</f>
        <v>0</v>
      </c>
      <c r="H182" s="17"/>
      <c r="I182" s="72"/>
      <c r="J182" s="72"/>
      <c r="K182"/>
      <c r="L182" s="549"/>
    </row>
    <row r="183" spans="1:12" ht="92.25" customHeight="1" x14ac:dyDescent="0.3">
      <c r="A183" s="100">
        <v>987</v>
      </c>
      <c r="B183" s="374" t="s">
        <v>587</v>
      </c>
      <c r="C183" s="374"/>
      <c r="D183" s="21" t="s">
        <v>648</v>
      </c>
      <c r="E183" s="372" t="e">
        <f>INDEX('PY1 Data(H)'!$A$1:$CZ$265,MATCH('Unit Data from Audit Worksheet'!$A183,'PY1 Data(H)'!$A$1:$A$258,0),MATCH('Unit Data from Audit Worksheet'!$D$2,'PY1 Data(H)'!$A$1:$CZ$1,0))</f>
        <v>#N/A</v>
      </c>
      <c r="F183" s="807">
        <v>0</v>
      </c>
      <c r="G183" s="417" t="str">
        <f>IF(F183="","If this question is not applicable please place a zero in the cell to the left","")</f>
        <v/>
      </c>
      <c r="H183" s="385"/>
      <c r="I183" s="72"/>
      <c r="J183" s="72"/>
      <c r="K183"/>
      <c r="L183" s="549"/>
    </row>
    <row r="184" spans="1:12" ht="66.75" customHeight="1" x14ac:dyDescent="0.3">
      <c r="A184" s="100">
        <v>988</v>
      </c>
      <c r="B184" s="374" t="s">
        <v>587</v>
      </c>
      <c r="C184" s="374"/>
      <c r="D184" s="21" t="s">
        <v>647</v>
      </c>
      <c r="E184" s="372" t="e">
        <f>INDEX('PY1 Data(H)'!$A$1:$CZ$265,MATCH('Unit Data from Audit Worksheet'!$A184,'PY1 Data(H)'!$A$1:$A$258,0),MATCH('Unit Data from Audit Worksheet'!$D$2,'PY1 Data(H)'!$A$1:$CZ$1,0))</f>
        <v>#N/A</v>
      </c>
      <c r="F184" s="186"/>
      <c r="G184" s="402"/>
      <c r="H184" s="17"/>
      <c r="I184" s="72"/>
      <c r="J184" s="72"/>
      <c r="K184"/>
      <c r="L184" s="549"/>
    </row>
    <row r="185" spans="1:12" ht="90" customHeight="1" x14ac:dyDescent="0.3">
      <c r="A185" s="100">
        <v>989</v>
      </c>
      <c r="B185" s="374" t="s">
        <v>587</v>
      </c>
      <c r="C185" s="374"/>
      <c r="D185" s="21" t="s">
        <v>806</v>
      </c>
      <c r="E185" s="372" t="e">
        <f>INDEX('PY1 Data(H)'!$A$1:$CZ$265,MATCH('Unit Data from Audit Worksheet'!$A185,'PY1 Data(H)'!$A$1:$A$258,0),MATCH('Unit Data from Audit Worksheet'!$D$2,'PY1 Data(H)'!$A$1:$CZ$1,0))</f>
        <v>#N/A</v>
      </c>
      <c r="F185" s="186"/>
      <c r="G185" s="402"/>
      <c r="H185" s="17"/>
      <c r="I185" s="72"/>
      <c r="J185" s="72"/>
      <c r="K185"/>
      <c r="L185" s="549"/>
    </row>
    <row r="186" spans="1:12" ht="72" x14ac:dyDescent="0.3">
      <c r="A186" s="100"/>
      <c r="B186" s="501"/>
      <c r="C186" s="501"/>
      <c r="D186" s="502" t="s">
        <v>1675</v>
      </c>
      <c r="E186" s="504"/>
      <c r="F186" s="504"/>
      <c r="G186" s="505"/>
      <c r="H186" s="17"/>
      <c r="I186" s="72"/>
      <c r="J186" s="72"/>
      <c r="K186"/>
      <c r="L186" s="549"/>
    </row>
    <row r="187" spans="1:12" ht="33.6" customHeight="1" x14ac:dyDescent="0.3">
      <c r="A187" s="100"/>
      <c r="B187" s="279"/>
      <c r="C187" s="279"/>
      <c r="D187" s="418" t="s">
        <v>2796</v>
      </c>
      <c r="E187" s="372"/>
      <c r="F187" s="245"/>
      <c r="G187" s="408"/>
      <c r="H187" s="17"/>
      <c r="I187" s="72"/>
      <c r="J187" s="72"/>
      <c r="K187"/>
      <c r="L187" s="549"/>
    </row>
    <row r="188" spans="1:12" ht="48.75" customHeight="1" x14ac:dyDescent="0.3">
      <c r="A188" s="100"/>
      <c r="B188" s="279"/>
      <c r="C188" s="279"/>
      <c r="D188" s="21" t="s">
        <v>762</v>
      </c>
      <c r="E188" s="372"/>
      <c r="F188" s="245"/>
      <c r="G188" s="408"/>
      <c r="H188" s="17"/>
      <c r="I188" s="72"/>
      <c r="J188" s="72"/>
      <c r="K188"/>
      <c r="L188" s="549"/>
    </row>
    <row r="189" spans="1:12" ht="51.75" customHeight="1" x14ac:dyDescent="0.3">
      <c r="A189" s="100">
        <v>327</v>
      </c>
      <c r="B189" s="374" t="s">
        <v>36</v>
      </c>
      <c r="C189" s="374" t="s">
        <v>166</v>
      </c>
      <c r="D189" s="419" t="s">
        <v>763</v>
      </c>
      <c r="E189" s="372" t="e">
        <f>INDEX('PY1 Data(H)'!$A$1:$CZ$265,MATCH('Unit Data from Audit Worksheet'!$A189,'PY1 Data(H)'!$A$1:$A$258,0),MATCH('Unit Data from Audit Worksheet'!$D$2,'PY1 Data(H)'!$A$1:$CZ$1,0))</f>
        <v>#N/A</v>
      </c>
      <c r="F189" s="807">
        <v>0</v>
      </c>
      <c r="G189" s="408"/>
      <c r="H189" s="17"/>
      <c r="I189" s="404"/>
      <c r="J189" s="404"/>
      <c r="K189"/>
      <c r="L189" s="549"/>
    </row>
    <row r="190" spans="1:12" ht="51.75" customHeight="1" x14ac:dyDescent="0.3">
      <c r="A190" s="100">
        <v>328</v>
      </c>
      <c r="B190" s="374" t="s">
        <v>36</v>
      </c>
      <c r="C190" s="374" t="s">
        <v>166</v>
      </c>
      <c r="D190" s="27" t="s">
        <v>7</v>
      </c>
      <c r="E190" s="372" t="e">
        <f>INDEX('PY1 Data(H)'!$A$1:$CZ$265,MATCH('Unit Data from Audit Worksheet'!$A190,'PY1 Data(H)'!$A$1:$A$258,0),MATCH('Unit Data from Audit Worksheet'!$D$2,'PY1 Data(H)'!$A$1:$CZ$1,0))</f>
        <v>#N/A</v>
      </c>
      <c r="F190" s="807">
        <v>0</v>
      </c>
      <c r="G190" s="408"/>
      <c r="H190" s="17"/>
      <c r="I190" s="404"/>
      <c r="J190" s="404"/>
      <c r="K190"/>
      <c r="L190" s="549"/>
    </row>
    <row r="191" spans="1:12" ht="42" customHeight="1" x14ac:dyDescent="0.3">
      <c r="A191" s="100"/>
      <c r="B191" s="279"/>
      <c r="C191" s="279"/>
      <c r="D191" s="28" t="s">
        <v>764</v>
      </c>
      <c r="E191" s="93" t="e">
        <f>E189+E190</f>
        <v>#N/A</v>
      </c>
      <c r="F191" s="93">
        <f>SUM(F189:F190)</f>
        <v>0</v>
      </c>
      <c r="G191" s="408"/>
      <c r="H191" s="17"/>
      <c r="I191" s="72"/>
      <c r="J191" s="72"/>
      <c r="K191"/>
      <c r="L191" s="549"/>
    </row>
    <row r="192" spans="1:12" ht="28.8" x14ac:dyDescent="0.3">
      <c r="A192" s="100"/>
      <c r="B192" s="279"/>
      <c r="C192" s="279"/>
      <c r="D192" s="21" t="s">
        <v>765</v>
      </c>
      <c r="E192" s="1"/>
      <c r="F192" s="245"/>
      <c r="G192" s="408"/>
      <c r="H192" s="17"/>
      <c r="I192" s="72"/>
      <c r="J192" s="72"/>
      <c r="K192"/>
      <c r="L192" s="549"/>
    </row>
    <row r="193" spans="1:20" ht="24" customHeight="1" x14ac:dyDescent="0.3">
      <c r="A193" s="100"/>
      <c r="B193" s="279"/>
      <c r="C193" s="279"/>
      <c r="D193" s="25" t="s">
        <v>9</v>
      </c>
      <c r="F193" s="420"/>
      <c r="G193" s="408"/>
      <c r="H193" s="17"/>
      <c r="I193" s="72"/>
      <c r="J193" s="72"/>
      <c r="K193"/>
      <c r="L193" s="549"/>
    </row>
    <row r="194" spans="1:20" ht="72" customHeight="1" x14ac:dyDescent="0.3">
      <c r="A194" s="100">
        <v>515</v>
      </c>
      <c r="B194" s="957" t="s">
        <v>2032</v>
      </c>
      <c r="C194" s="374" t="s">
        <v>167</v>
      </c>
      <c r="D194" s="29" t="s">
        <v>3</v>
      </c>
      <c r="E194" s="372" t="e">
        <f>INDEX('PY1 Data(H)'!$A$1:$CZ$265,MATCH('Unit Data from Audit Worksheet'!$A194,'PY1 Data(H)'!$A$1:$A$258,0),MATCH('Unit Data from Audit Worksheet'!$D$2,'PY1 Data(H)'!$A$1:$CZ$1,0))</f>
        <v>#N/A</v>
      </c>
      <c r="F194" s="807">
        <v>0</v>
      </c>
      <c r="G194" s="402"/>
      <c r="H194" s="17"/>
      <c r="I194" s="72"/>
      <c r="J194" s="72"/>
      <c r="K194"/>
      <c r="L194" s="549"/>
    </row>
    <row r="195" spans="1:20" ht="75.599999999999994" customHeight="1" x14ac:dyDescent="0.3">
      <c r="A195" s="100">
        <v>516</v>
      </c>
      <c r="B195" s="957" t="s">
        <v>2032</v>
      </c>
      <c r="C195" s="374" t="s">
        <v>167</v>
      </c>
      <c r="D195" s="29" t="s">
        <v>4</v>
      </c>
      <c r="E195" s="372" t="e">
        <f>INDEX('PY1 Data(H)'!$A$1:$CZ$265,MATCH('Unit Data from Audit Worksheet'!$A195,'PY1 Data(H)'!$A$1:$A$258,0),MATCH('Unit Data from Audit Worksheet'!$D$2,'PY1 Data(H)'!$A$1:$CZ$1,0))</f>
        <v>#N/A</v>
      </c>
      <c r="F195" s="807">
        <v>0</v>
      </c>
      <c r="G195" s="402"/>
      <c r="H195" s="17"/>
      <c r="I195" s="72"/>
      <c r="J195" s="72"/>
      <c r="K195"/>
      <c r="L195" s="549"/>
    </row>
    <row r="196" spans="1:20" ht="73.2" customHeight="1" x14ac:dyDescent="0.3">
      <c r="A196" s="100">
        <v>517</v>
      </c>
      <c r="B196" s="957" t="s">
        <v>2032</v>
      </c>
      <c r="C196" s="374" t="s">
        <v>167</v>
      </c>
      <c r="D196" s="29" t="s">
        <v>5</v>
      </c>
      <c r="E196" s="372" t="e">
        <f>INDEX('PY1 Data(H)'!$A$1:$CZ$265,MATCH('Unit Data from Audit Worksheet'!$A196,'PY1 Data(H)'!$A$1:$A$258,0),MATCH('Unit Data from Audit Worksheet'!$D$2,'PY1 Data(H)'!$A$1:$CZ$1,0))</f>
        <v>#N/A</v>
      </c>
      <c r="F196" s="807">
        <v>0</v>
      </c>
      <c r="G196" s="402"/>
      <c r="H196" s="17"/>
      <c r="I196" s="72"/>
      <c r="J196" s="72"/>
      <c r="K196"/>
      <c r="L196" s="549"/>
    </row>
    <row r="197" spans="1:20" ht="78" customHeight="1" x14ac:dyDescent="0.3">
      <c r="A197" s="100">
        <v>518</v>
      </c>
      <c r="B197" s="957" t="s">
        <v>2032</v>
      </c>
      <c r="C197" s="374" t="s">
        <v>167</v>
      </c>
      <c r="D197" s="29" t="s">
        <v>38</v>
      </c>
      <c r="E197" s="372" t="e">
        <f>INDEX('PY1 Data(H)'!$A$1:$CZ$265,MATCH('Unit Data from Audit Worksheet'!$A197,'PY1 Data(H)'!$A$1:$A$258,0),MATCH('Unit Data from Audit Worksheet'!$D$2,'PY1 Data(H)'!$A$1:$CZ$1,0))</f>
        <v>#N/A</v>
      </c>
      <c r="F197" s="807">
        <v>0</v>
      </c>
      <c r="G197" s="402"/>
      <c r="H197" s="17"/>
      <c r="I197" s="72"/>
      <c r="J197" s="72"/>
      <c r="K197"/>
      <c r="L197" s="549"/>
    </row>
    <row r="198" spans="1:20" ht="51" customHeight="1" x14ac:dyDescent="0.3">
      <c r="A198" s="716"/>
      <c r="B198" s="279"/>
      <c r="C198" s="279"/>
      <c r="D198" s="421" t="s">
        <v>766</v>
      </c>
      <c r="E198" s="93" t="e">
        <f>E194+E195+E196+E197</f>
        <v>#N/A</v>
      </c>
      <c r="F198" s="93">
        <f>SUM(F194:F197)</f>
        <v>0</v>
      </c>
      <c r="G198" s="408"/>
      <c r="H198" s="17"/>
      <c r="I198" s="72"/>
      <c r="J198" s="72"/>
      <c r="K198"/>
      <c r="L198" s="549"/>
    </row>
    <row r="199" spans="1:20" ht="30.75" customHeight="1" x14ac:dyDescent="0.3">
      <c r="A199" s="100"/>
      <c r="B199" s="279"/>
      <c r="C199" s="279"/>
      <c r="D199" s="25" t="s">
        <v>47</v>
      </c>
      <c r="E199" s="1"/>
      <c r="F199" s="245"/>
      <c r="G199" s="408"/>
      <c r="H199" s="17"/>
      <c r="I199" s="72"/>
      <c r="J199" s="72"/>
      <c r="K199"/>
      <c r="L199" s="549"/>
    </row>
    <row r="200" spans="1:20" ht="63" customHeight="1" x14ac:dyDescent="0.3">
      <c r="A200" s="100">
        <v>519</v>
      </c>
      <c r="B200" s="374" t="s">
        <v>36</v>
      </c>
      <c r="C200" s="374" t="s">
        <v>168</v>
      </c>
      <c r="D200" s="29" t="s">
        <v>14</v>
      </c>
      <c r="E200" s="372" t="e">
        <f>INDEX('PY1 Data(H)'!$A$1:$CZ$265,MATCH('Unit Data from Audit Worksheet'!$A200,'PY1 Data(H)'!$A$1:$A$258,0),MATCH('Unit Data from Audit Worksheet'!$D$2,'PY1 Data(H)'!$A$1:$CZ$1,0))</f>
        <v>#N/A</v>
      </c>
      <c r="F200" s="807">
        <v>0</v>
      </c>
      <c r="G200" s="402">
        <f>IF(F200&lt;0,"Error: Enter as positive.",)</f>
        <v>0</v>
      </c>
      <c r="H200" s="17"/>
      <c r="I200" s="72"/>
      <c r="J200" s="72"/>
      <c r="K200"/>
      <c r="L200" s="549"/>
    </row>
    <row r="201" spans="1:20" ht="69.75" customHeight="1" x14ac:dyDescent="0.3">
      <c r="A201" s="100">
        <v>520</v>
      </c>
      <c r="B201" s="374" t="s">
        <v>36</v>
      </c>
      <c r="C201" s="374" t="s">
        <v>168</v>
      </c>
      <c r="D201" s="29" t="s">
        <v>16</v>
      </c>
      <c r="E201" s="372" t="e">
        <f>INDEX('PY1 Data(H)'!$A$1:$CZ$265,MATCH('Unit Data from Audit Worksheet'!$A201,'PY1 Data(H)'!$A$1:$A$258,0),MATCH('Unit Data from Audit Worksheet'!$D$2,'PY1 Data(H)'!$A$1:$CZ$1,0))</f>
        <v>#N/A</v>
      </c>
      <c r="F201" s="807">
        <v>0</v>
      </c>
      <c r="G201" s="402">
        <f>IF(F201&lt;0,"Error: Enter as positive.",)</f>
        <v>0</v>
      </c>
      <c r="H201" s="17"/>
      <c r="I201" s="72"/>
      <c r="J201" s="72"/>
      <c r="K201"/>
      <c r="L201" s="549"/>
    </row>
    <row r="202" spans="1:20" ht="72" customHeight="1" x14ac:dyDescent="0.3">
      <c r="A202" s="100">
        <v>521</v>
      </c>
      <c r="B202" s="374" t="s">
        <v>36</v>
      </c>
      <c r="C202" s="374" t="s">
        <v>168</v>
      </c>
      <c r="D202" s="29" t="s">
        <v>18</v>
      </c>
      <c r="E202" s="372" t="e">
        <f>INDEX('PY1 Data(H)'!$A$1:$CZ$265,MATCH('Unit Data from Audit Worksheet'!$A202,'PY1 Data(H)'!$A$1:$A$258,0),MATCH('Unit Data from Audit Worksheet'!$D$2,'PY1 Data(H)'!$A$1:$CZ$1,0))</f>
        <v>#N/A</v>
      </c>
      <c r="F202" s="807">
        <v>0</v>
      </c>
      <c r="G202" s="402">
        <f>IF(F202&lt;0,"Error: Enter as positive.",)</f>
        <v>0</v>
      </c>
      <c r="H202" s="17"/>
      <c r="I202" s="72"/>
      <c r="J202" s="72"/>
      <c r="K202"/>
      <c r="L202" s="549"/>
    </row>
    <row r="203" spans="1:20" ht="74.25" customHeight="1" x14ac:dyDescent="0.3">
      <c r="A203" s="100">
        <v>522</v>
      </c>
      <c r="B203" s="374" t="s">
        <v>36</v>
      </c>
      <c r="C203" s="374" t="s">
        <v>168</v>
      </c>
      <c r="D203" s="29" t="s">
        <v>39</v>
      </c>
      <c r="E203" s="372" t="e">
        <f>INDEX('PY1 Data(H)'!$A$1:$CZ$265,MATCH('Unit Data from Audit Worksheet'!$A203,'PY1 Data(H)'!$A$1:$A$258,0),MATCH('Unit Data from Audit Worksheet'!$D$2,'PY1 Data(H)'!$A$1:$CZ$1,0))</f>
        <v>#N/A</v>
      </c>
      <c r="F203" s="807">
        <v>0</v>
      </c>
      <c r="G203" s="402">
        <f>IF(F203&lt;0,"Error: Enter as positive.",)</f>
        <v>0</v>
      </c>
      <c r="H203" s="17"/>
      <c r="I203" s="72"/>
      <c r="J203" s="72"/>
      <c r="K203"/>
      <c r="L203" s="549"/>
    </row>
    <row r="204" spans="1:20" ht="31.5" customHeight="1" x14ac:dyDescent="0.3">
      <c r="A204" s="714"/>
      <c r="B204" s="279"/>
      <c r="C204" s="279"/>
      <c r="D204" s="422" t="s">
        <v>33</v>
      </c>
      <c r="E204" s="93" t="e">
        <f>E200+E201+E202+E203</f>
        <v>#N/A</v>
      </c>
      <c r="F204" s="93">
        <f>SUM(F200:F203)</f>
        <v>0</v>
      </c>
      <c r="G204" s="123"/>
      <c r="H204" s="17"/>
      <c r="I204" s="72"/>
      <c r="J204" s="72"/>
      <c r="K204"/>
      <c r="L204" s="549"/>
    </row>
    <row r="205" spans="1:20" ht="26.25" customHeight="1" x14ac:dyDescent="0.3">
      <c r="A205" s="714"/>
      <c r="B205" s="279"/>
      <c r="C205" s="279"/>
      <c r="D205" s="25" t="s">
        <v>31</v>
      </c>
      <c r="E205" s="6"/>
      <c r="F205" s="423"/>
      <c r="G205" s="123"/>
      <c r="H205" s="17"/>
      <c r="I205"/>
      <c r="J205"/>
      <c r="K205"/>
      <c r="L205"/>
      <c r="N205"/>
      <c r="O205"/>
      <c r="P205"/>
      <c r="Q205"/>
      <c r="R205"/>
      <c r="S205"/>
      <c r="T205"/>
    </row>
    <row r="206" spans="1:20" ht="89.25" customHeight="1" x14ac:dyDescent="0.3">
      <c r="A206" s="100">
        <v>523</v>
      </c>
      <c r="B206" s="957" t="s">
        <v>2032</v>
      </c>
      <c r="C206" s="374" t="s">
        <v>169</v>
      </c>
      <c r="D206" s="29" t="s">
        <v>15</v>
      </c>
      <c r="E206" s="372" t="e">
        <f>INDEX('PY1 Data(H)'!$A$1:$CZ$265,MATCH('Unit Data from Audit Worksheet'!$A206,'PY1 Data(H)'!$A$1:$A$258,0),MATCH('Unit Data from Audit Worksheet'!$D$2,'PY1 Data(H)'!$A$1:$CZ$1,0))</f>
        <v>#N/A</v>
      </c>
      <c r="F206" s="807">
        <v>0</v>
      </c>
      <c r="G206" s="402">
        <f>IF(F206&lt;0,"Error: Enter as positive.",)</f>
        <v>0</v>
      </c>
      <c r="H206" s="17"/>
      <c r="I206"/>
      <c r="J206"/>
      <c r="K206"/>
      <c r="L206"/>
      <c r="N206"/>
      <c r="O206"/>
      <c r="P206"/>
      <c r="Q206"/>
      <c r="R206"/>
      <c r="S206"/>
      <c r="T206"/>
    </row>
    <row r="207" spans="1:20" ht="75" customHeight="1" x14ac:dyDescent="0.3">
      <c r="A207" s="100">
        <v>524</v>
      </c>
      <c r="B207" s="957" t="s">
        <v>2032</v>
      </c>
      <c r="C207" s="374" t="s">
        <v>169</v>
      </c>
      <c r="D207" s="29" t="s">
        <v>17</v>
      </c>
      <c r="E207" s="372" t="e">
        <f>INDEX('PY1 Data(H)'!$A$1:$CZ$265,MATCH('Unit Data from Audit Worksheet'!$A207,'PY1 Data(H)'!$A$1:$A$258,0),MATCH('Unit Data from Audit Worksheet'!$D$2,'PY1 Data(H)'!$A$1:$CZ$1,0))</f>
        <v>#N/A</v>
      </c>
      <c r="F207" s="807">
        <v>0</v>
      </c>
      <c r="G207" s="402">
        <f>IF(F207&lt;0,"Error: Enter as positive.",)</f>
        <v>0</v>
      </c>
      <c r="H207" s="17"/>
      <c r="I207"/>
      <c r="J207"/>
      <c r="K207"/>
      <c r="L207"/>
      <c r="N207"/>
      <c r="O207"/>
      <c r="P207"/>
      <c r="Q207"/>
      <c r="R207"/>
      <c r="S207"/>
      <c r="T207"/>
    </row>
    <row r="208" spans="1:20" ht="75" customHeight="1" x14ac:dyDescent="0.3">
      <c r="A208" s="100">
        <v>525</v>
      </c>
      <c r="B208" s="957" t="s">
        <v>2032</v>
      </c>
      <c r="C208" s="374" t="s">
        <v>169</v>
      </c>
      <c r="D208" s="29" t="s">
        <v>19</v>
      </c>
      <c r="E208" s="372" t="e">
        <f>INDEX('PY1 Data(H)'!$A$1:$CZ$265,MATCH('Unit Data from Audit Worksheet'!$A208,'PY1 Data(H)'!$A$1:$A$258,0),MATCH('Unit Data from Audit Worksheet'!$D$2,'PY1 Data(H)'!$A$1:$CZ$1,0))</f>
        <v>#N/A</v>
      </c>
      <c r="F208" s="807">
        <v>0</v>
      </c>
      <c r="G208" s="402">
        <f>IF(F208&lt;0,"Error: Enter as positive.",)</f>
        <v>0</v>
      </c>
      <c r="H208" s="17"/>
      <c r="I208"/>
      <c r="J208"/>
      <c r="K208"/>
      <c r="L208"/>
      <c r="N208"/>
      <c r="O208"/>
      <c r="P208"/>
      <c r="Q208"/>
      <c r="R208"/>
      <c r="S208"/>
      <c r="T208"/>
    </row>
    <row r="209" spans="1:1881" ht="76.5" customHeight="1" x14ac:dyDescent="0.3">
      <c r="A209" s="100">
        <v>526</v>
      </c>
      <c r="B209" s="957" t="s">
        <v>2032</v>
      </c>
      <c r="C209" s="374" t="s">
        <v>169</v>
      </c>
      <c r="D209" s="29" t="s">
        <v>40</v>
      </c>
      <c r="E209" s="372" t="e">
        <f>INDEX('PY1 Data(H)'!$A$1:$CZ$265,MATCH('Unit Data from Audit Worksheet'!$A209,'PY1 Data(H)'!$A$1:$A$258,0),MATCH('Unit Data from Audit Worksheet'!$D$2,'PY1 Data(H)'!$A$1:$CZ$1,0))</f>
        <v>#N/A</v>
      </c>
      <c r="F209" s="807">
        <v>0</v>
      </c>
      <c r="G209" s="402">
        <f>IF(F209&lt;0,"Error: Enter as positive.",)</f>
        <v>0</v>
      </c>
      <c r="H209" s="17"/>
      <c r="I209"/>
      <c r="J209"/>
      <c r="K209"/>
      <c r="L209"/>
      <c r="N209"/>
      <c r="O209"/>
      <c r="P209"/>
      <c r="Q209"/>
      <c r="R209"/>
      <c r="S209"/>
      <c r="T209"/>
    </row>
    <row r="210" spans="1:1881" ht="24.75" customHeight="1" x14ac:dyDescent="0.3">
      <c r="A210" s="100"/>
      <c r="B210" s="465"/>
      <c r="C210" s="465"/>
      <c r="D210" s="422" t="s">
        <v>32</v>
      </c>
      <c r="E210" s="93" t="e">
        <f>E206+E207+E208+E209</f>
        <v>#N/A</v>
      </c>
      <c r="F210" s="93">
        <f>SUM(F206:F209)</f>
        <v>0</v>
      </c>
      <c r="G210" s="408"/>
      <c r="H210" s="17"/>
      <c r="I210" s="72"/>
      <c r="J210" s="72"/>
      <c r="K210"/>
      <c r="L210" s="549"/>
    </row>
    <row r="211" spans="1:1881" ht="61.5" customHeight="1" x14ac:dyDescent="0.3">
      <c r="A211" s="100"/>
      <c r="B211" s="465"/>
      <c r="C211" s="465"/>
      <c r="D211" s="424" t="s">
        <v>34</v>
      </c>
      <c r="E211" s="93" t="e">
        <f>E191+E198-E210</f>
        <v>#N/A</v>
      </c>
      <c r="F211" s="93">
        <f>F191+F198-F210</f>
        <v>0</v>
      </c>
      <c r="G211" s="408"/>
      <c r="H211" s="17"/>
      <c r="I211" s="72"/>
      <c r="J211" s="72"/>
      <c r="K211"/>
      <c r="L211" s="549"/>
    </row>
    <row r="212" spans="1:1881" ht="21.6" customHeight="1" x14ac:dyDescent="0.3">
      <c r="A212" s="100"/>
      <c r="B212" s="279"/>
      <c r="C212" s="279"/>
      <c r="D212" s="416"/>
      <c r="E212" s="1"/>
      <c r="F212" s="245"/>
      <c r="G212" s="408"/>
      <c r="H212" s="17"/>
      <c r="I212" s="72"/>
      <c r="J212" s="72"/>
      <c r="K212"/>
      <c r="L212" s="549"/>
    </row>
    <row r="213" spans="1:1881" ht="34.5" customHeight="1" x14ac:dyDescent="0.3">
      <c r="A213" s="100"/>
      <c r="B213" s="501"/>
      <c r="C213" s="501"/>
      <c r="D213" s="493" t="s">
        <v>8</v>
      </c>
      <c r="E213" s="503"/>
      <c r="F213" s="504"/>
      <c r="G213" s="505"/>
      <c r="H213" s="17"/>
      <c r="I213" s="72"/>
      <c r="J213" s="72"/>
      <c r="K213"/>
      <c r="L213" s="549"/>
    </row>
    <row r="214" spans="1:1881" ht="55.5" customHeight="1" x14ac:dyDescent="0.3">
      <c r="A214" s="100">
        <v>527</v>
      </c>
      <c r="B214" s="957" t="s">
        <v>2038</v>
      </c>
      <c r="C214" s="374" t="s">
        <v>170</v>
      </c>
      <c r="D214" s="26" t="s">
        <v>767</v>
      </c>
      <c r="E214" s="372" t="e">
        <f>INDEX('PY1 Data(H)'!$A$1:$CZ$265,MATCH('Unit Data from Audit Worksheet'!$A214,'PY1 Data(H)'!$A$1:$A$258,0),MATCH('Unit Data from Audit Worksheet'!$D$2,'PY1 Data(H)'!$A$1:$CZ$1,0))</f>
        <v>#N/A</v>
      </c>
      <c r="F214" s="807">
        <v>0</v>
      </c>
      <c r="G214" s="408"/>
      <c r="H214" s="17"/>
      <c r="I214" s="404"/>
      <c r="J214" s="404"/>
      <c r="K214"/>
      <c r="L214" s="549"/>
    </row>
    <row r="215" spans="1:1881" ht="55.5" customHeight="1" x14ac:dyDescent="0.3">
      <c r="A215" s="100">
        <v>356</v>
      </c>
      <c r="B215" s="957" t="s">
        <v>2037</v>
      </c>
      <c r="C215" s="374" t="s">
        <v>170</v>
      </c>
      <c r="D215" s="99" t="s">
        <v>20</v>
      </c>
      <c r="E215" s="372" t="e">
        <f>INDEX('PY1 Data(H)'!$A$1:$CZ$265,MATCH('Unit Data from Audit Worksheet'!$A215,'PY1 Data(H)'!$A$1:$A$258,0),MATCH('Unit Data from Audit Worksheet'!$D$2,'PY1 Data(H)'!$A$1:$CZ$1,0))</f>
        <v>#N/A</v>
      </c>
      <c r="F215" s="807">
        <v>0</v>
      </c>
      <c r="G215" s="408"/>
      <c r="H215" s="17"/>
      <c r="I215" s="404"/>
      <c r="J215" s="404"/>
      <c r="K215"/>
      <c r="L215" s="549"/>
    </row>
    <row r="216" spans="1:1881" ht="55.5" customHeight="1" x14ac:dyDescent="0.3">
      <c r="A216" s="100">
        <v>357</v>
      </c>
      <c r="B216" s="374" t="s">
        <v>55</v>
      </c>
      <c r="C216" s="374" t="s">
        <v>171</v>
      </c>
      <c r="D216" s="99" t="s">
        <v>21</v>
      </c>
      <c r="E216" s="372" t="e">
        <f>INDEX('PY1 Data(H)'!$A$1:$CZ$265,MATCH('Unit Data from Audit Worksheet'!$A216,'PY1 Data(H)'!$A$1:$A$258,0),MATCH('Unit Data from Audit Worksheet'!$D$2,'PY1 Data(H)'!$A$1:$CZ$1,0))</f>
        <v>#N/A</v>
      </c>
      <c r="F216" s="807">
        <v>0</v>
      </c>
      <c r="G216" s="402">
        <f>IF(F216&lt;0,"Error: Enter as positive.",)</f>
        <v>0</v>
      </c>
      <c r="H216" s="17"/>
      <c r="I216" s="404"/>
      <c r="J216" s="404"/>
      <c r="K216"/>
      <c r="L216" s="549"/>
    </row>
    <row r="217" spans="1:1881" s="18" customFormat="1" ht="35.25" customHeight="1" x14ac:dyDescent="0.3">
      <c r="A217" s="100"/>
      <c r="B217" s="491" t="s">
        <v>10</v>
      </c>
      <c r="C217" s="501"/>
      <c r="D217" s="469"/>
      <c r="E217" s="506"/>
      <c r="F217" s="506"/>
      <c r="G217" s="488"/>
      <c r="H217" s="17"/>
      <c r="I217" s="72"/>
      <c r="J217" s="72"/>
      <c r="K217"/>
      <c r="L217" s="549"/>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768</v>
      </c>
      <c r="D218" s="21" t="s">
        <v>649</v>
      </c>
      <c r="E218" s="372" t="e">
        <f>INDEX('PY1 Data(H)'!$A$1:$CZ$265,MATCH('Unit Data from Audit Worksheet'!$A218,'PY1 Data(H)'!$A$1:$A$258,0),MATCH('Unit Data from Audit Worksheet'!$D$2,'PY1 Data(H)'!$A$1:$CZ$1,0))</f>
        <v>#N/A</v>
      </c>
      <c r="F218" s="807">
        <v>0</v>
      </c>
      <c r="G218" s="402">
        <f>IF(F218&lt;0,"Error: Enter as positive.",)</f>
        <v>0</v>
      </c>
      <c r="H218" s="17"/>
      <c r="I218" s="72"/>
      <c r="J218" s="72"/>
      <c r="K218"/>
      <c r="L218" s="549"/>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769</v>
      </c>
      <c r="E219" s="372" t="e">
        <f>INDEX('PY1 Data(H)'!$A$1:$CZ$265,MATCH('Unit Data from Audit Worksheet'!$A219,'PY1 Data(H)'!$A$1:$A$258,0),MATCH('Unit Data from Audit Worksheet'!$D$2,'PY1 Data(H)'!$A$1:$CZ$1,0))</f>
        <v>#N/A</v>
      </c>
      <c r="F219" s="807">
        <v>0</v>
      </c>
      <c r="G219" s="402">
        <f>IF(F219&lt;0,"Error: Enter as positive.",)</f>
        <v>0</v>
      </c>
      <c r="H219" s="17"/>
      <c r="I219" s="72"/>
      <c r="J219" s="72"/>
      <c r="K219"/>
      <c r="L219" s="549"/>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770</v>
      </c>
      <c r="D220" s="21" t="s">
        <v>454</v>
      </c>
      <c r="E220" s="372" t="e">
        <f>INDEX('PY1 Data(H)'!$A$1:$CZ$265,MATCH('Unit Data from Audit Worksheet'!$A220,'PY1 Data(H)'!$A$1:$A$258,0),MATCH('Unit Data from Audit Worksheet'!$D$2,'PY1 Data(H)'!$A$1:$CZ$1,0))</f>
        <v>#N/A</v>
      </c>
      <c r="F220" s="817">
        <v>0</v>
      </c>
      <c r="G220" s="402">
        <f>IF(F220&lt;0,"Error: Enter as positive.",)</f>
        <v>0</v>
      </c>
      <c r="H220" s="17"/>
      <c r="I220" s="425"/>
      <c r="J220" s="425"/>
      <c r="K220"/>
      <c r="L220" s="549"/>
    </row>
    <row r="221" spans="1:1881" ht="270.75" customHeight="1" x14ac:dyDescent="0.3">
      <c r="A221" s="100">
        <v>359</v>
      </c>
      <c r="B221" s="4" t="s">
        <v>55</v>
      </c>
      <c r="C221" s="4" t="s">
        <v>771</v>
      </c>
      <c r="D221" s="21" t="s">
        <v>454</v>
      </c>
      <c r="E221" s="372" t="e">
        <f>INDEX('PY1 Data(H)'!$A$1:$CZ$265,MATCH('Unit Data from Audit Worksheet'!$A221,'PY1 Data(H)'!$A$1:$A$258,0),MATCH('Unit Data from Audit Worksheet'!$D$2,'PY1 Data(H)'!$A$1:$CZ$1,0))</f>
        <v>#N/A</v>
      </c>
      <c r="F221" s="807">
        <v>0</v>
      </c>
      <c r="G221" s="402">
        <f>IF(F221&lt;0,"Error: Enter as positive.",)</f>
        <v>0</v>
      </c>
      <c r="H221" s="17"/>
      <c r="I221" s="425"/>
      <c r="J221" s="425"/>
      <c r="K221"/>
      <c r="L221" s="549"/>
    </row>
    <row r="222" spans="1:1881" s="427" customFormat="1" ht="33" customHeight="1" x14ac:dyDescent="0.3">
      <c r="A222" s="100"/>
      <c r="B222" s="746" t="s">
        <v>355</v>
      </c>
      <c r="C222" s="719"/>
      <c r="D222" s="89"/>
      <c r="E222" s="426"/>
      <c r="F222" s="414"/>
      <c r="G222" s="401"/>
      <c r="H222" s="17"/>
      <c r="I222" s="425"/>
      <c r="J222" s="425"/>
      <c r="K222"/>
      <c r="L222" s="549"/>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7" customFormat="1" ht="110.25" customHeight="1" x14ac:dyDescent="0.3">
      <c r="A223" s="100">
        <v>622</v>
      </c>
      <c r="B223" s="428" t="s">
        <v>326</v>
      </c>
      <c r="C223" s="117" t="s">
        <v>354</v>
      </c>
      <c r="D223" s="116" t="s">
        <v>673</v>
      </c>
      <c r="E223" s="372" t="e">
        <f>INDEX('PY1 Data(H)'!$A$1:$CZ$265,MATCH('Unit Data from Audit Worksheet'!$A223,'PY1 Data(H)'!$A$1:$A$258,0),MATCH('Unit Data from Audit Worksheet'!$D$2,'PY1 Data(H)'!$A$1:$CZ$1,0))</f>
        <v>#N/A</v>
      </c>
      <c r="F223" s="817">
        <v>0</v>
      </c>
      <c r="G223" s="402"/>
      <c r="H223" s="17"/>
      <c r="I223" s="425"/>
      <c r="J223" s="425"/>
      <c r="K223"/>
      <c r="L223" s="549"/>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7" customFormat="1" ht="191.4" customHeight="1" x14ac:dyDescent="0.3">
      <c r="A224" s="100">
        <v>577</v>
      </c>
      <c r="B224" s="428" t="s">
        <v>326</v>
      </c>
      <c r="C224" s="374" t="s">
        <v>298</v>
      </c>
      <c r="D224" s="228" t="s">
        <v>1552</v>
      </c>
      <c r="E224" s="530"/>
      <c r="F224" s="807"/>
      <c r="G224" s="532" t="str">
        <f>IF(F224="Yes","In this cell - Please include the name of the plan, a brief description of the benefit and the population group that received the benefits."," ")</f>
        <v xml:space="preserve"> </v>
      </c>
      <c r="H224" s="17"/>
      <c r="I224" s="425"/>
      <c r="J224" s="425"/>
      <c r="K224"/>
      <c r="L224" s="549"/>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7" customFormat="1" ht="30.75" customHeight="1" x14ac:dyDescent="0.3">
      <c r="A225" s="100"/>
      <c r="B225" s="746" t="s">
        <v>286</v>
      </c>
      <c r="C225" s="719"/>
      <c r="D225" s="89"/>
      <c r="E225" s="426"/>
      <c r="F225" s="429"/>
      <c r="G225" s="401"/>
      <c r="H225" s="17"/>
      <c r="I225" s="72"/>
      <c r="J225" s="72"/>
      <c r="K225"/>
      <c r="L225" s="549"/>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7" customFormat="1" ht="81.75" customHeight="1" x14ac:dyDescent="0.3">
      <c r="A226" s="100">
        <v>598</v>
      </c>
      <c r="B226" s="374" t="s">
        <v>58</v>
      </c>
      <c r="C226" s="374" t="s">
        <v>287</v>
      </c>
      <c r="D226" s="384" t="s">
        <v>340</v>
      </c>
      <c r="E226" s="372" t="e">
        <f>INDEX('PY1 Data(H)'!$A$1:$CZ$265,MATCH('Unit Data from Audit Worksheet'!$A226,'PY1 Data(H)'!$A$1:$A$258,0),MATCH('Unit Data from Audit Worksheet'!$D$2,'PY1 Data(H)'!$A$1:$CZ$1,0))</f>
        <v>#N/A</v>
      </c>
      <c r="F226" s="807">
        <v>0</v>
      </c>
      <c r="G226" s="402">
        <f>IF(F226&lt;0,"Error: Enter as positive.",)</f>
        <v>0</v>
      </c>
      <c r="H226" s="402"/>
      <c r="I226" s="425"/>
      <c r="J226" s="425"/>
      <c r="K226"/>
      <c r="L226" s="549"/>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7" customFormat="1" ht="53.25" customHeight="1" x14ac:dyDescent="0.3">
      <c r="A227" s="100">
        <v>599</v>
      </c>
      <c r="B227" s="374" t="s">
        <v>58</v>
      </c>
      <c r="C227" s="374" t="s">
        <v>287</v>
      </c>
      <c r="D227" s="26" t="s">
        <v>341</v>
      </c>
      <c r="E227" s="372" t="e">
        <f>INDEX('PY1 Data(H)'!$A$1:$CZ$265,MATCH('Unit Data from Audit Worksheet'!$A227,'PY1 Data(H)'!$A$1:$A$258,0),MATCH('Unit Data from Audit Worksheet'!$D$2,'PY1 Data(H)'!$A$1:$CZ$1,0))</f>
        <v>#N/A</v>
      </c>
      <c r="F227" s="807">
        <v>0</v>
      </c>
      <c r="G227" s="431" t="str">
        <f>IF(ISBLANK(F227),"Please do not leave blank","")</f>
        <v/>
      </c>
      <c r="H227" s="402">
        <f>IF(F227&lt;0,"Error: Enter as positive.",)</f>
        <v>0</v>
      </c>
      <c r="I227" s="72"/>
      <c r="J227" s="72"/>
      <c r="K227"/>
      <c r="L227" s="549"/>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7" customFormat="1" ht="78.75" customHeight="1" x14ac:dyDescent="0.3">
      <c r="A228" s="100">
        <v>602</v>
      </c>
      <c r="B228" s="374" t="s">
        <v>58</v>
      </c>
      <c r="C228" s="374" t="s">
        <v>287</v>
      </c>
      <c r="D228" s="99" t="s">
        <v>345</v>
      </c>
      <c r="E228" s="372" t="e">
        <f>INDEX('PY1 Data(H)'!$A$1:$CZ$265,MATCH('Unit Data from Audit Worksheet'!$A228,'PY1 Data(H)'!$A$1:$A$258,0),MATCH('Unit Data from Audit Worksheet'!$D$2,'PY1 Data(H)'!$A$1:$CZ$1,0))</f>
        <v>#N/A</v>
      </c>
      <c r="F228" s="807">
        <v>0</v>
      </c>
      <c r="G228" s="431" t="str">
        <f>IF(ISBLANK(F228),"Please do not leave blank","")</f>
        <v/>
      </c>
      <c r="H228" s="402">
        <f>IF(F228&lt;0,"Note: Number is normally positive.",)</f>
        <v>0</v>
      </c>
      <c r="I228" s="72"/>
      <c r="J228" s="72"/>
      <c r="K228"/>
      <c r="L228" s="549"/>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7" customFormat="1" ht="90" customHeight="1" x14ac:dyDescent="0.3">
      <c r="A229" s="100">
        <v>619</v>
      </c>
      <c r="B229" s="374" t="s">
        <v>58</v>
      </c>
      <c r="C229" s="374" t="s">
        <v>349</v>
      </c>
      <c r="D229" s="87" t="s">
        <v>352</v>
      </c>
      <c r="E229" s="809" t="e">
        <f>INDEX('PY1 Data(H)'!$A$1:$CZ$265,MATCH('Unit Data from Audit Worksheet'!$A229,'PY1 Data(H)'!$A$1:$A$258,0),MATCH('Unit Data from Audit Worksheet'!$D$2,'PY1 Data(H)'!$A$1:$CZ$1,0))</f>
        <v>#N/A</v>
      </c>
      <c r="F229" s="810">
        <v>0</v>
      </c>
      <c r="G229" s="431" t="str">
        <f>IF(ISBLANK(F229),"Please do not leave blank ",IF(F229=H229,"","Please review percentage"))</f>
        <v/>
      </c>
      <c r="H229" s="994">
        <f>ROUND(IFERROR((F228/F227)*100,0),1)</f>
        <v>0</v>
      </c>
      <c r="I229" s="187"/>
      <c r="J229" s="187"/>
      <c r="K229"/>
      <c r="L229" s="549"/>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1" t="s">
        <v>25</v>
      </c>
      <c r="C230" s="501"/>
      <c r="D230" s="494"/>
      <c r="E230" s="494"/>
      <c r="F230" s="508"/>
      <c r="G230" s="476"/>
      <c r="H230" s="17"/>
      <c r="I230" s="72"/>
      <c r="J230" s="72"/>
      <c r="K230"/>
      <c r="L230" s="549"/>
    </row>
    <row r="231" spans="1:1881" ht="151.19999999999999" customHeight="1" x14ac:dyDescent="0.3">
      <c r="A231" s="117">
        <v>621</v>
      </c>
      <c r="B231" s="117" t="s">
        <v>326</v>
      </c>
      <c r="C231" s="117" t="s">
        <v>356</v>
      </c>
      <c r="D231" s="116" t="s">
        <v>674</v>
      </c>
      <c r="E231" s="372" t="e">
        <f>INDEX('PY1 Data(H)'!$A$1:$CZ$265,MATCH('Unit Data from Audit Worksheet'!$A231,'PY1 Data(H)'!$A$1:$A$258,0),MATCH('Unit Data from Audit Worksheet'!$D$2,'PY1 Data(H)'!$A$1:$CZ$1,0))</f>
        <v>#N/A</v>
      </c>
      <c r="F231" s="807">
        <v>0</v>
      </c>
      <c r="G231" s="431" t="s">
        <v>675</v>
      </c>
      <c r="K231"/>
      <c r="L231" s="549"/>
    </row>
    <row r="232" spans="1:1881" ht="178.2" customHeight="1" x14ac:dyDescent="0.3">
      <c r="A232" s="100">
        <v>547</v>
      </c>
      <c r="B232" s="374"/>
      <c r="C232" s="374" t="s">
        <v>159</v>
      </c>
      <c r="D232" s="748" t="s">
        <v>1641</v>
      </c>
      <c r="E232" s="372" t="e">
        <f>INDEX('PY1 Data(H)'!$A$1:$CZ$265,MATCH('Unit Data from Audit Worksheet'!$A232,'PY1 Data(H)'!$A$1:$A$258,0),MATCH('Unit Data from Audit Worksheet'!$D$2,'PY1 Data(H)'!$A$1:$CZ$1,0))</f>
        <v>#N/A</v>
      </c>
      <c r="F232" s="185"/>
      <c r="G232" s="430" t="str">
        <f>IF(F232&lt;1,"Please answer this question","")</f>
        <v>Please answer this question</v>
      </c>
      <c r="H232" s="403"/>
      <c r="I232" s="404"/>
      <c r="J232" s="404"/>
      <c r="K232"/>
      <c r="L232" s="549"/>
    </row>
    <row r="233" spans="1:1881" s="18" customFormat="1" ht="120" customHeight="1" x14ac:dyDescent="0.3">
      <c r="A233" s="191">
        <v>659</v>
      </c>
      <c r="B233" s="461" t="s">
        <v>58</v>
      </c>
      <c r="C233" s="461" t="s">
        <v>346</v>
      </c>
      <c r="D233" s="194" t="s">
        <v>676</v>
      </c>
      <c r="E233" s="372" t="e">
        <f>INDEX('PY1 Data(H)'!$A$1:$CZ$265,MATCH('Unit Data from Audit Worksheet'!$A233,'PY1 Data(H)'!$A$1:$A$258,0),MATCH('Unit Data from Audit Worksheet'!$D$2,'PY1 Data(H)'!$A$1:$CZ$1,0))</f>
        <v>#N/A</v>
      </c>
      <c r="F233" s="807">
        <v>0</v>
      </c>
      <c r="G233" s="431" t="s">
        <v>677</v>
      </c>
      <c r="H233" s="402">
        <f>IF(F230&lt;0,"Error: Enter as positive.",)</f>
        <v>0</v>
      </c>
      <c r="I233" s="244"/>
      <c r="J233" s="244"/>
      <c r="K233"/>
      <c r="L233" s="549"/>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1" t="s">
        <v>58</v>
      </c>
      <c r="C234" s="461" t="s">
        <v>346</v>
      </c>
      <c r="D234" s="194" t="s">
        <v>678</v>
      </c>
      <c r="E234" s="372" t="e">
        <f>INDEX('PY1 Data(H)'!$A$1:$CZ$265,MATCH('Unit Data from Audit Worksheet'!$A234,'PY1 Data(H)'!$A$1:$A$258,0),MATCH('Unit Data from Audit Worksheet'!$D$2,'PY1 Data(H)'!$A$1:$CZ$1,0))</f>
        <v>#N/A</v>
      </c>
      <c r="F234" s="807">
        <v>0</v>
      </c>
      <c r="G234" s="431" t="str">
        <f>IF(ISBLANK(F234),"Please do not leave blank","")</f>
        <v/>
      </c>
      <c r="H234" s="402">
        <f>IF(F231&lt;0,"Note: Number is normally positive.",)</f>
        <v>0</v>
      </c>
      <c r="I234" s="17"/>
      <c r="J234" s="17"/>
      <c r="K234"/>
      <c r="L234" s="549"/>
    </row>
    <row r="235" spans="1:1881" ht="94.5" customHeight="1" x14ac:dyDescent="0.3">
      <c r="A235" s="191">
        <v>661</v>
      </c>
      <c r="B235" s="461" t="s">
        <v>58</v>
      </c>
      <c r="C235" s="461" t="s">
        <v>348</v>
      </c>
      <c r="D235" s="344" t="s">
        <v>679</v>
      </c>
      <c r="E235" s="809" t="e">
        <f>INDEX('PY1 Data(H)'!$A$1:$CZ$265,MATCH('Unit Data from Audit Worksheet'!$A235,'PY1 Data(H)'!$A$1:$A$258,0),MATCH('Unit Data from Audit Worksheet'!$D$2,'PY1 Data(H)'!$A$1:$CZ$1,0))</f>
        <v>#N/A</v>
      </c>
      <c r="F235" s="810">
        <v>0</v>
      </c>
      <c r="G235" s="431" t="str">
        <f>IF(ISBLANK(F235),"Please do not leave blank ",IF(F235=H235,"","Please review percentage"))</f>
        <v/>
      </c>
      <c r="H235" s="811">
        <f>ROUND(IFERROR((F234/F233)*100,0),1)</f>
        <v>0</v>
      </c>
      <c r="I235" s="432"/>
      <c r="J235" s="432"/>
      <c r="K235"/>
      <c r="L235" s="549"/>
    </row>
    <row r="236" spans="1:1881" ht="111.75" customHeight="1" x14ac:dyDescent="0.3">
      <c r="A236" s="100"/>
      <c r="B236" s="374"/>
      <c r="C236" s="374"/>
      <c r="D236" s="24" t="s">
        <v>26</v>
      </c>
      <c r="E236" s="372"/>
      <c r="F236" s="376"/>
      <c r="G236" s="431"/>
      <c r="H236" s="432"/>
      <c r="I236" s="433"/>
      <c r="J236" s="433"/>
      <c r="K236"/>
      <c r="L236" s="549"/>
    </row>
    <row r="237" spans="1:1881" ht="32.25" customHeight="1" x14ac:dyDescent="0.3">
      <c r="A237" s="100"/>
      <c r="B237" s="491" t="s">
        <v>27</v>
      </c>
      <c r="C237" s="501"/>
      <c r="D237" s="494"/>
      <c r="E237" s="507"/>
      <c r="F237" s="507"/>
      <c r="G237" s="476"/>
      <c r="H237" s="17"/>
      <c r="I237" s="72"/>
      <c r="J237" s="72"/>
      <c r="K237"/>
      <c r="L237" s="549"/>
    </row>
    <row r="238" spans="1:1881" ht="63.75" customHeight="1" x14ac:dyDescent="0.3">
      <c r="A238" s="30">
        <v>371</v>
      </c>
      <c r="B238" s="4" t="s">
        <v>55</v>
      </c>
      <c r="C238" s="4" t="s">
        <v>160</v>
      </c>
      <c r="D238" s="21" t="s">
        <v>772</v>
      </c>
      <c r="E238" s="372" t="e">
        <f>INDEX('PY1 Data(H)'!$A$1:$CZ$265,MATCH('Unit Data from Audit Worksheet'!$A238,'PY1 Data(H)'!$A$1:$A$258,0),MATCH('Unit Data from Audit Worksheet'!$D$2,'PY1 Data(H)'!$A$1:$CZ$1,0))</f>
        <v>#N/A</v>
      </c>
      <c r="F238" s="807">
        <v>0</v>
      </c>
      <c r="G238" s="402">
        <f>IF(F238&lt;0,"Error: Enter as positive.",)</f>
        <v>0</v>
      </c>
      <c r="H238" s="17"/>
      <c r="I238" s="72"/>
      <c r="J238" s="72"/>
      <c r="K238"/>
      <c r="L238" s="549"/>
    </row>
    <row r="239" spans="1:1881" ht="63.75" customHeight="1" x14ac:dyDescent="0.3">
      <c r="A239" s="627">
        <v>1075</v>
      </c>
      <c r="B239" s="795" t="s">
        <v>58</v>
      </c>
      <c r="C239" s="463" t="s">
        <v>160</v>
      </c>
      <c r="D239" s="654" t="s">
        <v>1996</v>
      </c>
      <c r="E239" s="629" t="s">
        <v>1702</v>
      </c>
      <c r="F239" s="807">
        <v>0</v>
      </c>
      <c r="G239" s="402"/>
      <c r="H239" s="17"/>
      <c r="I239" s="72"/>
      <c r="J239" s="72"/>
      <c r="K239" s="180"/>
      <c r="L239" s="549"/>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7">
        <v>1076</v>
      </c>
      <c r="B240" s="795" t="s">
        <v>58</v>
      </c>
      <c r="C240" s="463" t="s">
        <v>160</v>
      </c>
      <c r="D240" s="654" t="s">
        <v>1997</v>
      </c>
      <c r="E240" s="629" t="s">
        <v>1702</v>
      </c>
      <c r="F240" s="807">
        <v>0</v>
      </c>
      <c r="G240" s="402"/>
      <c r="H240" s="17"/>
      <c r="I240" s="72"/>
      <c r="J240" s="72"/>
      <c r="K240" s="180"/>
      <c r="L240" s="549"/>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7">
        <v>1077</v>
      </c>
      <c r="B241" s="795" t="s">
        <v>58</v>
      </c>
      <c r="C241" s="720" t="s">
        <v>2000</v>
      </c>
      <c r="D241" s="654" t="s">
        <v>2790</v>
      </c>
      <c r="E241" s="629" t="s">
        <v>1702</v>
      </c>
      <c r="F241" s="807">
        <v>0</v>
      </c>
      <c r="G241" s="402"/>
      <c r="H241" s="17"/>
      <c r="I241" s="72"/>
      <c r="J241" s="72"/>
      <c r="K241" s="180"/>
      <c r="L241" s="549"/>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59" t="s">
        <v>57</v>
      </c>
      <c r="C242" s="4" t="s">
        <v>160</v>
      </c>
      <c r="D242" s="21" t="s">
        <v>773</v>
      </c>
      <c r="E242" s="806" t="e">
        <f>INDEX('PY1 Data(H)'!$A$1:$CZ$265,MATCH('Unit Data from Audit Worksheet'!$A242,'PY1 Data(H)'!$A$1:$A$258,0),MATCH('Unit Data from Audit Worksheet'!$D$2,'PY1 Data(H)'!$A$1:$CZ$1,0))</f>
        <v>#N/A</v>
      </c>
      <c r="F242" s="185">
        <v>0</v>
      </c>
      <c r="G242" s="402">
        <f>IF(F242&lt;0,"Error: Enter as positive.",)</f>
        <v>0</v>
      </c>
      <c r="H242" s="403"/>
      <c r="I242" s="404"/>
      <c r="J242" s="404"/>
      <c r="K242"/>
      <c r="L242" s="549"/>
    </row>
    <row r="243" spans="1:123" ht="80.25" customHeight="1" x14ac:dyDescent="0.3">
      <c r="A243" s="100">
        <v>514</v>
      </c>
      <c r="B243" s="459" t="s">
        <v>57</v>
      </c>
      <c r="C243" s="4" t="s">
        <v>160</v>
      </c>
      <c r="D243" s="21" t="s">
        <v>774</v>
      </c>
      <c r="E243" s="806" t="e">
        <f>INDEX('PY1 Data(H)'!$A$1:$CZ$265,MATCH('Unit Data from Audit Worksheet'!$A243,'PY1 Data(H)'!$A$1:$A$258,0),MATCH('Unit Data from Audit Worksheet'!$D$2,'PY1 Data(H)'!$A$1:$CZ$1,0))</f>
        <v>#N/A</v>
      </c>
      <c r="F243" s="185">
        <v>0</v>
      </c>
      <c r="G243" s="402">
        <f>IF(F243&lt;0,"Error: Enter as positive.",)</f>
        <v>0</v>
      </c>
      <c r="H243" s="17"/>
      <c r="I243" s="404"/>
      <c r="J243" s="404"/>
      <c r="K243"/>
      <c r="L243" s="549"/>
    </row>
    <row r="244" spans="1:123" ht="80.25" customHeight="1" x14ac:dyDescent="0.3">
      <c r="A244" s="100">
        <v>990</v>
      </c>
      <c r="B244" s="958" t="s">
        <v>2046</v>
      </c>
      <c r="C244" s="374" t="s">
        <v>160</v>
      </c>
      <c r="D244" s="21" t="s">
        <v>1526</v>
      </c>
      <c r="E244" s="806" t="e">
        <f>INDEX('PY1 Data(H)'!$A$1:$CZ$265,MATCH('Unit Data from Audit Worksheet'!$A244,'PY1 Data(H)'!$A$1:$A$258,0),MATCH('Unit Data from Audit Worksheet'!$D$2,'PY1 Data(H)'!$A$1:$CZ$1,0))</f>
        <v>#N/A</v>
      </c>
      <c r="F244" s="185">
        <v>0</v>
      </c>
      <c r="G244" s="402">
        <f>IF(F244&lt;0,"Error: Enter as positive.",)</f>
        <v>0</v>
      </c>
      <c r="H244" s="17"/>
      <c r="I244" s="404"/>
      <c r="J244" s="404"/>
      <c r="K244"/>
      <c r="L244" s="549"/>
    </row>
    <row r="245" spans="1:123" ht="96" customHeight="1" x14ac:dyDescent="0.3">
      <c r="A245" s="374">
        <v>1051</v>
      </c>
      <c r="B245" s="960" t="s">
        <v>2042</v>
      </c>
      <c r="C245" s="714" t="s">
        <v>1531</v>
      </c>
      <c r="D245" s="794" t="s">
        <v>1522</v>
      </c>
      <c r="E245" s="806" t="e">
        <f>INDEX('PY1 Data(H)'!$A$1:$CZ$265,MATCH('Unit Data from Audit Worksheet'!$A245,'PY1 Data(H)'!$A$1:$A$258,0),MATCH('Unit Data from Audit Worksheet'!$D$2,'PY1 Data(H)'!$A$1:$CZ$1,0))</f>
        <v>#N/A</v>
      </c>
      <c r="F245" s="185">
        <v>0</v>
      </c>
      <c r="G245" s="402">
        <f>IF(F245&lt;0,"Error: Enter as positive.",)</f>
        <v>0</v>
      </c>
      <c r="H245" s="17"/>
      <c r="I245" s="404"/>
      <c r="J245" s="404"/>
      <c r="K245" s="180"/>
      <c r="L245" s="549"/>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1" t="s">
        <v>28</v>
      </c>
      <c r="C246" s="501"/>
      <c r="D246" s="494"/>
      <c r="E246" s="476"/>
      <c r="F246" s="476"/>
      <c r="G246" s="476"/>
      <c r="H246" s="17"/>
      <c r="I246" s="72"/>
      <c r="J246" s="72"/>
      <c r="K246"/>
      <c r="L246" s="549"/>
    </row>
    <row r="247" spans="1:123" ht="68.25" customHeight="1" x14ac:dyDescent="0.3">
      <c r="A247" s="100">
        <v>6</v>
      </c>
      <c r="B247" s="957" t="s">
        <v>2027</v>
      </c>
      <c r="C247" s="4" t="s">
        <v>161</v>
      </c>
      <c r="D247" s="21" t="s">
        <v>775</v>
      </c>
      <c r="E247" s="372" t="e">
        <f>INDEX('PY1 Data(H)'!$A$1:$CZ$265,MATCH('Unit Data from Audit Worksheet'!$A247,'PY1 Data(H)'!$A$1:$A$258,0),MATCH('Unit Data from Audit Worksheet'!$D$2,'PY1 Data(H)'!$A$1:$CZ$1,0))</f>
        <v>#N/A</v>
      </c>
      <c r="F247" s="807">
        <v>0</v>
      </c>
      <c r="G247" s="402">
        <f>IF(F247&lt;0,"Error: Enter as positive.",)</f>
        <v>0</v>
      </c>
      <c r="H247" s="17"/>
      <c r="I247" s="72"/>
      <c r="J247" s="72"/>
      <c r="K247"/>
      <c r="L247" s="549"/>
    </row>
    <row r="248" spans="1:123" ht="33" customHeight="1" x14ac:dyDescent="0.3">
      <c r="A248" s="100"/>
      <c r="B248" s="491" t="s">
        <v>172</v>
      </c>
      <c r="C248" s="501"/>
      <c r="D248" s="494"/>
      <c r="E248" s="486"/>
      <c r="F248" s="486"/>
      <c r="G248" s="486"/>
      <c r="H248" s="403"/>
      <c r="I248" s="404"/>
      <c r="J248" s="404"/>
      <c r="K248"/>
      <c r="L248" s="549"/>
    </row>
    <row r="249" spans="1:123" ht="141" customHeight="1" x14ac:dyDescent="0.3">
      <c r="A249" s="100">
        <v>541</v>
      </c>
      <c r="B249" s="374" t="s">
        <v>58</v>
      </c>
      <c r="C249" s="374" t="s">
        <v>776</v>
      </c>
      <c r="D249" s="371" t="s">
        <v>777</v>
      </c>
      <c r="E249" s="372" t="e">
        <f>INDEX('PY1 Data(H)'!$A$1:$CZ$265,MATCH('Unit Data from Audit Worksheet'!$A249,'PY1 Data(H)'!$A$1:$A$258,0),MATCH('Unit Data from Audit Worksheet'!$D$2,'PY1 Data(H)'!$A$1:$CZ$1,0))</f>
        <v>#N/A</v>
      </c>
      <c r="F249" s="807">
        <v>0</v>
      </c>
      <c r="G249" s="402"/>
      <c r="H249" s="403"/>
      <c r="I249" s="404"/>
      <c r="J249" s="404"/>
      <c r="K249"/>
      <c r="L249" s="549"/>
    </row>
    <row r="250" spans="1:123" ht="28.5" customHeight="1" x14ac:dyDescent="0.3">
      <c r="A250" s="100"/>
      <c r="B250" s="491" t="s">
        <v>49</v>
      </c>
      <c r="C250" s="501"/>
      <c r="D250" s="494"/>
      <c r="E250" s="505"/>
      <c r="F250" s="505"/>
      <c r="G250" s="505"/>
      <c r="H250" s="403"/>
      <c r="I250" s="404"/>
      <c r="J250" s="404"/>
      <c r="K250"/>
      <c r="L250" s="549"/>
    </row>
    <row r="251" spans="1:123" ht="91.95" customHeight="1" x14ac:dyDescent="0.3">
      <c r="A251" s="100">
        <v>542</v>
      </c>
      <c r="B251" s="374" t="s">
        <v>58</v>
      </c>
      <c r="C251" s="466" t="s">
        <v>778</v>
      </c>
      <c r="D251" s="26" t="s">
        <v>162</v>
      </c>
      <c r="E251" s="372" t="e">
        <f>INDEX('PY1 Data(H)'!$A$1:$CZ$265,MATCH('Unit Data from Audit Worksheet'!$A251,'PY1 Data(H)'!$A$1:$A$258,0),MATCH('Unit Data from Audit Worksheet'!$D$2,'PY1 Data(H)'!$A$1:$CZ$1,0))</f>
        <v>#N/A</v>
      </c>
      <c r="F251" s="807">
        <v>0</v>
      </c>
      <c r="G251" s="402"/>
      <c r="H251" s="403"/>
      <c r="I251" s="434"/>
      <c r="J251" s="434"/>
      <c r="K251"/>
      <c r="L251" s="549"/>
    </row>
    <row r="252" spans="1:123" ht="21.6" customHeight="1" x14ac:dyDescent="0.3">
      <c r="A252" s="100"/>
      <c r="B252" s="491" t="s">
        <v>779</v>
      </c>
      <c r="C252" s="713"/>
      <c r="D252" s="469"/>
      <c r="E252" s="488"/>
      <c r="F252" s="488"/>
      <c r="G252" s="488"/>
      <c r="H252" s="17"/>
      <c r="I252" s="72"/>
      <c r="J252" s="72"/>
      <c r="K252"/>
      <c r="L252" s="549"/>
    </row>
    <row r="253" spans="1:123" ht="12.6" customHeight="1" x14ac:dyDescent="0.3">
      <c r="A253" s="100"/>
      <c r="B253" s="747" t="s">
        <v>12</v>
      </c>
      <c r="C253" s="721"/>
      <c r="D253" s="469"/>
      <c r="E253" s="509"/>
      <c r="F253" s="509"/>
      <c r="G253" s="488"/>
      <c r="H253" s="17"/>
      <c r="I253" s="72"/>
      <c r="J253" s="72"/>
      <c r="K253"/>
      <c r="L253" s="549"/>
    </row>
    <row r="254" spans="1:123" ht="77.25" customHeight="1" x14ac:dyDescent="0.3">
      <c r="A254" s="100">
        <v>528</v>
      </c>
      <c r="B254" s="374" t="s">
        <v>54</v>
      </c>
      <c r="C254" s="4" t="s">
        <v>163</v>
      </c>
      <c r="D254" s="324" t="s">
        <v>2009</v>
      </c>
      <c r="E254" s="372" t="e">
        <f>INDEX('PY1 Data(H)'!$A$1:$CZ$265,MATCH('Unit Data from Audit Worksheet'!$A254,'PY1 Data(H)'!$A$1:$A$258,0),MATCH('Unit Data from Audit Worksheet'!$D$2,'PY1 Data(H)'!$A$1:$CZ$1,0))</f>
        <v>#N/A</v>
      </c>
      <c r="F254" s="807">
        <v>0</v>
      </c>
      <c r="G254" s="402">
        <f>IF(F254="","Error: Unit must enter this information if they levy taxes.",)</f>
        <v>0</v>
      </c>
      <c r="H254" s="435"/>
      <c r="I254" s="72"/>
      <c r="J254" s="72"/>
      <c r="K254"/>
      <c r="L254" s="549"/>
    </row>
    <row r="255" spans="1:123" ht="69" customHeight="1" x14ac:dyDescent="0.3">
      <c r="A255" s="100">
        <v>529</v>
      </c>
      <c r="B255" s="374" t="s">
        <v>54</v>
      </c>
      <c r="C255" s="4" t="s">
        <v>163</v>
      </c>
      <c r="D255" s="324" t="s">
        <v>780</v>
      </c>
      <c r="E255" s="372" t="e">
        <f>INDEX('PY1 Data(H)'!$A$1:$CZ$265,MATCH('Unit Data from Audit Worksheet'!$A255,'PY1 Data(H)'!$A$1:$A$258,0),MATCH('Unit Data from Audit Worksheet'!$D$2,'PY1 Data(H)'!$A$1:$CZ$1,0))</f>
        <v>#N/A</v>
      </c>
      <c r="F255" s="807">
        <v>0</v>
      </c>
      <c r="G255" s="402">
        <f>IF(F255="","Error: Unit must enter this information if they levy taxes.",)</f>
        <v>0</v>
      </c>
      <c r="H255" s="17"/>
      <c r="I255" s="72"/>
      <c r="J255" s="72"/>
      <c r="K255"/>
      <c r="L255" s="549"/>
    </row>
    <row r="256" spans="1:123" ht="69" customHeight="1" x14ac:dyDescent="0.3">
      <c r="A256" s="100">
        <v>530</v>
      </c>
      <c r="B256" s="374" t="s">
        <v>54</v>
      </c>
      <c r="C256" s="4" t="s">
        <v>163</v>
      </c>
      <c r="D256" s="467" t="s">
        <v>781</v>
      </c>
      <c r="E256" s="372" t="e">
        <f>INDEX('PY1 Data(H)'!$A$1:$CZ$265,MATCH('Unit Data from Audit Worksheet'!$A256,'PY1 Data(H)'!$A$1:$A$258,0),MATCH('Unit Data from Audit Worksheet'!$D$2,'PY1 Data(H)'!$A$1:$CZ$1,0))</f>
        <v>#N/A</v>
      </c>
      <c r="F256" s="807">
        <v>0</v>
      </c>
      <c r="G256" s="402">
        <f>IF(F256="","Error: Unit must enter this information if they levy taxes.",)</f>
        <v>0</v>
      </c>
      <c r="H256" s="17"/>
      <c r="I256" s="72"/>
      <c r="J256" s="72"/>
      <c r="K256"/>
      <c r="L256" s="549"/>
    </row>
    <row r="257" spans="1:16" ht="55.5" customHeight="1" x14ac:dyDescent="0.3">
      <c r="A257" s="100">
        <v>531</v>
      </c>
      <c r="B257" s="374" t="s">
        <v>54</v>
      </c>
      <c r="C257" s="4" t="s">
        <v>163</v>
      </c>
      <c r="D257" s="467" t="s">
        <v>782</v>
      </c>
      <c r="E257" s="372" t="e">
        <f>INDEX('PY1 Data(H)'!$A$1:$CZ$265,MATCH('Unit Data from Audit Worksheet'!$A257,'PY1 Data(H)'!$A$1:$A$258,0),MATCH('Unit Data from Audit Worksheet'!$D$2,'PY1 Data(H)'!$A$1:$CZ$1,0))</f>
        <v>#N/A</v>
      </c>
      <c r="F257" s="807">
        <v>0</v>
      </c>
      <c r="G257" s="402">
        <f>IF(F257="","Error: Unit must enter this information if they levy taxes.",)</f>
        <v>0</v>
      </c>
      <c r="H257" s="17"/>
      <c r="I257" s="72"/>
      <c r="J257" s="72"/>
      <c r="K257"/>
      <c r="L257" s="549"/>
    </row>
    <row r="258" spans="1:16" ht="69" customHeight="1" x14ac:dyDescent="0.3">
      <c r="A258" s="100">
        <v>61</v>
      </c>
      <c r="B258" s="4" t="s">
        <v>58</v>
      </c>
      <c r="C258" s="4" t="s">
        <v>163</v>
      </c>
      <c r="D258" s="26" t="s">
        <v>783</v>
      </c>
      <c r="E258" s="815" t="e">
        <f>INDEX('PY1 Data(H)'!$A$1:$CZ$265,MATCH('Unit Data from Audit Worksheet'!$A258,'PY1 Data(H)'!$A$1:$A$258,0),MATCH('Unit Data from Audit Worksheet'!$D$2,'PY1 Data(H)'!$A$1:$CZ$1,0))</f>
        <v>#N/A</v>
      </c>
      <c r="F258" s="816">
        <v>0</v>
      </c>
      <c r="G258" s="402" t="e">
        <f>IF(F258=H258," ","Please check values in account 528, 529, 530 and  531.")</f>
        <v>#DIV/0!</v>
      </c>
      <c r="H258" s="436" t="e">
        <f>ROUND((F254+F255-F256-F257)/(F254+F255)*100,2)</f>
        <v>#DIV/0!</v>
      </c>
      <c r="I258" s="72"/>
      <c r="J258" s="72"/>
      <c r="K258"/>
      <c r="L258" s="549"/>
    </row>
    <row r="259" spans="1:16" ht="69" customHeight="1" x14ac:dyDescent="0.3">
      <c r="A259" s="100">
        <v>102</v>
      </c>
      <c r="B259" s="4" t="s">
        <v>58</v>
      </c>
      <c r="C259" s="4" t="s">
        <v>163</v>
      </c>
      <c r="D259" s="53" t="s">
        <v>784</v>
      </c>
      <c r="E259" s="815" t="e">
        <f>INDEX('PY1 Data(H)'!$A$1:$CZ$265,MATCH('Unit Data from Audit Worksheet'!$A259,'PY1 Data(H)'!$A$1:$A$258,0),MATCH('Unit Data from Audit Worksheet'!$D$2,'PY1 Data(H)'!$A$1:$CZ$1,0))</f>
        <v>#N/A</v>
      </c>
      <c r="F259" s="816">
        <v>0</v>
      </c>
      <c r="G259" s="402" t="e">
        <f>IF(F259=H259," ","Please check values in account 528 and 530.")</f>
        <v>#DIV/0!</v>
      </c>
      <c r="H259" s="436" t="e">
        <f>ROUND((F254-F256)/(F254)*100,2)</f>
        <v>#DIV/0!</v>
      </c>
      <c r="I259" s="72"/>
      <c r="J259" s="72"/>
      <c r="K259"/>
      <c r="L259" s="549"/>
    </row>
    <row r="260" spans="1:16" ht="63.75" customHeight="1" x14ac:dyDescent="0.3">
      <c r="A260" s="100">
        <v>103</v>
      </c>
      <c r="B260" s="4" t="s">
        <v>58</v>
      </c>
      <c r="C260" s="4" t="s">
        <v>163</v>
      </c>
      <c r="D260" s="26" t="s">
        <v>785</v>
      </c>
      <c r="E260" s="815" t="e">
        <f>INDEX('PY1 Data(H)'!$A$1:$CZ$265,MATCH('Unit Data from Audit Worksheet'!$A260,'PY1 Data(H)'!$A$1:$A$258,0),MATCH('Unit Data from Audit Worksheet'!$D$2,'PY1 Data(H)'!$A$1:$CZ$1,0))</f>
        <v>#N/A</v>
      </c>
      <c r="F260" s="816">
        <v>0</v>
      </c>
      <c r="G260" s="402" t="e">
        <f>IF(F260=H260," ","Please check values in account 529 and 531.")</f>
        <v>#DIV/0!</v>
      </c>
      <c r="H260" s="436" t="e">
        <f>ROUND((F255-F257)/F255*100,2)</f>
        <v>#DIV/0!</v>
      </c>
      <c r="I260" s="72"/>
      <c r="J260" s="72"/>
      <c r="K260"/>
      <c r="L260" s="549"/>
      <c r="N260" s="18" t="s">
        <v>563</v>
      </c>
    </row>
    <row r="261" spans="1:16" ht="72" customHeight="1" x14ac:dyDescent="0.3">
      <c r="A261" s="100">
        <v>544</v>
      </c>
      <c r="B261" s="374" t="s">
        <v>58</v>
      </c>
      <c r="C261" s="374" t="s">
        <v>163</v>
      </c>
      <c r="D261" s="21" t="s">
        <v>786</v>
      </c>
      <c r="E261" s="661" t="e">
        <f>INDEX('PY1 Data(H)'!$A$1:$CZ$265,MATCH('Unit Data from Audit Worksheet'!$A261,'PY1 Data(H)'!$A$1:$A$258,0),MATCH('Unit Data from Audit Worksheet'!$D$2,'PY1 Data(H)'!$A$1:$CZ$1,0))</f>
        <v>#N/A</v>
      </c>
      <c r="F261" s="812">
        <v>0</v>
      </c>
      <c r="G261" s="402"/>
      <c r="H261" s="17"/>
      <c r="I261" s="100"/>
      <c r="J261" s="100"/>
      <c r="K261"/>
      <c r="L261" s="549"/>
      <c r="N261" s="18" t="s">
        <v>50</v>
      </c>
    </row>
    <row r="262" spans="1:16" ht="73.5" customHeight="1" x14ac:dyDescent="0.3">
      <c r="A262" s="100">
        <v>545</v>
      </c>
      <c r="B262" s="374" t="s">
        <v>58</v>
      </c>
      <c r="C262" s="374" t="s">
        <v>163</v>
      </c>
      <c r="D262" s="21" t="s">
        <v>787</v>
      </c>
      <c r="E262" s="531"/>
      <c r="F262" s="812">
        <v>0</v>
      </c>
      <c r="G262" s="402"/>
      <c r="H262" s="17"/>
      <c r="I262" s="127"/>
      <c r="J262" s="127"/>
      <c r="K262"/>
      <c r="L262" s="549"/>
      <c r="N262" s="18" t="s">
        <v>51</v>
      </c>
    </row>
    <row r="263" spans="1:16" ht="66" customHeight="1" x14ac:dyDescent="0.3">
      <c r="A263" s="117">
        <v>624</v>
      </c>
      <c r="B263" s="117" t="s">
        <v>58</v>
      </c>
      <c r="C263" s="117"/>
      <c r="D263" s="116" t="s">
        <v>357</v>
      </c>
      <c r="E263" s="531"/>
      <c r="F263" s="712"/>
      <c r="G263" s="430" t="str">
        <f>IF(+F263&lt;1,"Please answer this question","")</f>
        <v>Please answer this question</v>
      </c>
      <c r="H263" s="17"/>
      <c r="I263" s="100"/>
      <c r="J263" s="100"/>
      <c r="K263"/>
      <c r="L263" s="549"/>
      <c r="N263" s="18" t="s">
        <v>564</v>
      </c>
    </row>
    <row r="264" spans="1:16" ht="70.5" customHeight="1" x14ac:dyDescent="0.3">
      <c r="A264" s="117">
        <v>648</v>
      </c>
      <c r="B264" s="962" t="s">
        <v>2045</v>
      </c>
      <c r="C264" s="117" t="s">
        <v>163</v>
      </c>
      <c r="D264" s="116" t="s">
        <v>672</v>
      </c>
      <c r="E264" s="661" t="e">
        <f>INDEX('PY1 Data(H)'!$A$1:$CZ$265,MATCH('Unit Data from Audit Worksheet'!$A264,'PY1 Data(H)'!$A$1:$A$258,0),MATCH('Unit Data from Audit Worksheet'!$D$2,'PY1 Data(H)'!$A$1:$CZ$1,0))</f>
        <v>#N/A</v>
      </c>
      <c r="F264" s="812">
        <v>0</v>
      </c>
      <c r="G264" s="430"/>
      <c r="H264" s="17"/>
      <c r="I264" s="100"/>
      <c r="J264" s="100"/>
      <c r="K264"/>
      <c r="L264" s="549"/>
    </row>
    <row r="265" spans="1:16" ht="180" customHeight="1" x14ac:dyDescent="0.3">
      <c r="A265" s="117">
        <v>991</v>
      </c>
      <c r="B265" s="962" t="s">
        <v>2042</v>
      </c>
      <c r="C265" s="117"/>
      <c r="D265" s="750" t="s">
        <v>1704</v>
      </c>
      <c r="E265" s="524"/>
      <c r="F265" s="712"/>
      <c r="G265" s="430"/>
      <c r="H265" s="991" t="s">
        <v>1705</v>
      </c>
      <c r="I265"/>
      <c r="J265" s="179"/>
      <c r="K265"/>
      <c r="L265" s="549"/>
      <c r="N265" s="18" t="s">
        <v>584</v>
      </c>
    </row>
    <row r="266" spans="1:16" ht="27.75" customHeight="1" x14ac:dyDescent="0.3">
      <c r="A266" s="100"/>
      <c r="B266" s="491" t="s">
        <v>350</v>
      </c>
      <c r="C266" s="491"/>
      <c r="D266" s="491"/>
      <c r="E266" s="510"/>
      <c r="F266" s="510"/>
      <c r="G266" s="511"/>
      <c r="H266" s="17"/>
      <c r="I266" s="100"/>
      <c r="J266" s="100"/>
      <c r="K266"/>
      <c r="L266" s="549"/>
      <c r="N266" s="18" t="s">
        <v>585</v>
      </c>
    </row>
    <row r="267" spans="1:16" ht="84.6" customHeight="1" x14ac:dyDescent="0.3">
      <c r="A267" s="100">
        <v>620</v>
      </c>
      <c r="B267" s="374" t="s">
        <v>58</v>
      </c>
      <c r="C267" s="374"/>
      <c r="D267" s="748" t="s">
        <v>1642</v>
      </c>
      <c r="E267" s="524"/>
      <c r="F267" s="712"/>
      <c r="G267" s="430" t="str">
        <f>IF(F267&lt;1,"Please answer this question","")</f>
        <v>Please answer this question</v>
      </c>
      <c r="H267" s="17"/>
      <c r="I267" s="100"/>
      <c r="J267" s="100"/>
      <c r="K267"/>
      <c r="L267" s="549"/>
      <c r="N267" s="18" t="s">
        <v>586</v>
      </c>
    </row>
    <row r="268" spans="1:16" ht="123.75" customHeight="1" x14ac:dyDescent="0.3">
      <c r="A268" s="715"/>
      <c r="B268" s="1080" t="s">
        <v>461</v>
      </c>
      <c r="C268" s="1080"/>
      <c r="D268" s="1080"/>
      <c r="E268" s="521"/>
      <c r="F268" s="521"/>
      <c r="G268" s="521"/>
      <c r="H268" s="17"/>
      <c r="I268" s="100"/>
      <c r="J268" s="100"/>
      <c r="K268"/>
      <c r="N268" s="18" t="s">
        <v>464</v>
      </c>
    </row>
    <row r="269" spans="1:16" ht="63" customHeight="1" x14ac:dyDescent="0.3">
      <c r="A269" s="191">
        <v>947</v>
      </c>
      <c r="B269" s="461"/>
      <c r="C269" s="461"/>
      <c r="D269" s="344" t="s">
        <v>423</v>
      </c>
      <c r="E269" s="572"/>
      <c r="F269" s="813"/>
      <c r="G269" s="430" t="str">
        <f>IF(ISBLANK(F269),"Please do not leave blank","")</f>
        <v>Please do not leave blank</v>
      </c>
      <c r="H269" s="17"/>
      <c r="I269" s="187"/>
      <c r="J269" s="187"/>
      <c r="K269"/>
      <c r="L269" s="187"/>
      <c r="N269" s="187"/>
      <c r="P269" s="187"/>
    </row>
    <row r="270" spans="1:16" ht="65.25" customHeight="1" x14ac:dyDescent="0.3">
      <c r="A270" s="191">
        <v>948</v>
      </c>
      <c r="B270" s="461"/>
      <c r="C270" s="461"/>
      <c r="D270" s="344" t="s">
        <v>424</v>
      </c>
      <c r="E270" s="572"/>
      <c r="F270" s="813"/>
      <c r="G270" s="430" t="str">
        <f t="shared" ref="G270:G272" si="4">IF(ISBLANK(F270),"Please do not leave blank","")</f>
        <v>Please do not leave blank</v>
      </c>
      <c r="H270" s="17"/>
      <c r="I270" s="187"/>
      <c r="J270" s="187"/>
      <c r="K270"/>
      <c r="L270" s="187"/>
      <c r="N270" s="187"/>
      <c r="P270" s="187"/>
    </row>
    <row r="271" spans="1:16" ht="76.5" customHeight="1" x14ac:dyDescent="0.3">
      <c r="A271" s="191">
        <v>949</v>
      </c>
      <c r="B271" s="461"/>
      <c r="C271" s="461"/>
      <c r="D271" s="344" t="s">
        <v>425</v>
      </c>
      <c r="E271" s="572"/>
      <c r="F271" s="813"/>
      <c r="G271" s="430" t="str">
        <f t="shared" si="4"/>
        <v>Please do not leave blank</v>
      </c>
      <c r="H271" s="17"/>
      <c r="I271" s="187"/>
      <c r="J271" s="187"/>
      <c r="K271"/>
      <c r="L271" s="187"/>
      <c r="N271" s="187"/>
      <c r="P271" s="187"/>
    </row>
    <row r="272" spans="1:16" ht="60" customHeight="1" x14ac:dyDescent="0.3">
      <c r="A272" s="191">
        <v>950</v>
      </c>
      <c r="B272" s="461"/>
      <c r="C272" s="461"/>
      <c r="D272" s="344" t="s">
        <v>1685</v>
      </c>
      <c r="E272" s="572"/>
      <c r="F272" s="813"/>
      <c r="G272" s="430" t="str">
        <f t="shared" si="4"/>
        <v>Please do not leave blank</v>
      </c>
      <c r="H272" s="17"/>
      <c r="I272" s="187"/>
      <c r="J272" s="187"/>
      <c r="K272"/>
      <c r="L272" s="187"/>
      <c r="N272" s="187"/>
      <c r="P272" s="187"/>
    </row>
    <row r="273" spans="1:16" ht="80.400000000000006" customHeight="1" x14ac:dyDescent="0.3">
      <c r="A273" s="191">
        <v>952</v>
      </c>
      <c r="B273" s="461"/>
      <c r="C273" s="461"/>
      <c r="D273" s="415" t="s">
        <v>1638</v>
      </c>
      <c r="E273" s="572"/>
      <c r="F273" s="814"/>
      <c r="G273" s="430" t="s">
        <v>807</v>
      </c>
      <c r="H273" s="17"/>
      <c r="I273" s="437"/>
      <c r="J273" s="437"/>
      <c r="K273"/>
      <c r="L273" s="187"/>
      <c r="N273" s="187"/>
      <c r="P273" s="187"/>
    </row>
    <row r="274" spans="1:16" ht="33" customHeight="1" thickBot="1" x14ac:dyDescent="0.35">
      <c r="A274" s="100"/>
      <c r="B274" s="512"/>
      <c r="C274" s="513"/>
      <c r="D274" s="514" t="s">
        <v>414</v>
      </c>
      <c r="E274" s="500"/>
      <c r="F274" s="515"/>
      <c r="G274" s="516"/>
      <c r="H274" s="517"/>
      <c r="I274" s="187"/>
      <c r="J274" s="187"/>
      <c r="K274"/>
      <c r="L274" s="187"/>
      <c r="N274" s="187"/>
      <c r="P274" s="187"/>
    </row>
    <row r="275" spans="1:16" ht="15" thickBot="1" x14ac:dyDescent="0.35">
      <c r="B275" s="1077" t="s">
        <v>462</v>
      </c>
      <c r="C275" s="1078"/>
      <c r="D275" s="1078"/>
      <c r="E275" s="1079"/>
      <c r="F275" s="72"/>
      <c r="G275" s="430"/>
      <c r="H275" s="17"/>
      <c r="I275" s="100"/>
      <c r="J275" s="100"/>
      <c r="K275"/>
    </row>
    <row r="276" spans="1:16" ht="75.75" customHeight="1" x14ac:dyDescent="0.3">
      <c r="B276" s="1063" t="s">
        <v>463</v>
      </c>
      <c r="C276" s="1063"/>
      <c r="D276" s="1063"/>
      <c r="E276" s="1063"/>
      <c r="F276" s="72"/>
      <c r="G276" s="430"/>
      <c r="H276" s="17"/>
      <c r="I276" s="100"/>
      <c r="J276" s="100"/>
      <c r="K276"/>
    </row>
    <row r="277" spans="1:16" ht="15" thickBot="1" x14ac:dyDescent="0.35">
      <c r="A277" s="717"/>
      <c r="B277" s="438"/>
      <c r="C277" s="438"/>
      <c r="D277" s="439"/>
      <c r="E277" s="372"/>
      <c r="F277" s="72"/>
      <c r="G277" s="430"/>
      <c r="H277" s="17"/>
      <c r="I277" s="100"/>
      <c r="J277" s="100"/>
      <c r="K277"/>
    </row>
    <row r="278" spans="1:16" ht="15" thickBot="1" x14ac:dyDescent="0.35">
      <c r="B278" s="149" t="s">
        <v>403</v>
      </c>
      <c r="C278" s="150" t="s">
        <v>404</v>
      </c>
      <c r="D278" s="440"/>
      <c r="E278" s="441"/>
      <c r="F278" s="92"/>
      <c r="G278" s="430"/>
      <c r="H278" s="17"/>
      <c r="I278" s="100"/>
      <c r="J278" s="100"/>
      <c r="K278"/>
    </row>
    <row r="279" spans="1:16" ht="44.25" customHeight="1" thickBot="1" x14ac:dyDescent="0.35">
      <c r="B279" s="153" t="s">
        <v>428</v>
      </c>
      <c r="C279" s="152"/>
      <c r="D279" s="151"/>
      <c r="E279" s="375"/>
      <c r="F279" s="442"/>
      <c r="G279" s="430"/>
      <c r="H279" s="17"/>
      <c r="I279" s="100"/>
      <c r="J279" s="100"/>
      <c r="K279"/>
    </row>
    <row r="280" spans="1:16" ht="44.25" customHeight="1" thickBot="1" x14ac:dyDescent="0.35">
      <c r="B280" s="153"/>
      <c r="C280" s="159"/>
      <c r="D280" s="443" t="s">
        <v>452</v>
      </c>
      <c r="E280" s="444"/>
      <c r="F280" s="445"/>
      <c r="G280" s="445"/>
      <c r="H280" s="17"/>
      <c r="I280" s="100"/>
      <c r="J280" s="100"/>
    </row>
    <row r="281" spans="1:16" ht="32.4" customHeight="1" thickBot="1" x14ac:dyDescent="0.35">
      <c r="A281" s="279">
        <v>960</v>
      </c>
      <c r="B281" s="1070" t="s">
        <v>429</v>
      </c>
      <c r="C281" s="1071"/>
      <c r="D281" s="1045"/>
      <c r="E281" s="650" t="str">
        <f>IF(ISBLANK($D281),"&lt;&lt;&lt;&lt;&lt;&lt;&lt;&lt;&lt;&lt;&lt;&lt;&lt;&lt;&lt;","")</f>
        <v>&lt;&lt;&lt;&lt;&lt;&lt;&lt;&lt;&lt;&lt;&lt;&lt;&lt;&lt;&lt;</v>
      </c>
      <c r="F281" s="651" t="str">
        <f>IF(ISBLANK($D281),"Required","")</f>
        <v>Required</v>
      </c>
      <c r="G281" s="522"/>
      <c r="H281" s="403"/>
      <c r="I281" s="100"/>
      <c r="J281" s="100"/>
    </row>
    <row r="282" spans="1:16" ht="32.4" customHeight="1" thickBot="1" x14ac:dyDescent="0.35">
      <c r="A282" s="279">
        <v>962</v>
      </c>
      <c r="B282" s="1068" t="s">
        <v>405</v>
      </c>
      <c r="C282" s="1069"/>
      <c r="D282" s="1045"/>
      <c r="E282" s="650" t="str">
        <f>IF(ISBLANK($D282),"&lt;&lt;&lt;&lt;&lt;&lt;&lt;&lt;&lt;&lt;&lt;&lt;&lt;&lt;&lt;","")</f>
        <v>&lt;&lt;&lt;&lt;&lt;&lt;&lt;&lt;&lt;&lt;&lt;&lt;&lt;&lt;&lt;</v>
      </c>
      <c r="F282" s="651" t="str">
        <f>IF(ISBLANK($D282),"Required","")</f>
        <v>Required</v>
      </c>
      <c r="H282" s="17"/>
      <c r="I282" s="100"/>
      <c r="J282" s="100"/>
    </row>
    <row r="283" spans="1:16" ht="32.4" customHeight="1" thickBot="1" x14ac:dyDescent="0.35">
      <c r="A283" s="279">
        <v>964</v>
      </c>
      <c r="B283" s="1068" t="s">
        <v>406</v>
      </c>
      <c r="C283" s="1069"/>
      <c r="D283" s="1046"/>
      <c r="E283" s="650" t="str">
        <f>IF(ISBLANK($D283),"&lt;&lt;&lt;&lt;&lt;&lt;&lt;&lt;&lt;&lt;&lt;&lt;&lt;&lt;&lt;","")</f>
        <v>&lt;&lt;&lt;&lt;&lt;&lt;&lt;&lt;&lt;&lt;&lt;&lt;&lt;&lt;&lt;</v>
      </c>
      <c r="F283" s="651" t="str">
        <f>IF(ISBLANK($D283),"Required","")</f>
        <v>Required</v>
      </c>
      <c r="H283" s="17"/>
      <c r="I283" s="236"/>
      <c r="J283" s="236"/>
    </row>
    <row r="284" spans="1:16" ht="32.4" customHeight="1" thickBot="1" x14ac:dyDescent="0.35">
      <c r="A284" s="649">
        <v>966</v>
      </c>
      <c r="B284" s="1064" t="s">
        <v>1636</v>
      </c>
      <c r="C284" s="1065"/>
      <c r="D284" s="1047"/>
      <c r="E284" s="650" t="str">
        <f>IF(ISBLANK($D284),"&lt;&lt;&lt;&lt;&lt;&lt;&lt;&lt;&lt;&lt;&lt;&lt;&lt;&lt;&lt;","")</f>
        <v>&lt;&lt;&lt;&lt;&lt;&lt;&lt;&lt;&lt;&lt;&lt;&lt;&lt;&lt;&lt;</v>
      </c>
      <c r="F284" s="651" t="str">
        <f>IF(ISBLANK($D284),"Required","")</f>
        <v>Required</v>
      </c>
      <c r="G284"/>
      <c r="H284" s="17"/>
      <c r="I284" s="100"/>
      <c r="J284" s="100"/>
    </row>
    <row r="285" spans="1:16" ht="32.4" customHeight="1" thickBot="1" x14ac:dyDescent="0.35">
      <c r="A285" s="649"/>
      <c r="B285" s="1064" t="s">
        <v>1637</v>
      </c>
      <c r="C285" s="1065"/>
      <c r="D285" s="1045"/>
      <c r="E285" s="652"/>
      <c r="F285" s="651"/>
      <c r="G285"/>
      <c r="H285" s="17"/>
      <c r="I285" s="100"/>
      <c r="J285" s="100"/>
    </row>
    <row r="286" spans="1:16" ht="32.4" customHeight="1" thickBot="1" x14ac:dyDescent="0.35">
      <c r="A286" s="279">
        <v>968</v>
      </c>
      <c r="B286" s="1066" t="s">
        <v>408</v>
      </c>
      <c r="C286" s="1067"/>
      <c r="D286" s="1048"/>
      <c r="E286" s="653" t="str">
        <f>IF(ISBLANK($D286),"&lt;&lt;&lt;&lt;&lt;&lt;&lt;&lt;&lt;&lt;&lt;&lt;&lt;&lt;&lt;","")</f>
        <v>&lt;&lt;&lt;&lt;&lt;&lt;&lt;&lt;&lt;&lt;&lt;&lt;&lt;&lt;&lt;</v>
      </c>
      <c r="F286" s="651" t="str">
        <f>IF(ISBLANK($D286),"Required","")</f>
        <v>Required</v>
      </c>
      <c r="H286" s="17"/>
      <c r="I286" s="100"/>
      <c r="J286" s="100"/>
    </row>
    <row r="287" spans="1:16" ht="17.399999999999999" customHeight="1" x14ac:dyDescent="0.3">
      <c r="A287" s="100"/>
      <c r="B287" s="518"/>
      <c r="C287" s="518"/>
      <c r="D287" s="523" t="s">
        <v>45</v>
      </c>
      <c r="E287" s="519"/>
      <c r="F287" s="519"/>
      <c r="G287" s="519"/>
      <c r="H287" s="520"/>
      <c r="I287" s="100"/>
      <c r="J287" s="100"/>
    </row>
    <row r="288" spans="1:16" x14ac:dyDescent="0.3">
      <c r="A288" s="100"/>
      <c r="B288" s="374"/>
      <c r="C288" s="374"/>
      <c r="D288" s="157"/>
      <c r="E288" s="188"/>
      <c r="F288" s="446"/>
      <c r="G288" s="446"/>
      <c r="H288" s="17"/>
      <c r="I288" s="100"/>
      <c r="J288" s="100"/>
    </row>
    <row r="289" spans="1:10" x14ac:dyDescent="0.3">
      <c r="A289" s="100"/>
      <c r="B289" s="374"/>
      <c r="C289" s="374"/>
      <c r="D289" s="21"/>
      <c r="E289" s="372"/>
      <c r="F289" s="446"/>
      <c r="G289" s="446"/>
      <c r="H289" s="17"/>
      <c r="I289" s="100"/>
      <c r="J289" s="100"/>
    </row>
    <row r="290" spans="1:10" x14ac:dyDescent="0.3">
      <c r="A290" s="718">
        <f>SUBTOTAL(109,A9:A286)</f>
        <v>106600</v>
      </c>
      <c r="E290" s="549"/>
    </row>
    <row r="291" spans="1:10" x14ac:dyDescent="0.3">
      <c r="A291" s="100"/>
      <c r="B291" s="468"/>
      <c r="C291" s="468"/>
      <c r="D291" s="447"/>
      <c r="E291" s="252"/>
      <c r="F291" s="18"/>
      <c r="G291" s="448"/>
      <c r="H291" s="17"/>
      <c r="I291" s="100"/>
      <c r="J291" s="100"/>
    </row>
    <row r="292" spans="1:10" x14ac:dyDescent="0.3">
      <c r="B292" s="279"/>
      <c r="C292" s="279"/>
      <c r="D292" s="447" t="s">
        <v>1795</v>
      </c>
      <c r="E292" s="252" t="e">
        <f>SUM(E9:E267)</f>
        <v>#N/A</v>
      </c>
      <c r="F292" s="187"/>
      <c r="G292" s="448"/>
      <c r="H292" s="17"/>
      <c r="I292" s="100"/>
      <c r="J292" s="100"/>
    </row>
    <row r="293" spans="1:10" x14ac:dyDescent="0.3">
      <c r="B293" s="279"/>
      <c r="C293" s="279"/>
      <c r="D293" s="449"/>
      <c r="E293" s="252" t="e">
        <f>E191</f>
        <v>#N/A</v>
      </c>
      <c r="F293" s="187"/>
      <c r="G293" s="448"/>
      <c r="H293" s="17"/>
      <c r="I293" s="100"/>
      <c r="J293" s="100"/>
    </row>
    <row r="294" spans="1:10" x14ac:dyDescent="0.3">
      <c r="B294" s="279"/>
      <c r="C294" s="279"/>
      <c r="D294" s="449"/>
      <c r="E294" s="252" t="e">
        <f>E198</f>
        <v>#N/A</v>
      </c>
      <c r="F294" s="187"/>
      <c r="G294" s="448"/>
      <c r="H294" s="17"/>
      <c r="I294" s="100"/>
      <c r="J294" s="100"/>
    </row>
    <row r="295" spans="1:10" x14ac:dyDescent="0.3">
      <c r="B295" s="279"/>
      <c r="C295" s="279"/>
      <c r="D295" s="449"/>
      <c r="E295" s="252" t="e">
        <f>E204</f>
        <v>#N/A</v>
      </c>
      <c r="F295" s="187"/>
      <c r="G295" s="448"/>
      <c r="H295" s="17"/>
      <c r="I295" s="100"/>
      <c r="J295" s="100"/>
    </row>
    <row r="296" spans="1:10" x14ac:dyDescent="0.3">
      <c r="B296" s="279"/>
      <c r="C296" s="279"/>
      <c r="D296" s="449"/>
      <c r="E296" s="252" t="e">
        <f>E210</f>
        <v>#N/A</v>
      </c>
      <c r="F296" s="187"/>
      <c r="G296" s="448"/>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1"/>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1995</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PrdjB5dGQrqNBs09rjjY192jtt1To21qwpJAxfXUroBBYAIvqEudh+WICler1MniynuLJAvwSqKvNOp5F2Lucg==" saltValue="+ldxMQ7yvfQ12wNolfggEQ==" spinCount="100000" sheet="1" formatCells="0"/>
  <dataConsolidate link="1"/>
  <mergeCells count="14">
    <mergeCell ref="E2:G2"/>
    <mergeCell ref="B2:C2"/>
    <mergeCell ref="B124:D124"/>
    <mergeCell ref="B275:E275"/>
    <mergeCell ref="B268:D268"/>
    <mergeCell ref="B6:G6"/>
    <mergeCell ref="B7:G7"/>
    <mergeCell ref="B276:E276"/>
    <mergeCell ref="B284:C284"/>
    <mergeCell ref="B286:C286"/>
    <mergeCell ref="B283:C283"/>
    <mergeCell ref="B281:C281"/>
    <mergeCell ref="B282:C282"/>
    <mergeCell ref="B285:C285"/>
  </mergeCells>
  <phoneticPr fontId="54" type="noConversion"/>
  <conditionalFormatting sqref="H154 H76:H79">
    <cfRule type="cellIs" dxfId="118" priority="108" stopIfTrue="1" operator="notEqual">
      <formula>0</formula>
    </cfRule>
  </conditionalFormatting>
  <conditionalFormatting sqref="H155">
    <cfRule type="cellIs" dxfId="117" priority="106" stopIfTrue="1" operator="notEqual">
      <formula>0</formula>
    </cfRule>
  </conditionalFormatting>
  <conditionalFormatting sqref="G254:G257 G261:G262">
    <cfRule type="cellIs" dxfId="116" priority="105" stopIfTrue="1" operator="notEqual">
      <formula>0</formula>
    </cfRule>
  </conditionalFormatting>
  <conditionalFormatting sqref="H25">
    <cfRule type="cellIs" dxfId="115" priority="104" stopIfTrue="1" operator="notEqual">
      <formula>0</formula>
    </cfRule>
  </conditionalFormatting>
  <conditionalFormatting sqref="H39:H40">
    <cfRule type="cellIs" dxfId="114" priority="103" stopIfTrue="1" operator="notEqual">
      <formula>0</formula>
    </cfRule>
  </conditionalFormatting>
  <conditionalFormatting sqref="H59">
    <cfRule type="cellIs" dxfId="113" priority="102" stopIfTrue="1" operator="notEqual">
      <formula>0</formula>
    </cfRule>
  </conditionalFormatting>
  <conditionalFormatting sqref="H103">
    <cfRule type="cellIs" dxfId="112" priority="100" stopIfTrue="1" operator="notEqual">
      <formula>0</formula>
    </cfRule>
  </conditionalFormatting>
  <conditionalFormatting sqref="H122">
    <cfRule type="cellIs" dxfId="111" priority="99" stopIfTrue="1" operator="notEqual">
      <formula>0</formula>
    </cfRule>
  </conditionalFormatting>
  <conditionalFormatting sqref="H137">
    <cfRule type="cellIs" dxfId="110" priority="98" stopIfTrue="1" operator="notEqual">
      <formula>0</formula>
    </cfRule>
  </conditionalFormatting>
  <conditionalFormatting sqref="H138">
    <cfRule type="cellIs" dxfId="109" priority="97" stopIfTrue="1" operator="notEqual">
      <formula>0</formula>
    </cfRule>
  </conditionalFormatting>
  <conditionalFormatting sqref="G236">
    <cfRule type="cellIs" priority="69" stopIfTrue="1" operator="equal">
      <formula>";;;"</formula>
    </cfRule>
  </conditionalFormatting>
  <conditionalFormatting sqref="G236">
    <cfRule type="cellIs" dxfId="108" priority="68" stopIfTrue="1" operator="equal">
      <formula>0</formula>
    </cfRule>
  </conditionalFormatting>
  <conditionalFormatting sqref="G235">
    <cfRule type="cellIs" priority="66" stopIfTrue="1" operator="equal">
      <formula>";;;"</formula>
    </cfRule>
  </conditionalFormatting>
  <conditionalFormatting sqref="G235">
    <cfRule type="cellIs" dxfId="107" priority="65" stopIfTrue="1" operator="equal">
      <formula>0</formula>
    </cfRule>
  </conditionalFormatting>
  <conditionalFormatting sqref="G235">
    <cfRule type="cellIs" dxfId="106" priority="64" stopIfTrue="1" operator="equal">
      <formula>0</formula>
    </cfRule>
  </conditionalFormatting>
  <conditionalFormatting sqref="G234">
    <cfRule type="cellIs" priority="54" stopIfTrue="1" operator="equal">
      <formula>";;;"</formula>
    </cfRule>
  </conditionalFormatting>
  <conditionalFormatting sqref="G234">
    <cfRule type="cellIs" dxfId="105" priority="53" stopIfTrue="1" operator="equal">
      <formula>0</formula>
    </cfRule>
  </conditionalFormatting>
  <conditionalFormatting sqref="G234">
    <cfRule type="cellIs" dxfId="104" priority="52" stopIfTrue="1" operator="equal">
      <formula>0</formula>
    </cfRule>
  </conditionalFormatting>
  <conditionalFormatting sqref="G229">
    <cfRule type="cellIs" priority="21" stopIfTrue="1" operator="equal">
      <formula>";;;"</formula>
    </cfRule>
  </conditionalFormatting>
  <conditionalFormatting sqref="G229">
    <cfRule type="cellIs" dxfId="103" priority="20" stopIfTrue="1" operator="equal">
      <formula>0</formula>
    </cfRule>
  </conditionalFormatting>
  <conditionalFormatting sqref="G229">
    <cfRule type="cellIs" dxfId="102" priority="19" stopIfTrue="1" operator="equal">
      <formula>0</formula>
    </cfRule>
  </conditionalFormatting>
  <conditionalFormatting sqref="G227">
    <cfRule type="cellIs" priority="18" stopIfTrue="1" operator="equal">
      <formula>";;;"</formula>
    </cfRule>
  </conditionalFormatting>
  <conditionalFormatting sqref="G227">
    <cfRule type="cellIs" dxfId="101" priority="17" stopIfTrue="1" operator="equal">
      <formula>0</formula>
    </cfRule>
  </conditionalFormatting>
  <conditionalFormatting sqref="G227">
    <cfRule type="cellIs" dxfId="100" priority="16" stopIfTrue="1" operator="equal">
      <formula>0</formula>
    </cfRule>
  </conditionalFormatting>
  <conditionalFormatting sqref="G228">
    <cfRule type="cellIs" priority="15" stopIfTrue="1" operator="equal">
      <formula>";;;"</formula>
    </cfRule>
  </conditionalFormatting>
  <conditionalFormatting sqref="G228">
    <cfRule type="cellIs" dxfId="99" priority="14" stopIfTrue="1" operator="equal">
      <formula>0</formula>
    </cfRule>
  </conditionalFormatting>
  <conditionalFormatting sqref="G228">
    <cfRule type="cellIs" dxfId="98" priority="13" stopIfTrue="1" operator="equal">
      <formula>0</formula>
    </cfRule>
  </conditionalFormatting>
  <conditionalFormatting sqref="G231">
    <cfRule type="cellIs" priority="12" stopIfTrue="1" operator="equal">
      <formula>";;;"</formula>
    </cfRule>
  </conditionalFormatting>
  <conditionalFormatting sqref="G231">
    <cfRule type="cellIs" dxfId="97" priority="11" stopIfTrue="1" operator="equal">
      <formula>0</formula>
    </cfRule>
  </conditionalFormatting>
  <conditionalFormatting sqref="G231">
    <cfRule type="cellIs" dxfId="96" priority="10" stopIfTrue="1" operator="equal">
      <formula>0</formula>
    </cfRule>
  </conditionalFormatting>
  <conditionalFormatting sqref="G233">
    <cfRule type="cellIs" priority="4" stopIfTrue="1" operator="equal">
      <formula>";;;"</formula>
    </cfRule>
  </conditionalFormatting>
  <conditionalFormatting sqref="G233">
    <cfRule type="cellIs" dxfId="95" priority="3" stopIfTrue="1" operator="equal">
      <formula>0</formula>
    </cfRule>
  </conditionalFormatting>
  <conditionalFormatting sqref="G233">
    <cfRule type="cellIs" dxfId="94" priority="2" stopIfTrue="1" operator="equal">
      <formula>0</formula>
    </cfRule>
  </conditionalFormatting>
  <conditionalFormatting sqref="I77">
    <cfRule type="expression" dxfId="93" priority="1">
      <formula>$F$77=""</formula>
    </cfRule>
  </conditionalFormatting>
  <dataValidations xWindow="829" yWindow="690" count="18">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5"/>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6" customWidth="1"/>
    <col min="5" max="5" width="24.33203125" customWidth="1"/>
    <col min="6" max="6" width="37.77734375" customWidth="1"/>
    <col min="7" max="7" width="32.109375" customWidth="1"/>
    <col min="8" max="9" width="8.88671875" style="632"/>
    <col min="10" max="10" width="1.6640625" style="632" customWidth="1"/>
    <col min="11" max="12" width="8.88671875" style="632" hidden="1" customWidth="1"/>
    <col min="13" max="13" width="13" style="632" customWidth="1"/>
  </cols>
  <sheetData>
    <row r="1" spans="1:13" s="561" customFormat="1" ht="12" customHeight="1" thickBot="1" x14ac:dyDescent="0.35">
      <c r="A1" s="560"/>
      <c r="D1" s="623"/>
      <c r="E1"/>
      <c r="F1"/>
      <c r="G1"/>
      <c r="H1" s="631"/>
      <c r="I1" s="631"/>
      <c r="J1" s="631"/>
      <c r="K1" s="631"/>
      <c r="L1" s="631"/>
      <c r="M1" s="631"/>
    </row>
    <row r="2" spans="1:13" ht="34.950000000000003" customHeight="1" thickBot="1" x14ac:dyDescent="0.35">
      <c r="A2" s="1086" t="s">
        <v>1555</v>
      </c>
      <c r="B2" s="1087"/>
      <c r="C2" s="1087"/>
      <c r="D2" s="1088"/>
    </row>
    <row r="3" spans="1:13" s="561" customFormat="1" ht="8.4" customHeight="1" thickBot="1" x14ac:dyDescent="0.35">
      <c r="A3" s="622"/>
      <c r="D3" s="623"/>
      <c r="E3"/>
      <c r="F3"/>
      <c r="G3"/>
      <c r="H3" s="631"/>
      <c r="I3" s="631"/>
      <c r="J3" s="631"/>
      <c r="K3" s="631"/>
      <c r="L3" s="631"/>
      <c r="M3" s="631"/>
    </row>
    <row r="4" spans="1:13" ht="16.95" customHeight="1" thickBot="1" x14ac:dyDescent="0.35">
      <c r="A4" s="1089" t="s">
        <v>1556</v>
      </c>
      <c r="B4" s="1090"/>
      <c r="C4" s="1090"/>
      <c r="D4" s="1091"/>
    </row>
    <row r="5" spans="1:13" ht="9" customHeight="1" thickBot="1" x14ac:dyDescent="0.35">
      <c r="A5"/>
      <c r="D5"/>
      <c r="H5"/>
      <c r="I5"/>
      <c r="J5"/>
      <c r="K5"/>
      <c r="L5"/>
      <c r="M5"/>
    </row>
    <row r="6" spans="1:13" ht="18.600000000000001" customHeight="1" thickBot="1" x14ac:dyDescent="0.35">
      <c r="A6" s="1092" t="s">
        <v>877</v>
      </c>
      <c r="B6" s="1093"/>
      <c r="C6" s="1093"/>
      <c r="D6" s="1094"/>
    </row>
    <row r="7" spans="1:13" s="180" customFormat="1" ht="7.95" customHeight="1" thickBot="1" x14ac:dyDescent="0.35"/>
    <row r="8" spans="1:13" s="180" customFormat="1" ht="36.6" customHeight="1" thickBot="1" x14ac:dyDescent="0.4">
      <c r="A8" s="1095" t="s">
        <v>2015</v>
      </c>
      <c r="B8" s="1096"/>
      <c r="C8" s="1096"/>
      <c r="D8" s="1097"/>
    </row>
    <row r="9" spans="1:13" s="561" customFormat="1" ht="13.95" customHeight="1" thickBot="1" x14ac:dyDescent="0.35">
      <c r="A9" s="624"/>
      <c r="B9" s="625"/>
      <c r="C9" s="625"/>
      <c r="D9" s="630"/>
      <c r="E9" s="1084" t="s">
        <v>2026</v>
      </c>
      <c r="F9"/>
      <c r="G9"/>
      <c r="H9" s="631"/>
      <c r="I9" s="631"/>
      <c r="J9" s="631"/>
      <c r="K9" s="631"/>
      <c r="L9" s="631"/>
      <c r="M9" s="631"/>
    </row>
    <row r="10" spans="1:13" ht="47.25" customHeight="1" x14ac:dyDescent="0.3">
      <c r="A10" s="765" t="s">
        <v>815</v>
      </c>
      <c r="B10" s="766"/>
      <c r="C10" s="766"/>
      <c r="D10" s="767"/>
      <c r="E10" s="1085"/>
    </row>
    <row r="11" spans="1:13" s="537" customFormat="1" ht="40.200000000000003" customHeight="1" x14ac:dyDescent="0.3">
      <c r="A11" s="657">
        <v>906</v>
      </c>
      <c r="B11" s="658" t="s">
        <v>466</v>
      </c>
      <c r="C11" s="751"/>
      <c r="D11" s="938" t="str">
        <f t="shared" ref="D11:D32" si="0">IF(C11="","This Question must be answered before uploading, the report will not be processed if left blank","")</f>
        <v>This Question must be answered before uploading, the report will not be processed if left blank</v>
      </c>
      <c r="E11" s="1040"/>
      <c r="F11"/>
      <c r="G11"/>
      <c r="H11" s="633"/>
      <c r="I11" s="633"/>
      <c r="J11" s="633"/>
      <c r="K11" s="633"/>
      <c r="L11" s="633"/>
      <c r="M11" s="633"/>
    </row>
    <row r="12" spans="1:13" ht="40.200000000000003" customHeight="1" x14ac:dyDescent="0.3">
      <c r="A12" s="657">
        <v>907</v>
      </c>
      <c r="B12" s="658" t="s">
        <v>1538</v>
      </c>
      <c r="C12" s="751"/>
      <c r="D12" s="938" t="str">
        <f t="shared" si="0"/>
        <v>This Question must be answered before uploading, the report will not be processed if left blank</v>
      </c>
      <c r="E12" s="1041"/>
      <c r="H12" s="633"/>
      <c r="I12" s="633"/>
      <c r="J12" s="633"/>
      <c r="K12" s="633"/>
      <c r="L12" s="633"/>
    </row>
    <row r="13" spans="1:13" s="180" customFormat="1" ht="51.6" customHeight="1" x14ac:dyDescent="0.3">
      <c r="A13" s="790">
        <v>1055</v>
      </c>
      <c r="B13" s="658" t="s">
        <v>2010</v>
      </c>
      <c r="C13" s="751"/>
      <c r="D13" s="722"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42"/>
      <c r="F13"/>
      <c r="G13"/>
      <c r="H13" s="633"/>
      <c r="I13" s="633"/>
      <c r="J13" s="633"/>
      <c r="K13" s="633"/>
      <c r="L13" s="633"/>
      <c r="M13" s="632"/>
    </row>
    <row r="14" spans="1:13" s="180" customFormat="1" ht="48.6" customHeight="1" x14ac:dyDescent="0.3">
      <c r="A14" s="790">
        <v>1056</v>
      </c>
      <c r="B14" s="658" t="s">
        <v>1535</v>
      </c>
      <c r="C14" s="751"/>
      <c r="D14" s="938"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42"/>
      <c r="F14"/>
      <c r="G14"/>
      <c r="H14" s="633"/>
      <c r="I14" s="633"/>
      <c r="J14" s="633"/>
      <c r="K14" s="633"/>
      <c r="L14" s="633"/>
      <c r="M14" s="632"/>
    </row>
    <row r="15" spans="1:13" s="180" customFormat="1" ht="55.2" customHeight="1" x14ac:dyDescent="0.3">
      <c r="A15" s="657">
        <v>1057</v>
      </c>
      <c r="B15" s="626" t="s">
        <v>2022</v>
      </c>
      <c r="C15" s="751"/>
      <c r="D15" s="938"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1"/>
      <c r="F15"/>
      <c r="G15"/>
      <c r="H15" s="633"/>
      <c r="I15" s="633"/>
      <c r="J15" s="633"/>
      <c r="K15" s="633"/>
      <c r="L15" s="633"/>
      <c r="M15" s="632"/>
    </row>
    <row r="16" spans="1:13" ht="49.2" customHeight="1" x14ac:dyDescent="0.3">
      <c r="A16" s="790">
        <v>1058</v>
      </c>
      <c r="B16" s="658" t="s">
        <v>2023</v>
      </c>
      <c r="C16" s="751"/>
      <c r="D16" s="938"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1"/>
    </row>
    <row r="17" spans="1:13" ht="113.4" customHeight="1" x14ac:dyDescent="0.3">
      <c r="A17" s="657">
        <v>1059</v>
      </c>
      <c r="B17" s="626" t="s">
        <v>2047</v>
      </c>
      <c r="C17" s="751"/>
      <c r="D17" s="938"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1"/>
      <c r="H17" s="633"/>
      <c r="I17" s="633"/>
      <c r="J17" s="633"/>
      <c r="K17" s="633"/>
      <c r="L17" s="633"/>
    </row>
    <row r="18" spans="1:13" s="180" customFormat="1" ht="113.4" customHeight="1" x14ac:dyDescent="0.3">
      <c r="A18" s="657">
        <v>1078</v>
      </c>
      <c r="B18" s="626" t="s">
        <v>2778</v>
      </c>
      <c r="C18" s="751"/>
      <c r="D18" s="938"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1"/>
      <c r="F18"/>
      <c r="H18" s="633"/>
      <c r="I18" s="633"/>
      <c r="J18" s="633"/>
      <c r="K18" s="633"/>
      <c r="L18" s="633"/>
      <c r="M18" s="632"/>
    </row>
    <row r="19" spans="1:13" s="180" customFormat="1" ht="78.599999999999994" customHeight="1" x14ac:dyDescent="0.3">
      <c r="A19" s="773">
        <v>1067</v>
      </c>
      <c r="B19" s="628" t="s">
        <v>1804</v>
      </c>
      <c r="C19" s="751"/>
      <c r="D19" s="938"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1"/>
      <c r="F19"/>
      <c r="G19"/>
      <c r="H19" s="633"/>
      <c r="I19" s="633"/>
      <c r="J19" s="633"/>
      <c r="K19" s="633"/>
      <c r="L19" s="633"/>
      <c r="M19" s="632"/>
    </row>
    <row r="20" spans="1:13" ht="40.200000000000003" customHeight="1" x14ac:dyDescent="0.3">
      <c r="A20" s="657">
        <v>951</v>
      </c>
      <c r="B20" s="658" t="s">
        <v>1539</v>
      </c>
      <c r="C20" s="751"/>
      <c r="D20" s="938" t="str">
        <f t="shared" si="0"/>
        <v>This Question must be answered before uploading, the report will not be processed if left blank</v>
      </c>
      <c r="E20" s="1041"/>
      <c r="H20" s="633"/>
      <c r="I20" s="633"/>
      <c r="J20" s="633"/>
      <c r="K20" s="633"/>
      <c r="L20" s="633"/>
    </row>
    <row r="21" spans="1:13" ht="40.200000000000003" customHeight="1" x14ac:dyDescent="0.3">
      <c r="A21" s="657">
        <v>953</v>
      </c>
      <c r="B21" s="658" t="s">
        <v>1693</v>
      </c>
      <c r="C21" s="751"/>
      <c r="D21" s="938" t="str">
        <f t="shared" si="0"/>
        <v>This Question must be answered before uploading, the report will not be processed if left blank</v>
      </c>
      <c r="E21" s="1041"/>
      <c r="H21" s="633"/>
      <c r="I21" s="633"/>
      <c r="J21" s="633"/>
      <c r="K21" s="633"/>
      <c r="L21" s="633"/>
    </row>
    <row r="22" spans="1:13" ht="52.95" customHeight="1" x14ac:dyDescent="0.3">
      <c r="A22" s="790">
        <v>955</v>
      </c>
      <c r="B22" s="626" t="s">
        <v>1694</v>
      </c>
      <c r="C22" s="751"/>
      <c r="D22" s="938"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1"/>
      <c r="H22" s="633"/>
      <c r="I22" s="633"/>
      <c r="J22" s="633"/>
      <c r="K22" s="633"/>
      <c r="L22" s="633"/>
    </row>
    <row r="23" spans="1:13" ht="48" customHeight="1" x14ac:dyDescent="0.3">
      <c r="A23" s="790">
        <v>957</v>
      </c>
      <c r="B23" s="626" t="s">
        <v>1699</v>
      </c>
      <c r="C23" s="751"/>
      <c r="D23" s="938" t="str">
        <f>IF(C23="","This question must be answered before uploading. The report will not be processed if left blank.",IF(C23&gt;0,"Financial Performance Indicator of Concern that requires a response.  Please provide source document and page number in E23.",""))</f>
        <v>This question must be answered before uploading. The report will not be processed if left blank.</v>
      </c>
      <c r="E23" s="1041"/>
      <c r="H23" s="633"/>
      <c r="I23" s="633"/>
      <c r="J23" s="633"/>
      <c r="K23" s="633"/>
      <c r="L23" s="633"/>
    </row>
    <row r="24" spans="1:13" s="180" customFormat="1" ht="115.8" customHeight="1" x14ac:dyDescent="0.3">
      <c r="A24" s="657">
        <v>973</v>
      </c>
      <c r="B24" s="626" t="s">
        <v>2024</v>
      </c>
      <c r="C24" s="751"/>
      <c r="D24" s="938"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1"/>
      <c r="F24"/>
      <c r="G24"/>
      <c r="H24" s="633"/>
      <c r="I24" s="633"/>
      <c r="J24" s="633"/>
      <c r="K24" s="633"/>
      <c r="L24" s="633"/>
      <c r="M24" s="632"/>
    </row>
    <row r="25" spans="1:13" s="180" customFormat="1" ht="52.8" customHeight="1" x14ac:dyDescent="0.3">
      <c r="A25" s="657">
        <v>959</v>
      </c>
      <c r="B25" s="658" t="s">
        <v>658</v>
      </c>
      <c r="C25" s="751"/>
      <c r="D25" s="938"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1"/>
      <c r="F25"/>
      <c r="G25"/>
      <c r="H25" s="633"/>
      <c r="I25" s="633"/>
      <c r="J25" s="633"/>
      <c r="K25" s="633"/>
      <c r="L25" s="633"/>
      <c r="M25" s="632"/>
    </row>
    <row r="26" spans="1:13" ht="93" customHeight="1" x14ac:dyDescent="0.3">
      <c r="A26" s="657">
        <v>974</v>
      </c>
      <c r="B26" s="658" t="s">
        <v>661</v>
      </c>
      <c r="C26" s="751"/>
      <c r="D26" s="938"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1"/>
      <c r="H26" s="633"/>
      <c r="I26" s="633"/>
      <c r="J26" s="633"/>
      <c r="K26" s="633"/>
      <c r="L26" s="633"/>
    </row>
    <row r="27" spans="1:13" ht="40.200000000000003" customHeight="1" x14ac:dyDescent="0.3">
      <c r="A27" s="657" t="s">
        <v>610</v>
      </c>
      <c r="B27" s="658" t="s">
        <v>467</v>
      </c>
      <c r="C27" s="751"/>
      <c r="D27" s="938" t="str">
        <f>IF(C27="","This Question must be answered before uploading, the report will not be processed if left blank",IF(C27="Yes","Please submit copy via LGC File Portal.",""))</f>
        <v>This Question must be answered before uploading, the report will not be processed if left blank</v>
      </c>
      <c r="E27" s="1041"/>
      <c r="H27" s="633"/>
      <c r="I27" s="633"/>
      <c r="J27" s="633"/>
      <c r="K27" s="633"/>
      <c r="L27" s="633"/>
    </row>
    <row r="28" spans="1:13" ht="40.200000000000003" customHeight="1" x14ac:dyDescent="0.3">
      <c r="A28" s="657" t="s">
        <v>611</v>
      </c>
      <c r="B28" s="658" t="s">
        <v>1998</v>
      </c>
      <c r="C28" s="751"/>
      <c r="D28" s="938" t="str">
        <f>IF(C28="","This Question must be answered before uploading, the report will not be processed if left blank",IF(C28="Yes","Please submit copy via LGC File Portal.",""))</f>
        <v>This Question must be answered before uploading, the report will not be processed if left blank</v>
      </c>
      <c r="E28" s="1041"/>
      <c r="H28" s="633"/>
      <c r="I28" s="633"/>
      <c r="J28" s="633"/>
      <c r="K28" s="633"/>
      <c r="L28" s="633"/>
    </row>
    <row r="29" spans="1:13" ht="40.200000000000003" customHeight="1" x14ac:dyDescent="0.3">
      <c r="A29" s="657" t="s">
        <v>612</v>
      </c>
      <c r="B29" s="658" t="s">
        <v>2001</v>
      </c>
      <c r="C29" s="751"/>
      <c r="D29" s="938" t="str">
        <f>IF(C29="","This Question must be answered before uploading, the report will not be processed if left blank",IF(C29="Yes","Please submit copy via LGC File Portal.",""))</f>
        <v>This Question must be answered before uploading, the report will not be processed if left blank</v>
      </c>
      <c r="E29" s="1041"/>
      <c r="H29" s="633"/>
      <c r="I29" s="633"/>
      <c r="J29" s="633"/>
      <c r="K29" s="633"/>
      <c r="L29" s="633"/>
    </row>
    <row r="30" spans="1:13" s="180" customFormat="1" ht="40.200000000000003" customHeight="1" x14ac:dyDescent="0.3">
      <c r="A30" s="1007" t="s">
        <v>2783</v>
      </c>
      <c r="B30" s="1008" t="s">
        <v>2784</v>
      </c>
      <c r="C30" s="752">
        <v>45107</v>
      </c>
      <c r="D30" s="1009"/>
      <c r="E30" s="1041"/>
      <c r="H30" s="633"/>
      <c r="I30" s="633"/>
      <c r="J30" s="633"/>
      <c r="K30" s="633"/>
      <c r="L30" s="633"/>
      <c r="M30" s="632"/>
    </row>
    <row r="31" spans="1:13" ht="40.200000000000003" customHeight="1" x14ac:dyDescent="0.3">
      <c r="A31" s="777">
        <v>1079</v>
      </c>
      <c r="B31" s="626" t="s">
        <v>2794</v>
      </c>
      <c r="C31" s="752"/>
      <c r="D31" s="1024"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42"/>
      <c r="H31" s="633"/>
      <c r="I31" s="633"/>
      <c r="J31" s="633"/>
      <c r="K31" s="633"/>
      <c r="L31" s="633"/>
    </row>
    <row r="32" spans="1:13" ht="52.95" customHeight="1" x14ac:dyDescent="0.3">
      <c r="A32" s="657">
        <v>980</v>
      </c>
      <c r="B32" s="658" t="s">
        <v>1695</v>
      </c>
      <c r="C32" s="752"/>
      <c r="D32" s="938" t="str">
        <f t="shared" si="0"/>
        <v>This Question must be answered before uploading, the report will not be processed if left blank</v>
      </c>
      <c r="E32" s="1041"/>
      <c r="H32"/>
      <c r="I32"/>
      <c r="J32"/>
      <c r="K32"/>
      <c r="L32"/>
      <c r="M32"/>
    </row>
    <row r="33" spans="1:13" ht="40.200000000000003" customHeight="1" x14ac:dyDescent="0.3">
      <c r="A33" s="1049">
        <v>975</v>
      </c>
      <c r="B33" s="1050" t="s">
        <v>2025</v>
      </c>
      <c r="C33" s="1051"/>
      <c r="D33" s="1052"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1"/>
      <c r="H33" s="633"/>
      <c r="I33" s="633"/>
      <c r="J33" s="633"/>
      <c r="K33" s="633"/>
      <c r="L33" s="633"/>
    </row>
    <row r="34" spans="1:13" ht="25.95" customHeight="1" x14ac:dyDescent="0.3">
      <c r="A34" s="1057" t="s">
        <v>1687</v>
      </c>
      <c r="B34" s="1058"/>
      <c r="C34" s="1059"/>
      <c r="D34" s="1060"/>
      <c r="E34" s="1043"/>
      <c r="H34"/>
      <c r="I34"/>
      <c r="J34"/>
      <c r="K34"/>
      <c r="L34"/>
      <c r="M34"/>
    </row>
    <row r="35" spans="1:13" ht="43.2" customHeight="1" x14ac:dyDescent="0.3">
      <c r="A35" s="1053">
        <v>1068</v>
      </c>
      <c r="B35" s="1054" t="s">
        <v>1688</v>
      </c>
      <c r="C35" s="1055"/>
      <c r="D35" s="1056" t="str">
        <f>IF(C35="","This Question must be answered before uploading, the report will not be processed if left blank","")</f>
        <v>This Question must be answered before uploading, the report will not be processed if left blank</v>
      </c>
      <c r="E35" s="1043"/>
      <c r="H35"/>
      <c r="I35"/>
      <c r="J35"/>
      <c r="K35"/>
      <c r="L35"/>
      <c r="M35"/>
    </row>
    <row r="36" spans="1:13" ht="43.2" customHeight="1" x14ac:dyDescent="0.3">
      <c r="A36" s="777">
        <v>1069</v>
      </c>
      <c r="B36" s="626" t="s">
        <v>1696</v>
      </c>
      <c r="C36" s="751"/>
      <c r="D36" s="776" t="str">
        <f t="shared" ref="D36:D38" si="1">IF(C36="","This Question must be answered before uploading, the report will not be processed if left blank","")</f>
        <v>This Question must be answered before uploading, the report will not be processed if left blank</v>
      </c>
      <c r="E36" s="1043"/>
      <c r="H36"/>
      <c r="I36"/>
      <c r="J36"/>
      <c r="K36"/>
      <c r="L36"/>
      <c r="M36"/>
    </row>
    <row r="37" spans="1:13" ht="43.2" customHeight="1" x14ac:dyDescent="0.3">
      <c r="A37" s="777">
        <v>1070</v>
      </c>
      <c r="B37" s="626" t="s">
        <v>2012</v>
      </c>
      <c r="C37" s="751"/>
      <c r="D37" s="776" t="str">
        <f t="shared" si="1"/>
        <v>This Question must be answered before uploading, the report will not be processed if left blank</v>
      </c>
      <c r="E37" s="1043"/>
      <c r="H37"/>
      <c r="I37"/>
      <c r="J37"/>
      <c r="K37"/>
      <c r="L37"/>
      <c r="M37"/>
    </row>
    <row r="38" spans="1:13" ht="43.2" customHeight="1" x14ac:dyDescent="0.3">
      <c r="A38" s="777">
        <v>1071</v>
      </c>
      <c r="B38" s="626" t="s">
        <v>2810</v>
      </c>
      <c r="C38" s="783"/>
      <c r="D38" s="776" t="str">
        <f t="shared" si="1"/>
        <v>This Question must be answered before uploading, the report will not be processed if left blank</v>
      </c>
      <c r="E38" s="1043"/>
      <c r="H38"/>
      <c r="I38"/>
      <c r="J38"/>
      <c r="K38"/>
      <c r="L38"/>
      <c r="M38"/>
    </row>
    <row r="39" spans="1:13" x14ac:dyDescent="0.3">
      <c r="A39"/>
      <c r="D39"/>
      <c r="E39" s="1043"/>
      <c r="H39"/>
      <c r="I39"/>
      <c r="J39"/>
      <c r="K39"/>
      <c r="L39"/>
      <c r="M39"/>
    </row>
    <row r="40" spans="1:13" s="180" customFormat="1" ht="40.200000000000003" customHeight="1" x14ac:dyDescent="0.3">
      <c r="A40" s="657" t="s">
        <v>613</v>
      </c>
      <c r="B40" s="722" t="str">
        <f>IF(D40="","This Question must be answered before uploading, the report will not be processed if left blank","")</f>
        <v>This Question must be answered before uploading, the report will not be processed if left blank</v>
      </c>
      <c r="C40" s="662" t="s">
        <v>468</v>
      </c>
      <c r="D40" s="1061"/>
      <c r="E40" s="1043"/>
      <c r="F40"/>
      <c r="G40"/>
      <c r="H40" s="632"/>
      <c r="I40" s="632"/>
      <c r="J40" s="632"/>
      <c r="K40" s="632"/>
      <c r="L40" s="632"/>
      <c r="M40" s="632"/>
    </row>
    <row r="41" spans="1:13" ht="14.4" customHeight="1" x14ac:dyDescent="0.3">
      <c r="A41" s="560"/>
      <c r="B41" s="623"/>
      <c r="C41" s="561"/>
      <c r="D41" s="1062"/>
      <c r="E41" s="1043"/>
    </row>
    <row r="42" spans="1:13" ht="40.200000000000003" customHeight="1" x14ac:dyDescent="0.3">
      <c r="A42" s="657" t="s">
        <v>614</v>
      </c>
      <c r="B42" s="722" t="str">
        <f>IF(D42="","This Question must be answered before uploading, the report will not be processed if left blank","")</f>
        <v>This Question must be answered before uploading, the report will not be processed if left blank</v>
      </c>
      <c r="C42" s="662" t="s">
        <v>469</v>
      </c>
      <c r="D42" s="1061"/>
      <c r="E42" s="1043"/>
    </row>
    <row r="43" spans="1:13" ht="14.4" customHeight="1" x14ac:dyDescent="0.3">
      <c r="A43" s="560"/>
      <c r="B43" s="623"/>
      <c r="C43" s="561"/>
      <c r="D43" s="1062"/>
      <c r="E43" s="1043"/>
    </row>
    <row r="44" spans="1:13" s="180" customFormat="1" ht="40.200000000000003" customHeight="1" x14ac:dyDescent="0.3">
      <c r="A44" s="657" t="s">
        <v>875</v>
      </c>
      <c r="B44" s="722" t="str">
        <f>IF(D44="","This Question must be answered before uploading, the report will not be processed if left blank","")</f>
        <v>This Question must be answered before uploading, the report will not be processed if left blank</v>
      </c>
      <c r="C44" s="662" t="s">
        <v>1540</v>
      </c>
      <c r="D44" s="768"/>
      <c r="E44" s="1043"/>
      <c r="F44"/>
      <c r="G44"/>
      <c r="H44" s="632"/>
      <c r="I44" s="632"/>
      <c r="J44" s="632"/>
      <c r="K44" s="632"/>
      <c r="L44" s="632"/>
      <c r="M44" s="632"/>
    </row>
    <row r="48" spans="1:13" x14ac:dyDescent="0.3">
      <c r="D48" s="526" t="s">
        <v>351</v>
      </c>
    </row>
    <row r="52" spans="1:4" x14ac:dyDescent="0.3">
      <c r="A52" s="753"/>
      <c r="B52" s="754" t="s">
        <v>470</v>
      </c>
      <c r="C52" s="755">
        <v>1</v>
      </c>
      <c r="D52" s="756"/>
    </row>
    <row r="53" spans="1:4" x14ac:dyDescent="0.3">
      <c r="A53" s="757"/>
      <c r="B53" s="758" t="s">
        <v>471</v>
      </c>
      <c r="C53" s="759">
        <v>45181</v>
      </c>
      <c r="D53" s="760"/>
    </row>
    <row r="54" spans="1:4" x14ac:dyDescent="0.3">
      <c r="B54" s="561"/>
      <c r="C54" s="623"/>
    </row>
    <row r="55" spans="1:4" x14ac:dyDescent="0.3">
      <c r="B55" s="561"/>
      <c r="C55" s="623"/>
    </row>
  </sheetData>
  <sheetProtection algorithmName="SHA-512" hashValue="DrJI087p+fCO3JTWteZhQg5brCgdfcOoXVFttLEX9Edpb11jfTNnAlK/2+VbPVslxx1rl8Sp0w9q74RRKI256g==" saltValue="kG75c9u3mt8Ed9K1Hw4kOw==" spinCount="100000" sheet="1" objects="1" scenarios="1"/>
  <dataConsolidate/>
  <mergeCells count="5">
    <mergeCell ref="E9:E10"/>
    <mergeCell ref="A2:D2"/>
    <mergeCell ref="A4:D4"/>
    <mergeCell ref="A6:D6"/>
    <mergeCell ref="A8:D8"/>
  </mergeCells>
  <conditionalFormatting sqref="C13">
    <cfRule type="expression" dxfId="92" priority="24">
      <formula>"IF(C13=""Yes""|"" ""| "" "")"</formula>
    </cfRule>
  </conditionalFormatting>
  <conditionalFormatting sqref="E13">
    <cfRule type="expression" dxfId="91" priority="16">
      <formula>C13="yes"</formula>
    </cfRule>
  </conditionalFormatting>
  <conditionalFormatting sqref="E14">
    <cfRule type="expression" dxfId="90" priority="15">
      <formula>C14="Yes"</formula>
    </cfRule>
  </conditionalFormatting>
  <conditionalFormatting sqref="E15">
    <cfRule type="expression" dxfId="89" priority="14">
      <formula>C15="Yes"</formula>
    </cfRule>
  </conditionalFormatting>
  <conditionalFormatting sqref="E16">
    <cfRule type="expression" dxfId="88" priority="13">
      <formula>C16="Yes"</formula>
    </cfRule>
  </conditionalFormatting>
  <conditionalFormatting sqref="E17">
    <cfRule type="expression" dxfId="87" priority="11">
      <formula>C17="No"</formula>
    </cfRule>
  </conditionalFormatting>
  <conditionalFormatting sqref="E19">
    <cfRule type="expression" dxfId="86" priority="10">
      <formula>C19="No"</formula>
    </cfRule>
  </conditionalFormatting>
  <conditionalFormatting sqref="E25">
    <cfRule type="expression" dxfId="85" priority="8">
      <formula>C25="Yes"</formula>
    </cfRule>
  </conditionalFormatting>
  <conditionalFormatting sqref="E26">
    <cfRule type="expression" dxfId="84" priority="7">
      <formula>C26="Yes"</formula>
    </cfRule>
  </conditionalFormatting>
  <conditionalFormatting sqref="E22">
    <cfRule type="expression" dxfId="83" priority="4">
      <formula>$C$22&gt;0</formula>
    </cfRule>
  </conditionalFormatting>
  <conditionalFormatting sqref="E23">
    <cfRule type="expression" dxfId="82" priority="3">
      <formula>$C$23&gt;0</formula>
    </cfRule>
  </conditionalFormatting>
  <conditionalFormatting sqref="E31">
    <cfRule type="expression" dxfId="81" priority="2">
      <formula>$D$31="Financial Performance Indicator of Concern that requires a response."</formula>
    </cfRule>
  </conditionalFormatting>
  <conditionalFormatting sqref="E18">
    <cfRule type="expression" dxfId="80" priority="1">
      <formula>$C$18="Yes"</formula>
    </cfRule>
  </conditionalFormatting>
  <dataValidations xWindow="697" yWindow="411" count="12">
    <dataValidation type="list" allowBlank="1" showInputMessage="1" showErrorMessage="1" prompt="Please select Yes or No from the drop down list" sqref="C21 C19 C37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441E98F8-D7EF-4EBE-82D2-6B8689AE5F64}">
      <formula1>"Yes, No, N/A"</formula1>
    </dataValidation>
    <dataValidation type="custom" allowBlank="1" showInputMessage="1" showErrorMessage="1" error="Submit Date is prior to fiscal year end." sqref="C31" xr:uid="{DB355EFD-21A6-42B2-A840-813D41DCE31D}">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86" zoomScaleNormal="86" workbookViewId="0">
      <selection activeCell="G46" sqref="G46"/>
    </sheetView>
  </sheetViews>
  <sheetFormatPr defaultColWidth="9.109375" defaultRowHeight="14.4" x14ac:dyDescent="0.3"/>
  <cols>
    <col min="1" max="1" width="6.33203125" style="828" customWidth="1"/>
    <col min="2" max="2" width="36.77734375" style="828" customWidth="1"/>
    <col min="3" max="3" width="14.44140625" style="828" customWidth="1"/>
    <col min="4" max="4" width="15.88671875" style="828" customWidth="1"/>
    <col min="5" max="5" width="16.21875" style="828" customWidth="1"/>
    <col min="6" max="6" width="18.44140625" style="828" customWidth="1"/>
    <col min="7" max="7" width="16.21875" style="828" customWidth="1"/>
    <col min="8" max="8" width="71.44140625" style="828" customWidth="1"/>
    <col min="9" max="9" width="56.77734375" style="931" customWidth="1"/>
    <col min="10" max="10" width="46.109375" style="931" customWidth="1"/>
    <col min="11" max="11" width="9.109375" style="930" hidden="1" customWidth="1"/>
    <col min="12" max="12" width="23.6640625" style="825" hidden="1" customWidth="1"/>
    <col min="13" max="13" width="21.109375" style="825" hidden="1" customWidth="1"/>
    <col min="14" max="14" width="24" style="825" hidden="1" customWidth="1"/>
    <col min="15" max="15" width="21" style="825" hidden="1" customWidth="1"/>
    <col min="16" max="16" width="25" style="826" hidden="1" customWidth="1"/>
    <col min="17" max="17" width="25.6640625" style="827" hidden="1" customWidth="1"/>
    <col min="18" max="18" width="33.77734375" style="827" customWidth="1"/>
    <col min="19" max="19" width="9.109375" style="827" customWidth="1"/>
    <col min="20" max="59" width="9.109375" style="827"/>
    <col min="60" max="16384" width="9.109375" style="828"/>
  </cols>
  <sheetData>
    <row r="1" spans="1:78" ht="40.5" customHeight="1" thickBot="1" x14ac:dyDescent="0.35">
      <c r="A1" s="823"/>
      <c r="B1" s="1100" t="s">
        <v>1158</v>
      </c>
      <c r="C1" s="1100"/>
      <c r="D1" s="1100"/>
      <c r="E1" s="1100"/>
      <c r="F1" s="1100"/>
      <c r="G1" s="1100"/>
      <c r="H1" s="1101"/>
      <c r="I1" s="1098"/>
      <c r="J1" s="1099"/>
      <c r="K1" s="824"/>
    </row>
    <row r="2" spans="1:78" ht="72" customHeight="1" thickBot="1" x14ac:dyDescent="0.35">
      <c r="A2" s="829"/>
      <c r="B2" s="1102" t="s">
        <v>1159</v>
      </c>
      <c r="C2" s="1103"/>
      <c r="D2" s="1103"/>
      <c r="E2" s="1103"/>
      <c r="F2" s="1103"/>
      <c r="G2" s="1103"/>
      <c r="H2" s="1104"/>
      <c r="I2" s="1117" t="s">
        <v>1160</v>
      </c>
      <c r="J2" s="1120" t="s">
        <v>1567</v>
      </c>
      <c r="K2" s="830"/>
    </row>
    <row r="3" spans="1:78" ht="15" customHeight="1" thickBot="1" x14ac:dyDescent="0.35">
      <c r="A3" s="831"/>
      <c r="B3" s="832"/>
      <c r="C3" s="833"/>
      <c r="D3" s="833"/>
      <c r="E3" s="833"/>
      <c r="F3" s="833"/>
      <c r="G3" s="834"/>
      <c r="H3" s="835"/>
      <c r="I3" s="1118"/>
      <c r="J3" s="1121"/>
      <c r="K3" s="830"/>
    </row>
    <row r="4" spans="1:78" ht="21.75" customHeight="1" thickBot="1" x14ac:dyDescent="0.35">
      <c r="A4" s="836"/>
      <c r="B4" s="837" t="s">
        <v>609</v>
      </c>
      <c r="C4" s="1105" t="str">
        <f>'Unit Data from Audit Worksheet'!D2</f>
        <v>Select Unit Name from Drop Down List</v>
      </c>
      <c r="D4" s="1106"/>
      <c r="E4" s="1107"/>
      <c r="F4" s="1108" t="s">
        <v>2006</v>
      </c>
      <c r="G4" s="1109"/>
      <c r="H4" s="1112" t="s">
        <v>1564</v>
      </c>
      <c r="I4" s="1118"/>
      <c r="J4" s="1121"/>
      <c r="K4" s="838"/>
      <c r="L4" s="839"/>
    </row>
    <row r="5" spans="1:78" ht="21.6" thickBot="1" x14ac:dyDescent="0.35">
      <c r="A5" s="840"/>
      <c r="B5" s="841" t="s">
        <v>588</v>
      </c>
      <c r="C5" s="1114" t="e">
        <f>'Unit Data from Audit Worksheet'!D3</f>
        <v>#N/A</v>
      </c>
      <c r="D5" s="1115"/>
      <c r="E5" s="1116"/>
      <c r="F5" s="1110"/>
      <c r="G5" s="1111"/>
      <c r="H5" s="1113"/>
      <c r="I5" s="1118"/>
      <c r="J5" s="1121"/>
      <c r="K5" s="842"/>
      <c r="L5" s="843" t="s">
        <v>598</v>
      </c>
    </row>
    <row r="6" spans="1:78" ht="18.75" customHeight="1" x14ac:dyDescent="0.3">
      <c r="A6" s="831"/>
      <c r="B6" s="1127" t="s">
        <v>1517</v>
      </c>
      <c r="C6" s="1127"/>
      <c r="D6" s="1127"/>
      <c r="E6" s="1127"/>
      <c r="F6" s="1127"/>
      <c r="G6" s="1127"/>
      <c r="H6" s="1128"/>
      <c r="I6" s="1118"/>
      <c r="J6" s="1121"/>
      <c r="K6" s="842"/>
      <c r="L6" s="843"/>
    </row>
    <row r="7" spans="1:78" ht="116.25" customHeight="1" thickBot="1" x14ac:dyDescent="0.35">
      <c r="A7" s="844"/>
      <c r="B7" s="1129"/>
      <c r="C7" s="1129"/>
      <c r="D7" s="1129"/>
      <c r="E7" s="1129"/>
      <c r="F7" s="1129"/>
      <c r="G7" s="1129"/>
      <c r="H7" s="1130"/>
      <c r="I7" s="1119"/>
      <c r="J7" s="1122"/>
      <c r="K7" s="842"/>
      <c r="L7" s="843"/>
    </row>
    <row r="8" spans="1:78" ht="185.1" customHeight="1" thickBot="1" x14ac:dyDescent="0.35">
      <c r="A8" s="845"/>
      <c r="B8" s="1135"/>
      <c r="C8" s="1135"/>
      <c r="D8" s="1135"/>
      <c r="E8" s="1135"/>
      <c r="F8" s="1135"/>
      <c r="G8" s="1136"/>
      <c r="H8" s="1131" t="s">
        <v>1163</v>
      </c>
      <c r="I8" s="846"/>
      <c r="J8" s="1123"/>
      <c r="K8" s="842"/>
      <c r="L8" s="847" t="b">
        <f>IF($L$9&gt;10000000,"25%",IF($L$9&gt;999999,"34%",IF($L$9&gt;99999,"71%",IF($L$9&gt;1,"100%"))))</f>
        <v>0</v>
      </c>
      <c r="N8" s="848"/>
    </row>
    <row r="9" spans="1:78" ht="132" customHeight="1" thickBot="1" x14ac:dyDescent="0.35">
      <c r="A9" s="845"/>
      <c r="B9" s="1137"/>
      <c r="C9" s="1137"/>
      <c r="D9" s="1137"/>
      <c r="E9" s="1137"/>
      <c r="F9" s="1137"/>
      <c r="G9" s="1138"/>
      <c r="H9" s="1132"/>
      <c r="I9" s="846"/>
      <c r="J9" s="1124"/>
      <c r="K9" s="842"/>
      <c r="L9" s="847">
        <f>Import!L59+Import!L65+Import!L62-Import!L63-Import!L64-Import!L60</f>
        <v>0</v>
      </c>
      <c r="N9" s="848"/>
    </row>
    <row r="10" spans="1:78" ht="91.8" customHeight="1" thickBot="1" x14ac:dyDescent="0.35">
      <c r="A10" s="849"/>
      <c r="B10" s="1126" t="s">
        <v>2054</v>
      </c>
      <c r="C10" s="1139"/>
      <c r="D10" s="1139"/>
      <c r="E10" s="1139"/>
      <c r="F10" s="850" t="s">
        <v>664</v>
      </c>
      <c r="G10" s="850" t="s">
        <v>865</v>
      </c>
      <c r="H10" s="851"/>
      <c r="I10" s="852"/>
      <c r="J10" s="1037"/>
      <c r="K10" s="853"/>
      <c r="L10" s="825">
        <v>2021</v>
      </c>
      <c r="M10" s="839">
        <v>2022</v>
      </c>
      <c r="N10" s="825">
        <v>2023</v>
      </c>
      <c r="O10" s="854"/>
      <c r="P10" s="855"/>
    </row>
    <row r="11" spans="1:78" ht="261.60000000000002" customHeight="1" thickBot="1" x14ac:dyDescent="0.35">
      <c r="A11" s="1028" t="s">
        <v>1161</v>
      </c>
      <c r="B11" s="1140"/>
      <c r="C11" s="1141"/>
      <c r="D11" s="1141"/>
      <c r="E11" s="1142"/>
      <c r="F11" s="818" t="b">
        <f>IF($L$9&gt;10000000,"25% -- Average of similar units is 46%",IF($L$9&gt;999999,"34% -- Average of similar units is 63%",IF($L$9&gt;99999,"71% -- Average of similar units is 132%",IF($L$9&gt;1,"100 %-- Average of similar units is 260%"))))</f>
        <v>0</v>
      </c>
      <c r="G11" s="963" t="str">
        <f>N11</f>
        <v/>
      </c>
      <c r="H11" s="946" t="s">
        <v>1805</v>
      </c>
      <c r="I11" s="857" t="s">
        <v>1627</v>
      </c>
      <c r="J11" s="820"/>
      <c r="K11" s="842"/>
      <c r="L11" s="969" t="e">
        <f>IFERROR(HLOOKUP(C5,'PY2 Data(H)'!$D$2:$CZ$310,308,FALSE),#N/A)</f>
        <v>#N/A</v>
      </c>
      <c r="M11" s="859" t="e">
        <f>IFERROR(HLOOKUP(C5,'PY1 Data(H)'!$D$2:$CZ$277,275,FALSE),#N/A)</f>
        <v>#N/A</v>
      </c>
      <c r="N11" s="860" t="str">
        <f>IFERROR((Import!L38+Import!L39-Import!L43-Import!L44-Import!L196-Import!L48+Import!L69)/(Import!L59+Import!L65+Import!L62-Import!L63-Import!L64-Import!L60),"")</f>
        <v/>
      </c>
      <c r="O11" s="861" t="e">
        <f>IF(N11&lt;VALUE(L8),1,0)</f>
        <v>#VALUE!</v>
      </c>
      <c r="P11" s="855"/>
    </row>
    <row r="12" spans="1:78" ht="27.75" customHeight="1" thickBot="1" x14ac:dyDescent="0.35">
      <c r="A12" s="1028"/>
      <c r="B12" s="1146" t="s">
        <v>864</v>
      </c>
      <c r="C12" s="1147"/>
      <c r="D12" s="1147"/>
      <c r="E12" s="1147"/>
      <c r="F12" s="850" t="s">
        <v>664</v>
      </c>
      <c r="G12" s="850" t="s">
        <v>865</v>
      </c>
      <c r="H12" s="862"/>
      <c r="I12" s="857"/>
      <c r="J12" s="1038"/>
      <c r="K12" s="842"/>
      <c r="L12" s="858"/>
      <c r="M12" s="860"/>
      <c r="N12" s="860"/>
      <c r="P12" s="855"/>
    </row>
    <row r="13" spans="1:78" ht="95.25" customHeight="1" thickBot="1" x14ac:dyDescent="0.35">
      <c r="A13" s="1028" t="s">
        <v>1162</v>
      </c>
      <c r="B13" s="1143" t="s">
        <v>2019</v>
      </c>
      <c r="C13" s="1144"/>
      <c r="D13" s="1144"/>
      <c r="E13" s="1145"/>
      <c r="F13" s="818" t="s">
        <v>1559</v>
      </c>
      <c r="G13" s="981" t="b">
        <f>IF(AND(L13="Operations",M13&lt;0),"Operations",IF(AND(L13="Capital",M13&lt;0),"Capital",IF(L13="N/A","N/A")))</f>
        <v>0</v>
      </c>
      <c r="H13" s="862" t="s">
        <v>1565</v>
      </c>
      <c r="I13" s="863" t="s">
        <v>2053</v>
      </c>
      <c r="J13" s="820" t="s">
        <v>2795</v>
      </c>
      <c r="K13" s="842"/>
      <c r="L13" s="944">
        <f>'Unit Data from Audit Worksheet'!F77</f>
        <v>0</v>
      </c>
      <c r="M13" s="945">
        <f>'Unit Data from Audit Worksheet'!F76</f>
        <v>0</v>
      </c>
      <c r="N13" s="860"/>
      <c r="O13" s="854"/>
      <c r="P13" s="855"/>
    </row>
    <row r="14" spans="1:78" ht="171" customHeight="1" thickBot="1" x14ac:dyDescent="0.35">
      <c r="A14" s="1028" t="s">
        <v>1164</v>
      </c>
      <c r="B14" s="1143" t="s">
        <v>1560</v>
      </c>
      <c r="C14" s="1144"/>
      <c r="D14" s="1144"/>
      <c r="E14" s="1145"/>
      <c r="F14" s="818" t="s">
        <v>1557</v>
      </c>
      <c r="G14" s="864">
        <f>Import!L51</f>
        <v>0</v>
      </c>
      <c r="H14" s="862" t="s">
        <v>1558</v>
      </c>
      <c r="I14" s="863" t="s">
        <v>1573</v>
      </c>
      <c r="J14" s="820"/>
      <c r="K14" s="842"/>
      <c r="L14" s="860"/>
      <c r="M14" s="860"/>
      <c r="N14" s="860"/>
      <c r="O14" s="854"/>
      <c r="P14" s="855"/>
    </row>
    <row r="15" spans="1:78" ht="81" customHeight="1" thickBot="1" x14ac:dyDescent="0.35">
      <c r="A15" s="1029"/>
      <c r="B15" s="1125" t="s">
        <v>2055</v>
      </c>
      <c r="C15" s="1125"/>
      <c r="D15" s="1125"/>
      <c r="E15" s="1126"/>
      <c r="F15" s="850" t="s">
        <v>664</v>
      </c>
      <c r="G15" s="850" t="s">
        <v>865</v>
      </c>
      <c r="H15" s="865" t="s">
        <v>1166</v>
      </c>
      <c r="I15" s="866"/>
      <c r="J15" s="1039"/>
      <c r="K15" s="842"/>
      <c r="L15" s="867" t="e">
        <f>HLOOKUP($C$5,'PY2 Data(H)'!$D$2:$CZ$310,286,FALSE)</f>
        <v>#N/A</v>
      </c>
      <c r="M15" s="868" t="e">
        <f>HLOOKUP($C$5,'PY1 Data(H)'!$D$2:$CZ$277,236,FALSE)</f>
        <v>#N/A</v>
      </c>
      <c r="N15" s="869" t="e">
        <f>Import!L240</f>
        <v>#N/A</v>
      </c>
      <c r="O15" s="870"/>
      <c r="P15" s="971"/>
      <c r="Q15" s="972"/>
      <c r="R15" s="871"/>
      <c r="S15" s="871"/>
      <c r="T15" s="871"/>
      <c r="U15" s="871"/>
      <c r="V15" s="871"/>
      <c r="W15" s="871"/>
      <c r="X15" s="871"/>
      <c r="Y15" s="871"/>
      <c r="Z15" s="871"/>
      <c r="AA15" s="871"/>
      <c r="AB15" s="871"/>
      <c r="AC15" s="871"/>
      <c r="AD15" s="871"/>
      <c r="AE15" s="871"/>
      <c r="AF15" s="871"/>
      <c r="AG15" s="871"/>
      <c r="AH15" s="871"/>
      <c r="AI15" s="871"/>
      <c r="AJ15" s="871"/>
      <c r="AK15" s="871"/>
      <c r="AL15" s="871"/>
      <c r="AM15" s="871"/>
      <c r="AN15" s="871"/>
      <c r="AO15" s="871"/>
      <c r="AP15" s="871"/>
      <c r="AQ15" s="871"/>
      <c r="AR15" s="871"/>
      <c r="AS15" s="871"/>
      <c r="AT15" s="871"/>
      <c r="AU15" s="871"/>
      <c r="AV15" s="871"/>
      <c r="AW15" s="871"/>
      <c r="AX15" s="871"/>
      <c r="AY15" s="871"/>
      <c r="AZ15" s="871"/>
      <c r="BA15" s="871"/>
      <c r="BB15" s="871"/>
      <c r="BC15" s="871"/>
      <c r="BD15" s="871"/>
      <c r="BE15" s="871"/>
      <c r="BF15" s="871"/>
      <c r="BG15" s="871"/>
      <c r="BH15" s="872"/>
      <c r="BI15" s="872"/>
      <c r="BJ15" s="872"/>
      <c r="BK15" s="872"/>
      <c r="BL15" s="872"/>
      <c r="BM15" s="872"/>
      <c r="BN15" s="872"/>
      <c r="BO15" s="872"/>
      <c r="BP15" s="872"/>
      <c r="BQ15" s="872"/>
      <c r="BR15" s="872"/>
      <c r="BS15" s="872"/>
      <c r="BT15" s="872"/>
      <c r="BU15" s="872"/>
      <c r="BV15" s="872"/>
      <c r="BW15" s="872"/>
      <c r="BX15" s="872"/>
      <c r="BY15" s="872"/>
      <c r="BZ15" s="872"/>
    </row>
    <row r="16" spans="1:78" ht="202.5" customHeight="1" thickBot="1" x14ac:dyDescent="0.35">
      <c r="A16" s="1028" t="s">
        <v>1165</v>
      </c>
      <c r="B16" s="873"/>
      <c r="C16" s="874"/>
      <c r="D16" s="874"/>
      <c r="E16" s="875"/>
      <c r="F16" s="876" t="s">
        <v>589</v>
      </c>
      <c r="G16" s="964" t="e">
        <f>N16</f>
        <v>#DIV/0!</v>
      </c>
      <c r="H16" s="856" t="s">
        <v>866</v>
      </c>
      <c r="I16" s="863" t="s">
        <v>591</v>
      </c>
      <c r="J16" s="820"/>
      <c r="K16" s="842"/>
      <c r="L16" s="976" t="e">
        <f>IF(AND(HLOOKUP($C$5,'PY2 Data(H)'!$D$2:$CZ$310,286,FALSE)=0.01,(HLOOKUP($C$5,'PY2 Data(H)'!$D$2:$CZ$310,298,FALSE)&gt;0)),P16,#N/A)</f>
        <v>#N/A</v>
      </c>
      <c r="M16" s="977" t="e">
        <f>IF(AND(HLOOKUP($C$5,'PY1 Data(H)'!$D$2:$CZ$277,236,FALSE)=0.01,(HLOOKUP($C$5,'PY1 Data(H)'!$D$2:$CZ$277,265,FALSE)&gt;0)),Q16,#N/A)</f>
        <v>#N/A</v>
      </c>
      <c r="N16" s="869" t="e">
        <f>(+Import!L76-Import!L77-Import!L74-Import!L75)/(Import!L80-Import!L81-Import!L82-Import!L83-Import!L$84-Import!L85-Import!L79)</f>
        <v>#DIV/0!</v>
      </c>
      <c r="O16" s="970"/>
      <c r="P16" s="978" t="e">
        <f>HLOOKUP($C$5,'PY2 Data(H)'!$D$2:$CZ$310,298,FALSE)</f>
        <v>#N/A</v>
      </c>
      <c r="Q16" s="975" t="e">
        <f>HLOOKUP($C$5,'PY1 Data(H)'!$D$2:$CZ$277,265,FALSE)</f>
        <v>#N/A</v>
      </c>
      <c r="R16"/>
    </row>
    <row r="17" spans="1:81" ht="27.75" customHeight="1" thickBot="1" x14ac:dyDescent="0.35">
      <c r="A17" s="1030"/>
      <c r="B17" s="877" t="s">
        <v>1168</v>
      </c>
      <c r="C17" s="878">
        <v>2021</v>
      </c>
      <c r="D17" s="878">
        <v>2022</v>
      </c>
      <c r="E17" s="878">
        <v>2023</v>
      </c>
      <c r="F17" s="850" t="s">
        <v>664</v>
      </c>
      <c r="G17" s="850" t="s">
        <v>865</v>
      </c>
      <c r="H17" s="879"/>
      <c r="I17" s="866"/>
      <c r="J17" s="1039"/>
      <c r="K17" s="842"/>
      <c r="L17" s="869"/>
      <c r="M17" s="869"/>
      <c r="N17" s="869"/>
      <c r="P17" s="973"/>
      <c r="Q17" s="974"/>
    </row>
    <row r="18" spans="1:81" ht="75.599999999999994" customHeight="1" thickBot="1" x14ac:dyDescent="0.35">
      <c r="A18" s="1028" t="s">
        <v>1167</v>
      </c>
      <c r="B18" s="880" t="s">
        <v>1575</v>
      </c>
      <c r="C18" s="864" t="e">
        <f>IF(L15=0,"N/A",L18)</f>
        <v>#N/A</v>
      </c>
      <c r="D18" s="864" t="e">
        <f>IF(M15=0,"N/A",M18)</f>
        <v>#N/A</v>
      </c>
      <c r="E18" s="881" t="e">
        <f>IF(N15=0,"N/A",N18)</f>
        <v>#N/A</v>
      </c>
      <c r="F18" s="818" t="s">
        <v>867</v>
      </c>
      <c r="G18" s="965" t="e">
        <f>E18</f>
        <v>#N/A</v>
      </c>
      <c r="H18" s="856" t="s">
        <v>1669</v>
      </c>
      <c r="I18" s="863" t="s">
        <v>1671</v>
      </c>
      <c r="J18" s="820"/>
      <c r="K18" s="842"/>
      <c r="L18" s="985" t="e">
        <f>IF(HLOOKUP($C$5,'PY2 Data(H)'!$D$2:$CZ$310,299,FALSE)=0,"Prior year data not submitted as of workbook published date.",(HLOOKUP($C$5,'PY2 Data(H)'!$D$2:$CZ$310,299,FALSE)))</f>
        <v>#N/A</v>
      </c>
      <c r="M18" s="939" t="e">
        <f>IF(HLOOKUP($C$5,'PY1 Data(H)'!$D$2:$CZ$277,266,FALSE)=0,"Prior year data not submitted as of workbook published date.",(HLOOKUP($C$5,'PY1 Data(H)'!$D$2:$CZ$277,266,FALSE)))</f>
        <v>#N/A</v>
      </c>
      <c r="N18" s="882">
        <f>+Import!L109-Import!L111+Import!L110-Import!L140-Import!L112</f>
        <v>0</v>
      </c>
    </row>
    <row r="19" spans="1:81" ht="109.5" customHeight="1" thickBot="1" x14ac:dyDescent="0.35">
      <c r="A19" s="1028" t="s">
        <v>1169</v>
      </c>
      <c r="B19" s="883" t="s">
        <v>1691</v>
      </c>
      <c r="C19" s="941" t="e">
        <f>IF(L15=0,"N/A",L19)</f>
        <v>#N/A</v>
      </c>
      <c r="D19" s="941" t="e">
        <f>IF(M15=0,"N/A",M19)</f>
        <v>#N/A</v>
      </c>
      <c r="E19" s="884" t="e">
        <f>IF(N15=0,"N/A",N19)</f>
        <v>#N/A</v>
      </c>
      <c r="F19" s="818" t="s">
        <v>811</v>
      </c>
      <c r="G19" s="966" t="e">
        <f>E19</f>
        <v>#N/A</v>
      </c>
      <c r="H19" s="856" t="s">
        <v>1999</v>
      </c>
      <c r="I19" s="863" t="s">
        <v>1674</v>
      </c>
      <c r="J19" s="821"/>
      <c r="K19" s="842"/>
      <c r="L19" s="990" t="e">
        <f>IF(HLOOKUP($C$5,'PY2 Data(H)'!$D$2:$CZ$310,300,FALSE)=0,"Prior year data not submitted as of workbook published date.",(HLOOKUP($C$5,'PY2 Data(H)'!$D$2:$CZ$310,300,FALSE)))</f>
        <v>#N/A</v>
      </c>
      <c r="M19" s="940" t="e">
        <f>IF(HLOOKUP($C$5,'PY1 Data(H)'!$D$2:$CZ$277,267,FALSE)=0,"Prior year data not submitted as of workbook published date.",(HLOOKUP($C$5,'PY1 Data(H)'!$D$2:$CZ$277,267,FALSE)))</f>
        <v>#N/A</v>
      </c>
      <c r="N19" s="885" t="e">
        <f>Import!L72/(Import!L111+Import!L114-Import!L110+Import!L140)</f>
        <v>#DIV/0!</v>
      </c>
      <c r="O19" s="886"/>
    </row>
    <row r="20" spans="1:81" ht="75" customHeight="1" thickBot="1" x14ac:dyDescent="0.35">
      <c r="A20" s="1028" t="s">
        <v>1170</v>
      </c>
      <c r="B20" s="1148" t="s">
        <v>2052</v>
      </c>
      <c r="C20" s="1148"/>
      <c r="D20" s="1149"/>
      <c r="E20" s="887" t="str">
        <f>IF(N20&lt;0,"Yes","No")</f>
        <v>No</v>
      </c>
      <c r="F20" s="888"/>
      <c r="G20" s="889" t="str">
        <f>E20</f>
        <v>No</v>
      </c>
      <c r="H20" s="856" t="s">
        <v>1171</v>
      </c>
      <c r="I20" s="863" t="s">
        <v>812</v>
      </c>
      <c r="J20" s="820"/>
      <c r="K20" s="842"/>
      <c r="L20" s="890"/>
      <c r="M20" s="891">
        <f>((Import!L114+Import!L111)*0.03)-Import!L118</f>
        <v>0</v>
      </c>
      <c r="N20" s="892">
        <f>M20*0.03</f>
        <v>0</v>
      </c>
    </row>
    <row r="21" spans="1:81" ht="75" customHeight="1" thickBot="1" x14ac:dyDescent="0.35">
      <c r="A21" s="1031">
        <v>8</v>
      </c>
      <c r="B21" s="1001" t="s">
        <v>2779</v>
      </c>
      <c r="C21" s="1002" t="e">
        <f>L21</f>
        <v>#N/A</v>
      </c>
      <c r="D21" s="1002" t="e">
        <f>M21</f>
        <v>#N/A</v>
      </c>
      <c r="E21" s="1003" t="e">
        <f>N21</f>
        <v>#DIV/0!</v>
      </c>
      <c r="F21" s="983" t="s">
        <v>2781</v>
      </c>
      <c r="G21" s="953" t="e">
        <f>E21</f>
        <v>#DIV/0!</v>
      </c>
      <c r="H21" s="1004" t="s">
        <v>2780</v>
      </c>
      <c r="I21" s="949" t="s">
        <v>2049</v>
      </c>
      <c r="J21" s="821"/>
      <c r="K21" s="842"/>
      <c r="L21" s="950" t="e">
        <f>IF(HLOOKUP($C$5,'PY2 Data(H)'!$D$2:$CZ$310,309,FALSE)=0,"Prior year data not submitted as of workbook published date.",(HLOOKUP($C$5,'PY2 Data(H)'!$D$2:$CZ$310,309,FALSE)))</f>
        <v>#N/A</v>
      </c>
      <c r="M21" s="951" t="e">
        <f>IF(HLOOKUP($C$5,'PY1 Data(H)'!$D$2:$CZ$277,276,FALSE)=0,"Prior year data not submitted as of workbook published date.",(HLOOKUP($C$5,'PY1 Data(H)'!$D$2:$CZ$277,276,FALSE)))</f>
        <v>#N/A</v>
      </c>
      <c r="N21" s="952" t="e">
        <f>1-(Import!L166+Import!L167+Import!L168+Import!L169)/(Import!L158+Import!L159+Import!L160+Import!L161)</f>
        <v>#DIV/0!</v>
      </c>
    </row>
    <row r="22" spans="1:81" x14ac:dyDescent="0.3">
      <c r="A22" s="1032"/>
    </row>
    <row r="23" spans="1:81" ht="15" thickBot="1" x14ac:dyDescent="0.35">
      <c r="A23" s="1032"/>
    </row>
    <row r="24" spans="1:81" ht="87" customHeight="1" thickBot="1" x14ac:dyDescent="0.35">
      <c r="A24" s="1029"/>
      <c r="B24" s="1125" t="s">
        <v>2056</v>
      </c>
      <c r="C24" s="1125"/>
      <c r="D24" s="1125"/>
      <c r="E24" s="1125"/>
      <c r="F24" s="850" t="s">
        <v>664</v>
      </c>
      <c r="G24" s="850" t="s">
        <v>865</v>
      </c>
      <c r="H24" s="865" t="s">
        <v>1172</v>
      </c>
      <c r="I24" s="893"/>
      <c r="J24" s="894"/>
      <c r="K24" s="842"/>
      <c r="L24" s="867" t="e">
        <f>HLOOKUP($C$5,'PY2 Data(H)'!$D$2:$CZ$310,285,FALSE)</f>
        <v>#N/A</v>
      </c>
      <c r="M24" s="868" t="e">
        <f>HLOOKUP($C$5,'PY1 Data(H)'!$D$2:$CZ$277,235,FALSE)</f>
        <v>#N/A</v>
      </c>
      <c r="N24" s="895" t="e">
        <f>Import!L239</f>
        <v>#N/A</v>
      </c>
    </row>
    <row r="25" spans="1:81" ht="202.5" customHeight="1" thickBot="1" x14ac:dyDescent="0.35">
      <c r="A25" s="1028">
        <v>9</v>
      </c>
      <c r="B25" s="1150"/>
      <c r="C25" s="1150"/>
      <c r="D25" s="1150"/>
      <c r="E25" s="1151"/>
      <c r="F25" s="818" t="s">
        <v>589</v>
      </c>
      <c r="G25" s="967" t="e">
        <f>N25</f>
        <v>#DIV/0!</v>
      </c>
      <c r="H25" s="856" t="s">
        <v>868</v>
      </c>
      <c r="I25" s="863" t="s">
        <v>599</v>
      </c>
      <c r="J25" s="820"/>
      <c r="K25" s="842"/>
      <c r="L25" s="976" t="e">
        <f>IF(AND(HLOOKUP($C$5,'PY2 Data(H)'!$D$2:$CZ$310,285,FALSE)&gt;0,(HLOOKUP($C$5,'PY2 Data(H)'!$D$2:$CZ$310,302,FALSE)&gt;0)),P25,#N/A)</f>
        <v>#N/A</v>
      </c>
      <c r="M25" s="977" t="e">
        <f>IF(AND(HLOOKUP($C$5,'PY1 Data(H)'!$D$2:$CZ$277,235,FALSE)&gt;0,(HLOOKUP($C$5,'PY1 Data(H)'!$D$2:$CZ$277,269,FALSE)&gt;0)),Q25,#N/A)</f>
        <v>#N/A</v>
      </c>
      <c r="N25" s="869" t="e">
        <f>+(Import!L94-Import!L95-Import!L93-Import!L92)/(Import!L99-Import!L100-Import!L101-Import!L102-Import!L103-Import!L104-Import!L98)</f>
        <v>#DIV/0!</v>
      </c>
      <c r="P25" s="976" t="e">
        <f>HLOOKUP($C$5,'PY2 Data(H)'!$D$2:$CZ$310,302,FALSE)</f>
        <v>#N/A</v>
      </c>
      <c r="Q25" s="977" t="e">
        <f>HLOOKUP($C$5,'PY1 Data(H)'!$D$2:$CZ$277,269,FALSE)</f>
        <v>#N/A</v>
      </c>
    </row>
    <row r="26" spans="1:81" ht="27.75" customHeight="1" thickBot="1" x14ac:dyDescent="0.35">
      <c r="A26" s="1030"/>
      <c r="B26" s="896" t="s">
        <v>1168</v>
      </c>
      <c r="C26" s="878">
        <v>2021</v>
      </c>
      <c r="D26" s="878">
        <v>2022</v>
      </c>
      <c r="E26" s="878">
        <v>2023</v>
      </c>
      <c r="F26" s="850" t="s">
        <v>664</v>
      </c>
      <c r="G26" s="850" t="s">
        <v>865</v>
      </c>
      <c r="H26" s="897"/>
      <c r="I26" s="898"/>
      <c r="J26" s="899"/>
      <c r="K26" s="842"/>
      <c r="L26" s="900"/>
      <c r="M26" s="869"/>
      <c r="N26" s="869"/>
    </row>
    <row r="27" spans="1:81" ht="71.25" customHeight="1" thickBot="1" x14ac:dyDescent="0.35">
      <c r="A27" s="1028">
        <v>10</v>
      </c>
      <c r="B27" s="880" t="s">
        <v>1575</v>
      </c>
      <c r="C27" s="943" t="e">
        <f>IF(L24=0,"N/A",L27)</f>
        <v>#N/A</v>
      </c>
      <c r="D27" s="943" t="e">
        <f>IF(M24=0,"N/A",M27)</f>
        <v>#N/A</v>
      </c>
      <c r="E27" s="901" t="e">
        <f>IF(N24=0,"N/A",N27)</f>
        <v>#N/A</v>
      </c>
      <c r="F27" s="818" t="s">
        <v>867</v>
      </c>
      <c r="G27" s="968" t="e">
        <f>E27</f>
        <v>#N/A</v>
      </c>
      <c r="H27" s="856" t="s">
        <v>1670</v>
      </c>
      <c r="I27" s="902" t="s">
        <v>1672</v>
      </c>
      <c r="J27" s="820"/>
      <c r="K27" s="842"/>
      <c r="L27" s="986" t="e">
        <f>IF(HLOOKUP($C$5,'PY2 Data(H)'!$D$2:$CZ$310,303,FALSE)=0,"Prior year data not submitted as of workbook published date.",(HLOOKUP($C$5,'PY2 Data(H)'!$D$2:$CZ$310,303,FALSE)))</f>
        <v>#N/A</v>
      </c>
      <c r="M27" s="942" t="e">
        <f>IF(HLOOKUP($C$5,'PY1 Data(H)'!$D$2:$CZ$277,270,FALSE)=0,"Prior year data not submitted as of workbook published date.",(HLOOKUP($C$5,'PY1 Data(H)'!$D$2:$CZ$277,270,FALSE)))</f>
        <v>#N/A</v>
      </c>
      <c r="N27" s="903">
        <f>+Import!L125-Import!L128+Import!L127-Import!L143-Import!L129</f>
        <v>0</v>
      </c>
    </row>
    <row r="28" spans="1:81" s="867" customFormat="1" ht="102.75" customHeight="1" thickBot="1" x14ac:dyDescent="0.35">
      <c r="A28" s="1028">
        <v>11</v>
      </c>
      <c r="B28" s="883" t="s">
        <v>1691</v>
      </c>
      <c r="C28" s="941" t="e">
        <f>IF(L24=0,"N/A",L28)</f>
        <v>#N/A</v>
      </c>
      <c r="D28" s="941" t="e">
        <f>IF(M24=0,"N/A",M28)</f>
        <v>#N/A</v>
      </c>
      <c r="E28" s="884" t="e">
        <f>IF(N24=0,"N/A",N28)</f>
        <v>#N/A</v>
      </c>
      <c r="F28" s="818" t="s">
        <v>811</v>
      </c>
      <c r="G28" s="966" t="e">
        <f>E28</f>
        <v>#N/A</v>
      </c>
      <c r="H28" s="856" t="s">
        <v>1999</v>
      </c>
      <c r="I28" s="902" t="s">
        <v>1673</v>
      </c>
      <c r="J28" s="821"/>
      <c r="K28" s="842"/>
      <c r="L28" s="987" t="e">
        <f>IF(HLOOKUP($C$5,'PY2 Data(H)'!$D$2:$CZ$310,304,FALSE)=0,"Prior year data not submitted as of workbook published date.",(HLOOKUP($C$5,'PY2 Data(H)'!$D$2:$CZ$310,304,FALSE)))</f>
        <v>#N/A</v>
      </c>
      <c r="M28" s="940" t="e">
        <f>IF(HLOOKUP($C$5,'PY1 Data(H)'!$D$2:$CZ$277,271,FALSE)=0,"Prior year data not submitted as of  workbook published date.",(HLOOKUP($C$5,'PY1 Data(H)'!$D$2:$CZ$277,271,FALSE)))</f>
        <v>#N/A</v>
      </c>
      <c r="N28" s="885" t="e">
        <f>+Import!L90/(Import!L131+Import!L128-Import!L127+Import!L143)</f>
        <v>#DIV/0!</v>
      </c>
      <c r="O28" s="825"/>
      <c r="P28" s="826"/>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827"/>
      <c r="AS28" s="827"/>
      <c r="AT28" s="827"/>
      <c r="AU28" s="827"/>
      <c r="AV28" s="827"/>
      <c r="AW28" s="827"/>
      <c r="AX28" s="827"/>
      <c r="AY28" s="827"/>
      <c r="AZ28" s="827"/>
      <c r="BA28" s="827"/>
      <c r="BB28" s="827"/>
      <c r="BC28" s="827"/>
      <c r="BD28" s="827"/>
      <c r="BE28" s="827"/>
      <c r="BF28" s="827"/>
      <c r="BG28" s="827"/>
      <c r="BH28" s="828"/>
      <c r="BI28" s="828"/>
      <c r="BJ28" s="828"/>
      <c r="BK28" s="828"/>
      <c r="BL28" s="828"/>
      <c r="BM28" s="828"/>
      <c r="BN28" s="828"/>
      <c r="BO28" s="828"/>
      <c r="BP28" s="828"/>
      <c r="BQ28" s="828"/>
      <c r="BR28" s="828"/>
      <c r="BS28" s="828"/>
      <c r="BT28" s="828"/>
      <c r="BU28" s="828"/>
      <c r="BV28" s="828"/>
      <c r="BW28" s="828"/>
      <c r="BX28" s="828"/>
      <c r="BY28" s="828"/>
      <c r="BZ28" s="828"/>
      <c r="CA28" s="828"/>
      <c r="CB28" s="828"/>
      <c r="CC28" s="828"/>
    </row>
    <row r="29" spans="1:81" s="867" customFormat="1" ht="18.600000000000001" thickBot="1" x14ac:dyDescent="0.35">
      <c r="A29" s="1033"/>
      <c r="B29" s="1152" t="s">
        <v>869</v>
      </c>
      <c r="C29" s="1152"/>
      <c r="D29" s="1152"/>
      <c r="E29" s="878">
        <v>2023</v>
      </c>
      <c r="F29" s="905" t="s">
        <v>870</v>
      </c>
      <c r="G29" s="906"/>
      <c r="H29" s="907"/>
      <c r="I29" s="908"/>
      <c r="J29" s="909"/>
      <c r="K29" s="842"/>
      <c r="L29" s="825"/>
      <c r="M29" s="825"/>
      <c r="N29" s="825"/>
      <c r="O29" s="825"/>
      <c r="P29" s="826"/>
      <c r="Q29" s="827"/>
      <c r="R29" s="827"/>
      <c r="S29" s="827"/>
      <c r="T29" s="827"/>
      <c r="U29" s="827"/>
      <c r="V29" s="827"/>
      <c r="W29" s="827"/>
      <c r="X29" s="827"/>
      <c r="Y29" s="827"/>
      <c r="Z29" s="827"/>
      <c r="AA29" s="827"/>
      <c r="AB29" s="827"/>
      <c r="AC29" s="827"/>
      <c r="AD29" s="827"/>
      <c r="AE29" s="827"/>
      <c r="AF29" s="827"/>
      <c r="AG29" s="827"/>
      <c r="AH29" s="827"/>
      <c r="AI29" s="827"/>
      <c r="AJ29" s="827"/>
      <c r="AK29" s="827"/>
      <c r="AL29" s="827"/>
      <c r="AM29" s="827"/>
      <c r="AN29" s="827"/>
      <c r="AO29" s="827"/>
      <c r="AP29" s="827"/>
      <c r="AQ29" s="827"/>
      <c r="AR29" s="827"/>
      <c r="AS29" s="827"/>
      <c r="AT29" s="827"/>
      <c r="AU29" s="827"/>
      <c r="AV29" s="827"/>
      <c r="AW29" s="827"/>
      <c r="AX29" s="827"/>
      <c r="AY29" s="827"/>
      <c r="AZ29" s="827"/>
      <c r="BA29" s="827"/>
      <c r="BB29" s="827"/>
      <c r="BC29" s="827"/>
      <c r="BD29" s="827"/>
      <c r="BE29" s="827"/>
      <c r="BF29" s="827"/>
      <c r="BG29" s="827"/>
      <c r="BH29" s="828"/>
      <c r="BI29" s="828"/>
      <c r="BJ29" s="828"/>
      <c r="BK29" s="828"/>
      <c r="BL29" s="828"/>
      <c r="BM29" s="828"/>
      <c r="BN29" s="828"/>
      <c r="BO29" s="828"/>
      <c r="BP29" s="828"/>
      <c r="BQ29" s="828"/>
      <c r="BR29" s="828"/>
      <c r="BS29" s="828"/>
      <c r="BT29" s="828"/>
      <c r="BU29" s="828"/>
      <c r="BV29" s="828"/>
      <c r="BW29" s="828"/>
      <c r="BX29" s="828"/>
      <c r="BY29" s="828"/>
      <c r="BZ29" s="828"/>
      <c r="CA29" s="828"/>
      <c r="CB29" s="828"/>
      <c r="CC29" s="828"/>
    </row>
    <row r="30" spans="1:81" s="867" customFormat="1" ht="119.4" customHeight="1" thickBot="1" x14ac:dyDescent="0.35">
      <c r="A30" s="1034" t="s">
        <v>2057</v>
      </c>
      <c r="B30" s="1133" t="s">
        <v>2785</v>
      </c>
      <c r="C30" s="1134"/>
      <c r="D30" s="1134"/>
      <c r="E30" s="1011">
        <f>Import!E259</f>
        <v>0</v>
      </c>
      <c r="F30" s="1010"/>
      <c r="G30" s="1011" t="str">
        <f>IF('TD Info Completed by Auditor'!C31&gt;N30,"Late","Response Not Required")</f>
        <v>Response Not Required</v>
      </c>
      <c r="H30" s="910" t="s">
        <v>871</v>
      </c>
      <c r="I30" s="995" t="s">
        <v>2773</v>
      </c>
      <c r="J30" s="822"/>
      <c r="K30" s="842"/>
      <c r="L30" s="1012">
        <f>'TD Info Completed by Auditor'!C31</f>
        <v>0</v>
      </c>
      <c r="M30" s="1013">
        <f>'TD Info Completed by Auditor'!C30</f>
        <v>45107</v>
      </c>
      <c r="N30" s="1014">
        <f>IF(M30=DATEVALUE("6/30/2023"),N32,IF(M30=DATEVALUE("9/30/2023"),N33,IF(M30=DATEVALUE("12/31/2023"),N34,IF(M30=DATEVALUE("3/31/2024"),N35))))</f>
        <v>45291</v>
      </c>
      <c r="O30" s="825"/>
      <c r="P30" s="826"/>
      <c r="Q30" s="827"/>
      <c r="R30" s="827"/>
      <c r="S30" s="827"/>
      <c r="T30" s="827"/>
      <c r="U30" s="827"/>
      <c r="V30" s="827"/>
      <c r="W30" s="827"/>
      <c r="X30" s="827"/>
      <c r="Y30" s="827"/>
      <c r="Z30" s="827"/>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c r="AY30" s="827"/>
      <c r="AZ30" s="827"/>
      <c r="BA30" s="827"/>
      <c r="BB30" s="827"/>
      <c r="BC30" s="827"/>
      <c r="BD30" s="827"/>
      <c r="BE30" s="827"/>
      <c r="BF30" s="827"/>
      <c r="BG30" s="827"/>
      <c r="BH30" s="828"/>
      <c r="BI30" s="828"/>
      <c r="BJ30" s="828"/>
      <c r="BK30" s="828"/>
      <c r="BL30" s="828"/>
      <c r="BM30" s="828"/>
      <c r="BN30" s="828"/>
      <c r="BO30" s="828"/>
      <c r="BP30" s="828"/>
      <c r="BQ30" s="828"/>
      <c r="BR30" s="828"/>
      <c r="BS30" s="828"/>
      <c r="BT30" s="828"/>
      <c r="BU30" s="828"/>
      <c r="BV30" s="828"/>
      <c r="BW30" s="828"/>
      <c r="BX30" s="828"/>
      <c r="BY30" s="828"/>
      <c r="BZ30" s="828"/>
      <c r="CA30" s="828"/>
      <c r="CB30" s="828"/>
      <c r="CC30" s="828"/>
    </row>
    <row r="31" spans="1:81" s="867" customFormat="1" ht="18" customHeight="1" thickBot="1" x14ac:dyDescent="0.35">
      <c r="A31" s="1035"/>
      <c r="B31" s="1153"/>
      <c r="C31" s="1153"/>
      <c r="D31" s="1154"/>
      <c r="E31" s="878">
        <v>2023</v>
      </c>
      <c r="F31" s="911" t="s">
        <v>870</v>
      </c>
      <c r="G31" s="912"/>
      <c r="H31" s="912"/>
      <c r="I31" s="913"/>
      <c r="J31" s="914"/>
      <c r="K31" s="842"/>
      <c r="L31" s="1015" t="s">
        <v>2787</v>
      </c>
      <c r="M31" s="1016" t="s">
        <v>2788</v>
      </c>
      <c r="N31" s="1017"/>
      <c r="O31" s="825"/>
      <c r="P31" s="826"/>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7"/>
      <c r="AO31" s="827"/>
      <c r="AP31" s="827"/>
      <c r="AQ31" s="827"/>
      <c r="AR31" s="827"/>
      <c r="AS31" s="827"/>
      <c r="AT31" s="827"/>
      <c r="AU31" s="827"/>
      <c r="AV31" s="827"/>
      <c r="AW31" s="827"/>
      <c r="AX31" s="827"/>
      <c r="AY31" s="827"/>
      <c r="AZ31" s="827"/>
      <c r="BA31" s="827"/>
      <c r="BB31" s="827"/>
      <c r="BC31" s="827"/>
      <c r="BD31" s="827"/>
      <c r="BE31" s="827"/>
      <c r="BF31" s="827"/>
      <c r="BG31" s="827"/>
      <c r="BH31" s="828"/>
      <c r="BI31" s="828"/>
      <c r="BJ31" s="828"/>
      <c r="BK31" s="828"/>
      <c r="BL31" s="828"/>
      <c r="BM31" s="828"/>
      <c r="BN31" s="828"/>
      <c r="BO31" s="828"/>
      <c r="BP31" s="828"/>
      <c r="BQ31" s="828"/>
      <c r="BR31" s="828"/>
      <c r="BS31" s="828"/>
      <c r="BT31" s="828"/>
      <c r="BU31" s="828"/>
      <c r="BV31" s="828"/>
      <c r="BW31" s="828"/>
      <c r="BX31" s="828"/>
      <c r="BY31" s="828"/>
      <c r="BZ31" s="828"/>
      <c r="CA31" s="828"/>
      <c r="CB31" s="828"/>
      <c r="CC31" s="828"/>
    </row>
    <row r="32" spans="1:81" s="867" customFormat="1" ht="148.19999999999999" customHeight="1" thickBot="1" x14ac:dyDescent="0.35">
      <c r="A32" s="1028">
        <v>13</v>
      </c>
      <c r="B32" s="1155" t="s">
        <v>1574</v>
      </c>
      <c r="C32" s="1156"/>
      <c r="D32" s="1156"/>
      <c r="E32" s="915"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18" t="s">
        <v>590</v>
      </c>
      <c r="G32" s="916" t="str">
        <f>+E32</f>
        <v>This question must be answered unless the unit does not levy ad valorem taxes. See cells F63 &amp; F64 on Unit Data from Audit</v>
      </c>
      <c r="H32" s="856" t="s">
        <v>1518</v>
      </c>
      <c r="I32" s="902" t="s">
        <v>595</v>
      </c>
      <c r="J32" s="822"/>
      <c r="K32" s="842"/>
      <c r="L32" s="1018"/>
      <c r="M32" s="1019">
        <v>45107</v>
      </c>
      <c r="N32" s="1020">
        <v>45291</v>
      </c>
      <c r="O32" s="825"/>
      <c r="P32" s="826"/>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827"/>
      <c r="BG32" s="827"/>
      <c r="BH32" s="828"/>
      <c r="BI32" s="828"/>
      <c r="BJ32" s="828"/>
      <c r="BK32" s="828"/>
      <c r="BL32" s="828"/>
      <c r="BM32" s="828"/>
      <c r="BN32" s="828"/>
      <c r="BO32" s="828"/>
      <c r="BP32" s="828"/>
      <c r="BQ32" s="828"/>
      <c r="BR32" s="828"/>
      <c r="BS32" s="828"/>
      <c r="BT32" s="828"/>
      <c r="BU32" s="828"/>
      <c r="BV32" s="828"/>
      <c r="BW32" s="828"/>
      <c r="BX32" s="828"/>
      <c r="BY32" s="828"/>
      <c r="BZ32" s="828"/>
      <c r="CA32" s="828"/>
      <c r="CB32" s="828"/>
      <c r="CC32" s="828"/>
    </row>
    <row r="33" spans="1:81" s="867" customFormat="1" ht="18" customHeight="1" thickBot="1" x14ac:dyDescent="0.35">
      <c r="A33" s="1036"/>
      <c r="B33" s="1153"/>
      <c r="C33" s="1153"/>
      <c r="D33" s="1154"/>
      <c r="E33" s="878">
        <v>2023</v>
      </c>
      <c r="F33" s="911" t="s">
        <v>870</v>
      </c>
      <c r="G33" s="912"/>
      <c r="H33" s="912"/>
      <c r="I33" s="913"/>
      <c r="J33" s="914"/>
      <c r="K33" s="824"/>
      <c r="L33" s="1018"/>
      <c r="M33" s="1019">
        <v>45199</v>
      </c>
      <c r="N33" s="1020">
        <v>45382</v>
      </c>
      <c r="O33" s="825"/>
      <c r="P33" s="826"/>
      <c r="Q33" s="827"/>
      <c r="R33" s="827"/>
      <c r="S33" s="827"/>
      <c r="T33" s="827"/>
      <c r="U33" s="827"/>
      <c r="V33" s="827"/>
      <c r="W33" s="827"/>
      <c r="X33" s="827"/>
      <c r="Y33" s="827"/>
      <c r="Z33" s="827"/>
      <c r="AA33" s="827"/>
      <c r="AB33" s="827"/>
      <c r="AC33" s="827"/>
      <c r="AD33" s="827"/>
      <c r="AE33" s="827"/>
      <c r="AF33" s="827"/>
      <c r="AG33" s="827"/>
      <c r="AH33" s="827"/>
      <c r="AI33" s="827"/>
      <c r="AJ33" s="827"/>
      <c r="AK33" s="827"/>
      <c r="AL33" s="827"/>
      <c r="AM33" s="827"/>
      <c r="AN33" s="827"/>
      <c r="AO33" s="827"/>
      <c r="AP33" s="827"/>
      <c r="AQ33" s="827"/>
      <c r="AR33" s="827"/>
      <c r="AS33" s="827"/>
      <c r="AT33" s="827"/>
      <c r="AU33" s="827"/>
      <c r="AV33" s="827"/>
      <c r="AW33" s="827"/>
      <c r="AX33" s="827"/>
      <c r="AY33" s="827"/>
      <c r="AZ33" s="827"/>
      <c r="BA33" s="827"/>
      <c r="BB33" s="827"/>
      <c r="BC33" s="827"/>
      <c r="BD33" s="827"/>
      <c r="BE33" s="827"/>
      <c r="BF33" s="827"/>
      <c r="BG33" s="827"/>
      <c r="BH33" s="828"/>
      <c r="BI33" s="828"/>
      <c r="BJ33" s="828"/>
      <c r="BK33" s="828"/>
      <c r="BL33" s="828"/>
      <c r="BM33" s="828"/>
      <c r="BN33" s="828"/>
      <c r="BO33" s="828"/>
      <c r="BP33" s="828"/>
      <c r="BQ33" s="828"/>
      <c r="BR33" s="828"/>
      <c r="BS33" s="828"/>
      <c r="BT33" s="828"/>
      <c r="BU33" s="828"/>
      <c r="BV33" s="828"/>
      <c r="BW33" s="828"/>
      <c r="BX33" s="828"/>
      <c r="BY33" s="828"/>
      <c r="BZ33" s="828"/>
      <c r="CA33" s="828"/>
      <c r="CB33" s="828"/>
      <c r="CC33" s="828"/>
    </row>
    <row r="34" spans="1:81" s="867" customFormat="1" ht="97.5" customHeight="1" thickBot="1" x14ac:dyDescent="0.35">
      <c r="A34" s="1028">
        <v>14</v>
      </c>
      <c r="B34" s="1149" t="s">
        <v>1174</v>
      </c>
      <c r="C34" s="1161"/>
      <c r="D34" s="1161"/>
      <c r="E34" s="917" t="str">
        <f>IF(Import!L210=20,"Increase",IF(Import!L210=21,"Decrease",IF(Import!L210=22,"No Change",IF(Import!L210=23,"N/A","This question must be answered. See cell F265 on Unit Data from Audit"))))</f>
        <v>This question must be answered. See cell F265 on Unit Data from Audit</v>
      </c>
      <c r="F34" s="818" t="s">
        <v>872</v>
      </c>
      <c r="G34" s="917" t="str">
        <f>E34</f>
        <v>This question must be answered. See cell F265 on Unit Data from Audit</v>
      </c>
      <c r="H34" s="856" t="s">
        <v>873</v>
      </c>
      <c r="I34" s="902" t="s">
        <v>596</v>
      </c>
      <c r="J34" s="822"/>
      <c r="K34" s="918"/>
      <c r="L34" s="1018"/>
      <c r="M34" s="1019">
        <v>45291</v>
      </c>
      <c r="N34" s="1020">
        <v>45473</v>
      </c>
      <c r="O34" s="825"/>
      <c r="P34" s="826"/>
      <c r="Q34" s="827"/>
      <c r="R34" s="827"/>
      <c r="S34" s="827"/>
      <c r="T34" s="827"/>
      <c r="U34" s="827"/>
      <c r="V34" s="827"/>
      <c r="W34" s="827"/>
      <c r="X34" s="827"/>
      <c r="Y34" s="827"/>
      <c r="Z34" s="827"/>
      <c r="AA34" s="827"/>
      <c r="AB34" s="827"/>
      <c r="AC34" s="827"/>
      <c r="AD34" s="827"/>
      <c r="AE34" s="827"/>
      <c r="AF34" s="827"/>
      <c r="AG34" s="827"/>
      <c r="AH34" s="827"/>
      <c r="AI34" s="827"/>
      <c r="AJ34" s="827"/>
      <c r="AK34" s="827"/>
      <c r="AL34" s="827"/>
      <c r="AM34" s="827"/>
      <c r="AN34" s="827"/>
      <c r="AO34" s="827"/>
      <c r="AP34" s="827"/>
      <c r="AQ34" s="827"/>
      <c r="AR34" s="827"/>
      <c r="AS34" s="827"/>
      <c r="AT34" s="827"/>
      <c r="AU34" s="827"/>
      <c r="AV34" s="827"/>
      <c r="AW34" s="827"/>
      <c r="AX34" s="827"/>
      <c r="AY34" s="827"/>
      <c r="AZ34" s="827"/>
      <c r="BA34" s="827"/>
      <c r="BB34" s="827"/>
      <c r="BC34" s="827"/>
      <c r="BD34" s="827"/>
      <c r="BE34" s="827"/>
      <c r="BF34" s="827"/>
      <c r="BG34" s="827"/>
      <c r="BH34" s="828"/>
      <c r="BI34" s="828"/>
      <c r="BJ34" s="828"/>
      <c r="BK34" s="828"/>
      <c r="BL34" s="828"/>
      <c r="BM34" s="828"/>
      <c r="BN34" s="828"/>
      <c r="BO34" s="828"/>
      <c r="BP34" s="828"/>
      <c r="BQ34" s="828"/>
      <c r="BR34" s="828"/>
      <c r="BS34" s="828"/>
      <c r="BT34" s="828"/>
      <c r="BU34" s="828"/>
      <c r="BV34" s="828"/>
      <c r="BW34" s="828"/>
      <c r="BX34" s="828"/>
      <c r="BY34" s="828"/>
      <c r="BZ34" s="828"/>
      <c r="CA34" s="828"/>
      <c r="CB34" s="828"/>
      <c r="CC34" s="828"/>
    </row>
    <row r="35" spans="1:81" s="867" customFormat="1" ht="18" customHeight="1" thickBot="1" x14ac:dyDescent="0.35">
      <c r="A35" s="1036"/>
      <c r="B35" s="1153"/>
      <c r="C35" s="1153"/>
      <c r="D35" s="1154"/>
      <c r="E35" s="878">
        <v>2023</v>
      </c>
      <c r="F35" s="911" t="s">
        <v>870</v>
      </c>
      <c r="G35" s="912"/>
      <c r="H35" s="919"/>
      <c r="I35" s="913"/>
      <c r="J35" s="914"/>
      <c r="K35" s="920"/>
      <c r="L35" s="1021"/>
      <c r="M35" s="1022">
        <v>45382</v>
      </c>
      <c r="N35" s="1023">
        <v>45565</v>
      </c>
      <c r="O35" s="825"/>
      <c r="P35" s="826"/>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7"/>
      <c r="BG35" s="827"/>
      <c r="BH35" s="828"/>
      <c r="BI35" s="828"/>
      <c r="BJ35" s="828"/>
      <c r="BK35" s="828"/>
      <c r="BL35" s="828"/>
      <c r="BM35" s="828"/>
      <c r="BN35" s="828"/>
      <c r="BO35" s="828"/>
      <c r="BP35" s="828"/>
      <c r="BQ35" s="828"/>
      <c r="BR35" s="828"/>
      <c r="BS35" s="828"/>
      <c r="BT35" s="828"/>
      <c r="BU35" s="828"/>
      <c r="BV35" s="828"/>
      <c r="BW35" s="828"/>
      <c r="BX35" s="828"/>
      <c r="BY35" s="828"/>
      <c r="BZ35" s="828"/>
      <c r="CA35" s="828"/>
      <c r="CB35" s="828"/>
      <c r="CC35" s="828"/>
    </row>
    <row r="36" spans="1:81" s="867" customFormat="1" ht="78.75" customHeight="1" thickBot="1" x14ac:dyDescent="0.35">
      <c r="A36" s="1028">
        <v>15</v>
      </c>
      <c r="B36" s="1159" t="s">
        <v>2022</v>
      </c>
      <c r="C36" s="1125"/>
      <c r="D36" s="1126"/>
      <c r="E36" s="818" t="str">
        <f>IF(Import!L216=1,"Yes",IF(Import!L216=2,"No",IF(Import!L216=0,"This question must be answered.  See cell C15 on TD")))</f>
        <v>This question must be answered.  See cell C15 on TD</v>
      </c>
      <c r="F36" s="818" t="s">
        <v>597</v>
      </c>
      <c r="G36" s="818" t="str">
        <f>+E36</f>
        <v>This question must be answered.  See cell C15 on TD</v>
      </c>
      <c r="H36" s="921" t="s">
        <v>1175</v>
      </c>
      <c r="I36" s="902" t="s">
        <v>1554</v>
      </c>
      <c r="J36" s="822"/>
      <c r="K36" s="842"/>
      <c r="L36" s="825"/>
      <c r="M36" s="825"/>
      <c r="N36" s="825"/>
      <c r="O36" s="825"/>
      <c r="P36" s="826"/>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827"/>
      <c r="AZ36" s="827"/>
      <c r="BA36" s="827"/>
      <c r="BB36" s="827"/>
      <c r="BC36" s="827"/>
      <c r="BD36" s="827"/>
      <c r="BE36" s="827"/>
      <c r="BF36" s="827"/>
      <c r="BG36" s="827"/>
      <c r="BH36" s="828"/>
      <c r="BI36" s="828"/>
      <c r="BJ36" s="828"/>
      <c r="BK36" s="828"/>
      <c r="BL36" s="828"/>
      <c r="BM36" s="828"/>
      <c r="BN36" s="828"/>
      <c r="BO36" s="828"/>
      <c r="BP36" s="828"/>
      <c r="BQ36" s="828"/>
      <c r="BR36" s="828"/>
      <c r="BS36" s="828"/>
      <c r="BT36" s="828"/>
      <c r="BU36" s="828"/>
      <c r="BV36" s="828"/>
      <c r="BW36" s="828"/>
      <c r="BX36" s="828"/>
      <c r="BY36" s="828"/>
      <c r="BZ36" s="828"/>
      <c r="CA36" s="828"/>
      <c r="CB36" s="828"/>
      <c r="CC36" s="828"/>
    </row>
    <row r="37" spans="1:81" s="867" customFormat="1" ht="18" customHeight="1" thickBot="1" x14ac:dyDescent="0.35">
      <c r="A37" s="1036"/>
      <c r="B37" s="1153"/>
      <c r="C37" s="1153"/>
      <c r="D37" s="1154"/>
      <c r="E37" s="878">
        <v>2023</v>
      </c>
      <c r="F37" s="911" t="s">
        <v>870</v>
      </c>
      <c r="G37" s="912"/>
      <c r="H37" s="919"/>
      <c r="I37" s="913"/>
      <c r="J37" s="914"/>
      <c r="K37" s="842"/>
      <c r="L37" s="825"/>
      <c r="M37" s="825"/>
      <c r="N37" s="825"/>
      <c r="O37" s="825"/>
      <c r="P37" s="826"/>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827"/>
      <c r="AO37" s="827"/>
      <c r="AP37" s="827"/>
      <c r="AQ37" s="827"/>
      <c r="AR37" s="827"/>
      <c r="AS37" s="827"/>
      <c r="AT37" s="827"/>
      <c r="AU37" s="827"/>
      <c r="AV37" s="827"/>
      <c r="AW37" s="827"/>
      <c r="AX37" s="827"/>
      <c r="AY37" s="827"/>
      <c r="AZ37" s="827"/>
      <c r="BA37" s="827"/>
      <c r="BB37" s="827"/>
      <c r="BC37" s="827"/>
      <c r="BD37" s="827"/>
      <c r="BE37" s="827"/>
      <c r="BF37" s="827"/>
      <c r="BG37" s="827"/>
      <c r="BH37" s="828"/>
      <c r="BI37" s="828"/>
      <c r="BJ37" s="828"/>
      <c r="BK37" s="828"/>
      <c r="BL37" s="828"/>
      <c r="BM37" s="828"/>
      <c r="BN37" s="828"/>
      <c r="BO37" s="828"/>
      <c r="BP37" s="828"/>
      <c r="BQ37" s="828"/>
      <c r="BR37" s="828"/>
      <c r="BS37" s="828"/>
      <c r="BT37" s="828"/>
      <c r="BU37" s="828"/>
      <c r="BV37" s="828"/>
      <c r="BW37" s="828"/>
      <c r="BX37" s="828"/>
      <c r="BY37" s="828"/>
      <c r="BZ37" s="828"/>
      <c r="CA37" s="828"/>
      <c r="CB37" s="828"/>
      <c r="CC37" s="828"/>
    </row>
    <row r="38" spans="1:81" s="867" customFormat="1" ht="94.95" customHeight="1" thickBot="1" x14ac:dyDescent="0.35">
      <c r="A38" s="1028">
        <v>16</v>
      </c>
      <c r="B38" s="1103" t="s">
        <v>1703</v>
      </c>
      <c r="C38" s="1103"/>
      <c r="D38" s="1104"/>
      <c r="E38" s="933" t="str">
        <f>IF(AND(Import!L214=2,Import!L215=2,Import!L217=2,AND(Import!L223&lt;=0,Import!L224&lt;=0)),"No","Yes")</f>
        <v>Yes</v>
      </c>
      <c r="F38" s="922"/>
      <c r="G38" s="887" t="str">
        <f>E38</f>
        <v>Yes</v>
      </c>
      <c r="H38" s="984" t="s">
        <v>2002</v>
      </c>
      <c r="I38" s="863" t="s">
        <v>1566</v>
      </c>
      <c r="J38" s="822"/>
      <c r="K38" s="842"/>
      <c r="L38" s="825"/>
      <c r="M38" s="825"/>
      <c r="N38" s="825"/>
      <c r="O38" s="825"/>
      <c r="P38" s="826"/>
      <c r="Q38" s="827"/>
      <c r="R38" s="827"/>
      <c r="S38" s="827"/>
      <c r="T38" s="827"/>
      <c r="U38" s="827"/>
      <c r="V38" s="827"/>
      <c r="W38" s="827"/>
      <c r="X38" s="827"/>
      <c r="Y38" s="827"/>
      <c r="Z38" s="827"/>
      <c r="AA38" s="827"/>
      <c r="AB38" s="827"/>
      <c r="AC38" s="827"/>
      <c r="AD38" s="827"/>
      <c r="AE38" s="827"/>
      <c r="AF38" s="827"/>
      <c r="AG38" s="827"/>
      <c r="AH38" s="827"/>
      <c r="AI38" s="827"/>
      <c r="AJ38" s="827"/>
      <c r="AK38" s="827"/>
      <c r="AL38" s="827"/>
      <c r="AM38" s="827"/>
      <c r="AN38" s="827"/>
      <c r="AO38" s="827"/>
      <c r="AP38" s="827"/>
      <c r="AQ38" s="827"/>
      <c r="AR38" s="827"/>
      <c r="AS38" s="827"/>
      <c r="AT38" s="827"/>
      <c r="AU38" s="827"/>
      <c r="AV38" s="827"/>
      <c r="AW38" s="827"/>
      <c r="AX38" s="827"/>
      <c r="AY38" s="827"/>
      <c r="AZ38" s="827"/>
      <c r="BA38" s="827"/>
      <c r="BB38" s="827"/>
      <c r="BC38" s="827"/>
      <c r="BD38" s="827"/>
      <c r="BE38" s="827"/>
      <c r="BF38" s="827"/>
      <c r="BG38" s="827"/>
      <c r="BH38" s="828"/>
      <c r="BI38" s="828"/>
      <c r="BJ38" s="828"/>
      <c r="BK38" s="828"/>
      <c r="BL38" s="828"/>
      <c r="BM38" s="828"/>
      <c r="BN38" s="828"/>
      <c r="BO38" s="828"/>
      <c r="BP38" s="828"/>
      <c r="BQ38" s="828"/>
      <c r="BR38" s="828"/>
      <c r="BS38" s="828"/>
      <c r="BT38" s="828"/>
      <c r="BU38" s="828"/>
      <c r="BV38" s="828"/>
      <c r="BW38" s="828"/>
      <c r="BX38" s="828"/>
      <c r="BY38" s="828"/>
      <c r="BZ38" s="828"/>
      <c r="CA38" s="828"/>
      <c r="CB38" s="828"/>
      <c r="CC38" s="828"/>
    </row>
    <row r="39" spans="1:81" s="867" customFormat="1" ht="138" customHeight="1" thickBot="1" x14ac:dyDescent="0.35">
      <c r="A39" s="1031">
        <v>17</v>
      </c>
      <c r="B39" s="1159" t="s">
        <v>2047</v>
      </c>
      <c r="C39" s="1125"/>
      <c r="D39" s="1126"/>
      <c r="E39" s="887" t="str">
        <f>IF(Import!L218=1,"Yes",IF(Import!L218=2,"No",IF(Import!L218=0,"This question must be answered.  See cell C17 on TD")))</f>
        <v>This question must be answered.  See cell C17 on TD</v>
      </c>
      <c r="F39" s="922"/>
      <c r="G39" s="887" t="str">
        <f>E39</f>
        <v>This question must be answered.  See cell C17 on TD</v>
      </c>
      <c r="H39" s="1005" t="s">
        <v>2782</v>
      </c>
      <c r="I39" s="863" t="s">
        <v>1561</v>
      </c>
      <c r="J39" s="822"/>
      <c r="K39" s="842"/>
      <c r="L39" s="825"/>
      <c r="M39" s="825"/>
      <c r="N39" s="825"/>
      <c r="O39" s="825"/>
      <c r="P39" s="826"/>
      <c r="Q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827"/>
      <c r="AU39" s="827"/>
      <c r="AV39" s="827"/>
      <c r="AW39" s="827"/>
      <c r="AX39" s="827"/>
      <c r="AY39" s="827"/>
      <c r="AZ39" s="827"/>
      <c r="BA39" s="827"/>
      <c r="BB39" s="827"/>
      <c r="BC39" s="827"/>
      <c r="BD39" s="827"/>
      <c r="BE39" s="827"/>
      <c r="BF39" s="827"/>
      <c r="BG39" s="827"/>
      <c r="BH39" s="828"/>
      <c r="BI39" s="828"/>
      <c r="BJ39" s="828"/>
      <c r="BK39" s="828"/>
      <c r="BL39" s="828"/>
      <c r="BM39" s="828"/>
      <c r="BN39" s="828"/>
      <c r="BO39" s="828"/>
      <c r="BP39" s="828"/>
      <c r="BQ39" s="828"/>
      <c r="BR39" s="828"/>
      <c r="BS39" s="828"/>
      <c r="BT39" s="828"/>
      <c r="BU39" s="828"/>
      <c r="BV39" s="828"/>
      <c r="BW39" s="828"/>
      <c r="BX39" s="828"/>
      <c r="BY39" s="828"/>
      <c r="BZ39" s="828"/>
      <c r="CA39" s="828"/>
      <c r="CB39" s="828"/>
      <c r="CC39" s="828"/>
    </row>
    <row r="40" spans="1:81" s="867" customFormat="1" ht="117" customHeight="1" thickBot="1" x14ac:dyDescent="0.35">
      <c r="A40" s="1031">
        <v>18</v>
      </c>
      <c r="B40" s="1159" t="s">
        <v>1804</v>
      </c>
      <c r="C40" s="1125"/>
      <c r="D40" s="1126"/>
      <c r="E40" s="887" t="str">
        <f>IF(Import!L220=1,"Yes",IF(Import!L220=2,"No",IF(Import!L220=0,"This question must be answered.  See cell C19 on TD")))</f>
        <v>This question must be answered.  See cell C19 on TD</v>
      </c>
      <c r="F40" s="922"/>
      <c r="G40" s="887" t="str">
        <f>E40</f>
        <v>This question must be answered.  See cell C19 on TD</v>
      </c>
      <c r="H40" s="921" t="s">
        <v>2003</v>
      </c>
      <c r="I40" s="863" t="s">
        <v>1686</v>
      </c>
      <c r="J40" s="822"/>
      <c r="K40" s="842"/>
      <c r="L40" s="825"/>
      <c r="M40" s="825"/>
      <c r="N40" s="825"/>
      <c r="O40" s="825"/>
      <c r="P40" s="826"/>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827"/>
      <c r="AZ40" s="827"/>
      <c r="BA40" s="827"/>
      <c r="BB40" s="827"/>
      <c r="BC40" s="827"/>
      <c r="BD40" s="827"/>
      <c r="BE40" s="827"/>
      <c r="BF40" s="827"/>
      <c r="BG40" s="827"/>
      <c r="BH40" s="828"/>
      <c r="BI40" s="828"/>
      <c r="BJ40" s="828"/>
      <c r="BK40" s="828"/>
      <c r="BL40" s="828"/>
      <c r="BM40" s="828"/>
      <c r="BN40" s="828"/>
      <c r="BO40" s="828"/>
      <c r="BP40" s="828"/>
      <c r="BQ40" s="828"/>
      <c r="BR40" s="828"/>
      <c r="BS40" s="828"/>
      <c r="BT40" s="828"/>
      <c r="BU40" s="828"/>
      <c r="BV40" s="828"/>
      <c r="BW40" s="828"/>
      <c r="BX40" s="828"/>
      <c r="BY40" s="828"/>
      <c r="BZ40" s="828"/>
      <c r="CA40" s="828"/>
      <c r="CB40" s="828"/>
      <c r="CC40" s="828"/>
    </row>
    <row r="41" spans="1:81" s="867" customFormat="1" ht="18" customHeight="1" thickBot="1" x14ac:dyDescent="0.35">
      <c r="A41" s="1036"/>
      <c r="B41" s="1152" t="s">
        <v>869</v>
      </c>
      <c r="C41" s="1152"/>
      <c r="D41" s="1160"/>
      <c r="E41" s="878">
        <v>2023</v>
      </c>
      <c r="F41" s="911" t="s">
        <v>870</v>
      </c>
      <c r="G41" s="923"/>
      <c r="H41" s="912"/>
      <c r="I41" s="924"/>
      <c r="J41" s="914"/>
      <c r="K41" s="842"/>
      <c r="L41" s="825"/>
      <c r="M41" s="825"/>
      <c r="N41" s="825"/>
      <c r="O41" s="825"/>
      <c r="P41" s="826"/>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827"/>
      <c r="AU41" s="827"/>
      <c r="AV41" s="827"/>
      <c r="AW41" s="827"/>
      <c r="AX41" s="827"/>
      <c r="AY41" s="827"/>
      <c r="AZ41" s="827"/>
      <c r="BA41" s="827"/>
      <c r="BB41" s="827"/>
      <c r="BC41" s="827"/>
      <c r="BD41" s="827"/>
      <c r="BE41" s="827"/>
      <c r="BF41" s="827"/>
      <c r="BG41" s="827"/>
      <c r="BH41" s="828"/>
      <c r="BI41" s="828"/>
      <c r="BJ41" s="828"/>
      <c r="BK41" s="828"/>
      <c r="BL41" s="828"/>
      <c r="BM41" s="828"/>
      <c r="BN41" s="828"/>
      <c r="BO41" s="828"/>
      <c r="BP41" s="828"/>
      <c r="BQ41" s="828"/>
      <c r="BR41" s="828"/>
      <c r="BS41" s="828"/>
      <c r="BT41" s="828"/>
      <c r="BU41" s="828"/>
      <c r="BV41" s="828"/>
      <c r="BW41" s="828"/>
      <c r="BX41" s="828"/>
      <c r="BY41" s="828"/>
      <c r="BZ41" s="828"/>
      <c r="CA41" s="828"/>
      <c r="CB41" s="828"/>
      <c r="CC41" s="828"/>
    </row>
    <row r="42" spans="1:81" s="867" customFormat="1" ht="73.650000000000006" customHeight="1" thickBot="1" x14ac:dyDescent="0.35">
      <c r="A42" s="1028">
        <v>19</v>
      </c>
      <c r="B42" s="1148" t="s">
        <v>1173</v>
      </c>
      <c r="C42" s="1148"/>
      <c r="D42" s="1149"/>
      <c r="E42" s="887" t="str">
        <f>IF(Import!L227=1,"Yes",IF(Import!L227=2,"No",IF(Import!L227=3,"N/A",IF(Import!L227=0,"This question must be answered.  See cell C26 on TD"))))</f>
        <v>This question must be answered.  See cell C26 on TD</v>
      </c>
      <c r="F42" s="922"/>
      <c r="G42" s="887" t="str">
        <f>E42</f>
        <v>This question must be answered.  See cell C26 on TD</v>
      </c>
      <c r="H42" s="921" t="s">
        <v>2004</v>
      </c>
      <c r="I42" s="902" t="s">
        <v>662</v>
      </c>
      <c r="J42" s="822"/>
      <c r="K42" s="842"/>
      <c r="L42" s="825"/>
      <c r="M42" s="825"/>
      <c r="N42" s="825"/>
      <c r="O42" s="825"/>
      <c r="P42" s="826"/>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827"/>
      <c r="AU42" s="827"/>
      <c r="AV42" s="827"/>
      <c r="AW42" s="827"/>
      <c r="AX42" s="827"/>
      <c r="AY42" s="827"/>
      <c r="AZ42" s="827"/>
      <c r="BA42" s="827"/>
      <c r="BB42" s="827"/>
      <c r="BC42" s="827"/>
      <c r="BD42" s="827"/>
      <c r="BE42" s="827"/>
      <c r="BF42" s="827"/>
      <c r="BG42" s="827"/>
      <c r="BH42" s="828"/>
      <c r="BI42" s="828"/>
      <c r="BJ42" s="828"/>
      <c r="BK42" s="828"/>
      <c r="BL42" s="828"/>
      <c r="BM42" s="828"/>
      <c r="BN42" s="828"/>
      <c r="BO42" s="828"/>
      <c r="BP42" s="828"/>
      <c r="BQ42" s="828"/>
      <c r="BR42" s="828"/>
      <c r="BS42" s="828"/>
      <c r="BT42" s="828"/>
      <c r="BU42" s="828"/>
      <c r="BV42" s="828"/>
      <c r="BW42" s="828"/>
      <c r="BX42" s="828"/>
      <c r="BY42" s="828"/>
      <c r="BZ42" s="828"/>
      <c r="CA42" s="828"/>
      <c r="CB42" s="828"/>
      <c r="CC42" s="828"/>
    </row>
    <row r="43" spans="1:81" s="867" customFormat="1" ht="18" customHeight="1" thickBot="1" x14ac:dyDescent="0.35">
      <c r="A43" s="1036"/>
      <c r="B43" s="1153"/>
      <c r="C43" s="1153"/>
      <c r="D43" s="1154"/>
      <c r="E43" s="878">
        <v>2023</v>
      </c>
      <c r="F43" s="905" t="s">
        <v>870</v>
      </c>
      <c r="G43" s="912"/>
      <c r="H43" s="919"/>
      <c r="I43" s="913"/>
      <c r="J43" s="914"/>
      <c r="K43" s="842"/>
      <c r="L43" s="825"/>
      <c r="M43" s="825"/>
      <c r="N43" s="825"/>
      <c r="O43" s="825"/>
      <c r="P43" s="826"/>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827"/>
      <c r="AO43" s="827"/>
      <c r="AP43" s="827"/>
      <c r="AQ43" s="827"/>
      <c r="AR43" s="827"/>
      <c r="AS43" s="827"/>
      <c r="AT43" s="827"/>
      <c r="AU43" s="827"/>
      <c r="AV43" s="827"/>
      <c r="AW43" s="827"/>
      <c r="AX43" s="827"/>
      <c r="AY43" s="827"/>
      <c r="AZ43" s="827"/>
      <c r="BA43" s="827"/>
      <c r="BB43" s="827"/>
      <c r="BC43" s="827"/>
      <c r="BD43" s="827"/>
      <c r="BE43" s="827"/>
      <c r="BF43" s="827"/>
      <c r="BG43" s="827"/>
      <c r="BH43" s="828"/>
      <c r="BI43" s="828"/>
      <c r="BJ43" s="828"/>
      <c r="BK43" s="828"/>
      <c r="BL43" s="828"/>
      <c r="BM43" s="828"/>
      <c r="BN43" s="828"/>
      <c r="BO43" s="828"/>
      <c r="BP43" s="828"/>
      <c r="BQ43" s="828"/>
      <c r="BR43" s="828"/>
      <c r="BS43" s="828"/>
      <c r="BT43" s="828"/>
      <c r="BU43" s="828"/>
      <c r="BV43" s="828"/>
      <c r="BW43" s="828"/>
      <c r="BX43" s="828"/>
      <c r="BY43" s="828"/>
      <c r="BZ43" s="828"/>
      <c r="CA43" s="828"/>
      <c r="CB43" s="828"/>
      <c r="CC43" s="828"/>
    </row>
    <row r="44" spans="1:81" s="867" customFormat="1" ht="130.19999999999999" customHeight="1" thickBot="1" x14ac:dyDescent="0.35">
      <c r="A44" s="1028">
        <v>20</v>
      </c>
      <c r="B44" s="1155" t="s">
        <v>1572</v>
      </c>
      <c r="C44" s="1156"/>
      <c r="D44" s="1156"/>
      <c r="E44" s="925" t="str">
        <f>IF('Electric trans'!F24="No, unit exceeds limit by:","Yes","No")</f>
        <v>No</v>
      </c>
      <c r="F44" s="922"/>
      <c r="G44" s="925" t="str">
        <f>+E44</f>
        <v>No</v>
      </c>
      <c r="H44" s="856" t="s">
        <v>2008</v>
      </c>
      <c r="I44" s="902" t="s">
        <v>1576</v>
      </c>
      <c r="J44" s="822"/>
      <c r="K44" s="842"/>
      <c r="L44" s="825"/>
      <c r="M44" s="825"/>
      <c r="N44" s="825"/>
      <c r="O44" s="825"/>
      <c r="P44" s="826"/>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827"/>
      <c r="BD44" s="827"/>
      <c r="BE44" s="827"/>
      <c r="BF44" s="827"/>
      <c r="BG44" s="827"/>
      <c r="BH44" s="828"/>
      <c r="BI44" s="828"/>
      <c r="BJ44" s="828"/>
      <c r="BK44" s="828"/>
      <c r="BL44" s="828"/>
      <c r="BM44" s="828"/>
      <c r="BN44" s="828"/>
      <c r="BO44" s="828"/>
      <c r="BP44" s="828"/>
      <c r="BQ44" s="828"/>
      <c r="BR44" s="828"/>
      <c r="BS44" s="828"/>
      <c r="BT44" s="828"/>
      <c r="BU44" s="828"/>
      <c r="BV44" s="828"/>
      <c r="BW44" s="828"/>
      <c r="BX44" s="828"/>
      <c r="BY44" s="828"/>
      <c r="BZ44" s="828"/>
      <c r="CA44" s="828"/>
      <c r="CB44" s="828"/>
      <c r="CC44" s="828"/>
    </row>
    <row r="45" spans="1:81" s="867" customFormat="1" ht="18" customHeight="1" thickBot="1" x14ac:dyDescent="0.35">
      <c r="A45" s="1036"/>
      <c r="B45" s="1157"/>
      <c r="C45" s="1157"/>
      <c r="D45" s="1158"/>
      <c r="E45" s="904">
        <v>2023</v>
      </c>
      <c r="F45" s="911" t="s">
        <v>870</v>
      </c>
      <c r="G45" s="923"/>
      <c r="H45" s="912"/>
      <c r="I45" s="913"/>
      <c r="J45" s="914"/>
      <c r="K45" s="842"/>
      <c r="L45" s="825"/>
      <c r="M45" s="825"/>
      <c r="N45" s="825"/>
      <c r="O45" s="825"/>
      <c r="P45" s="826"/>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827"/>
      <c r="AZ45" s="827"/>
      <c r="BA45" s="827"/>
      <c r="BB45" s="827"/>
      <c r="BC45" s="827"/>
      <c r="BD45" s="827"/>
      <c r="BE45" s="827"/>
      <c r="BF45" s="827"/>
      <c r="BG45" s="827"/>
      <c r="BH45" s="828"/>
      <c r="BI45" s="828"/>
      <c r="BJ45" s="828"/>
      <c r="BK45" s="828"/>
      <c r="BL45" s="828"/>
      <c r="BM45" s="828"/>
      <c r="BN45" s="828"/>
      <c r="BO45" s="828"/>
      <c r="BP45" s="828"/>
      <c r="BQ45" s="828"/>
      <c r="BR45" s="828"/>
      <c r="BS45" s="828"/>
      <c r="BT45" s="828"/>
      <c r="BU45" s="828"/>
      <c r="BV45" s="828"/>
      <c r="BW45" s="828"/>
      <c r="BX45" s="828"/>
      <c r="BY45" s="828"/>
      <c r="BZ45" s="828"/>
      <c r="CA45" s="828"/>
      <c r="CB45" s="828"/>
      <c r="CC45" s="828"/>
    </row>
    <row r="46" spans="1:81" s="867" customFormat="1" ht="99.75" customHeight="1" thickBot="1" x14ac:dyDescent="0.35">
      <c r="A46" s="1028">
        <v>21</v>
      </c>
      <c r="B46" s="1126" t="s">
        <v>2786</v>
      </c>
      <c r="C46" s="1139"/>
      <c r="D46" s="1139"/>
      <c r="E46" s="934" t="str">
        <f>IF(Import!L225&gt;0,"Yes","No")</f>
        <v>No</v>
      </c>
      <c r="F46" s="922"/>
      <c r="G46" s="887" t="str">
        <f>E46</f>
        <v>No</v>
      </c>
      <c r="H46" s="1006" t="s">
        <v>2005</v>
      </c>
      <c r="I46" s="902" t="s">
        <v>1577</v>
      </c>
      <c r="J46" s="822"/>
      <c r="K46" s="842"/>
      <c r="L46" s="825"/>
      <c r="M46" s="926"/>
      <c r="N46" s="825"/>
      <c r="O46" s="825"/>
      <c r="P46" s="826"/>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7"/>
      <c r="AR46" s="827"/>
      <c r="AS46" s="827"/>
      <c r="AT46" s="827"/>
      <c r="AU46" s="827"/>
      <c r="AV46" s="827"/>
      <c r="AW46" s="827"/>
      <c r="AX46" s="827"/>
      <c r="AY46" s="827"/>
      <c r="AZ46" s="827"/>
      <c r="BA46" s="827"/>
      <c r="BB46" s="827"/>
      <c r="BC46" s="827"/>
      <c r="BD46" s="827"/>
      <c r="BE46" s="827"/>
      <c r="BF46" s="827"/>
      <c r="BG46" s="827"/>
      <c r="BH46" s="828"/>
      <c r="BI46" s="828"/>
      <c r="BJ46" s="828"/>
      <c r="BK46" s="828"/>
      <c r="BL46" s="828"/>
      <c r="BM46" s="828"/>
      <c r="BN46" s="828"/>
      <c r="BO46" s="828"/>
      <c r="BP46" s="828"/>
      <c r="BQ46" s="828"/>
      <c r="BR46" s="828"/>
      <c r="BS46" s="828"/>
      <c r="BT46" s="828"/>
      <c r="BU46" s="828"/>
      <c r="BV46" s="828"/>
      <c r="BW46" s="828"/>
      <c r="BX46" s="828"/>
      <c r="BY46" s="828"/>
      <c r="BZ46" s="828"/>
      <c r="CA46" s="828"/>
      <c r="CB46" s="828"/>
      <c r="CC46" s="828"/>
    </row>
    <row r="47" spans="1:81" s="931" customFormat="1" x14ac:dyDescent="0.3">
      <c r="A47" s="927"/>
      <c r="B47" s="928"/>
      <c r="C47" s="928"/>
      <c r="D47" s="928"/>
      <c r="E47" s="928"/>
      <c r="F47" s="928"/>
      <c r="G47" s="928"/>
      <c r="H47" s="928"/>
      <c r="I47" s="929"/>
      <c r="J47" s="929"/>
      <c r="K47" s="930"/>
      <c r="L47" s="825"/>
      <c r="M47" s="825"/>
      <c r="N47" s="825"/>
      <c r="O47" s="825"/>
      <c r="P47" s="826"/>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27"/>
      <c r="AQ47" s="827"/>
      <c r="AR47" s="827"/>
      <c r="AS47" s="827"/>
      <c r="AT47" s="827"/>
      <c r="AU47" s="827"/>
      <c r="AV47" s="827"/>
      <c r="AW47" s="827"/>
      <c r="AX47" s="827"/>
      <c r="AY47" s="827"/>
      <c r="AZ47" s="827"/>
      <c r="BA47" s="827"/>
      <c r="BB47" s="827"/>
      <c r="BC47" s="827"/>
      <c r="BD47" s="827"/>
      <c r="BE47" s="827"/>
      <c r="BF47" s="827"/>
      <c r="BG47" s="827"/>
      <c r="BH47" s="828"/>
      <c r="BI47" s="828"/>
      <c r="BJ47" s="828"/>
      <c r="BK47" s="828"/>
      <c r="BL47" s="828"/>
      <c r="BM47" s="828"/>
      <c r="BN47" s="828"/>
      <c r="BO47" s="828"/>
      <c r="BP47" s="828"/>
      <c r="BQ47" s="828"/>
      <c r="BR47" s="828"/>
      <c r="BS47" s="828"/>
      <c r="BT47" s="828"/>
      <c r="BU47" s="828"/>
      <c r="BV47" s="828"/>
      <c r="BW47" s="828"/>
      <c r="BX47" s="828"/>
      <c r="BY47" s="828"/>
      <c r="BZ47" s="828"/>
      <c r="CA47" s="828"/>
      <c r="CB47" s="828"/>
      <c r="CC47" s="828"/>
    </row>
  </sheetData>
  <sheetProtection algorithmName="SHA-512" hashValue="um5DjailDKs5nILDM0cWBPR2XKg6Yn7dq6yYCwcmBi66NCg6aIGFw/neU/E4+GxRBxU2bXFVF2nGcAeElxPAzg==" saltValue="Rrr+5JFen4R/fcfMXzR9nw==" spinCount="100000" sheet="1" objects="1" scenarios="1"/>
  <mergeCells count="40">
    <mergeCell ref="B38:D38"/>
    <mergeCell ref="B40:D40"/>
    <mergeCell ref="B41:D41"/>
    <mergeCell ref="B34:D34"/>
    <mergeCell ref="B33:D33"/>
    <mergeCell ref="B31:D31"/>
    <mergeCell ref="B32:D32"/>
    <mergeCell ref="B35:D35"/>
    <mergeCell ref="B36:D36"/>
    <mergeCell ref="B37:D37"/>
    <mergeCell ref="B46:D46"/>
    <mergeCell ref="B43:D43"/>
    <mergeCell ref="B44:D44"/>
    <mergeCell ref="B45:D45"/>
    <mergeCell ref="B39:D39"/>
    <mergeCell ref="B42:D42"/>
    <mergeCell ref="J8:J9"/>
    <mergeCell ref="B15:E15"/>
    <mergeCell ref="B6:H7"/>
    <mergeCell ref="H8:H9"/>
    <mergeCell ref="B30:D30"/>
    <mergeCell ref="B8:G9"/>
    <mergeCell ref="B10:E10"/>
    <mergeCell ref="B11:E11"/>
    <mergeCell ref="B13:E13"/>
    <mergeCell ref="B14:E14"/>
    <mergeCell ref="B12:E12"/>
    <mergeCell ref="B20:D20"/>
    <mergeCell ref="B24:E24"/>
    <mergeCell ref="B25:E25"/>
    <mergeCell ref="B29:D29"/>
    <mergeCell ref="I1:J1"/>
    <mergeCell ref="B1:H1"/>
    <mergeCell ref="B2:H2"/>
    <mergeCell ref="C4:E4"/>
    <mergeCell ref="F4:G5"/>
    <mergeCell ref="H4:H5"/>
    <mergeCell ref="C5:E5"/>
    <mergeCell ref="I2:I7"/>
    <mergeCell ref="J2:J7"/>
  </mergeCells>
  <conditionalFormatting sqref="G16">
    <cfRule type="cellIs" dxfId="79" priority="72" operator="lessThan">
      <formula>1</formula>
    </cfRule>
  </conditionalFormatting>
  <conditionalFormatting sqref="G18">
    <cfRule type="cellIs" dxfId="78" priority="71" operator="lessThan">
      <formula>0</formula>
    </cfRule>
  </conditionalFormatting>
  <conditionalFormatting sqref="G19:G20">
    <cfRule type="cellIs" dxfId="77" priority="70" operator="lessThan">
      <formula>0.16</formula>
    </cfRule>
  </conditionalFormatting>
  <conditionalFormatting sqref="G25">
    <cfRule type="cellIs" dxfId="76" priority="69" operator="lessThan">
      <formula>1</formula>
    </cfRule>
  </conditionalFormatting>
  <conditionalFormatting sqref="G27">
    <cfRule type="cellIs" dxfId="75" priority="68" operator="lessThan">
      <formula>0</formula>
    </cfRule>
  </conditionalFormatting>
  <conditionalFormatting sqref="G28">
    <cfRule type="cellIs" dxfId="74" priority="67" operator="lessThan">
      <formula>0.16</formula>
    </cfRule>
  </conditionalFormatting>
  <conditionalFormatting sqref="G30">
    <cfRule type="cellIs" dxfId="73" priority="66" operator="equal">
      <formula>"Late"</formula>
    </cfRule>
  </conditionalFormatting>
  <conditionalFormatting sqref="G32">
    <cfRule type="cellIs" dxfId="72" priority="65" operator="lessThan">
      <formula>-0.03</formula>
    </cfRule>
  </conditionalFormatting>
  <conditionalFormatting sqref="G38">
    <cfRule type="cellIs" dxfId="71" priority="63" operator="equal">
      <formula>"Yes"</formula>
    </cfRule>
  </conditionalFormatting>
  <conditionalFormatting sqref="G42">
    <cfRule type="cellIs" dxfId="70" priority="62" operator="equal">
      <formula>"Yes"</formula>
    </cfRule>
  </conditionalFormatting>
  <conditionalFormatting sqref="G36">
    <cfRule type="cellIs" dxfId="69" priority="61" operator="equal">
      <formula>"Yes"</formula>
    </cfRule>
  </conditionalFormatting>
  <conditionalFormatting sqref="G45">
    <cfRule type="cellIs" dxfId="68" priority="60" operator="equal">
      <formula>"Yes"</formula>
    </cfRule>
  </conditionalFormatting>
  <conditionalFormatting sqref="G44">
    <cfRule type="cellIs" dxfId="67" priority="59" operator="equal">
      <formula>"Yes"</formula>
    </cfRule>
  </conditionalFormatting>
  <conditionalFormatting sqref="G34">
    <cfRule type="cellIs" dxfId="66" priority="56" operator="equal">
      <formula>"Decrease"</formula>
    </cfRule>
  </conditionalFormatting>
  <conditionalFormatting sqref="G20">
    <cfRule type="cellIs" dxfId="65" priority="4" operator="equal">
      <formula>$E$21="Yes"</formula>
    </cfRule>
    <cfRule type="expression" dxfId="64" priority="51">
      <formula>E20="Yes"</formula>
    </cfRule>
  </conditionalFormatting>
  <conditionalFormatting sqref="E36 G36">
    <cfRule type="containsText" dxfId="63" priority="50" operator="containsText" text="This question must be answered">
      <formula>NOT(ISERROR(SEARCH("This question must be answered",E36)))</formula>
    </cfRule>
  </conditionalFormatting>
  <conditionalFormatting sqref="E34 G34">
    <cfRule type="containsText" dxfId="62" priority="49" operator="containsText" text="This question must be answered">
      <formula>NOT(ISERROR(SEARCH("This question must be answered",E34)))</formula>
    </cfRule>
  </conditionalFormatting>
  <conditionalFormatting sqref="E32 G32">
    <cfRule type="containsText" dxfId="61" priority="48" operator="containsText" text="This question must be answered">
      <formula>NOT(ISERROR(SEARCH("This question must be answered",E32)))</formula>
    </cfRule>
  </conditionalFormatting>
  <conditionalFormatting sqref="E30 G30">
    <cfRule type="containsText" dxfId="60" priority="47" operator="containsText" text="This question must be answered">
      <formula>NOT(ISERROR(SEARCH("This question must be answered",E30)))</formula>
    </cfRule>
  </conditionalFormatting>
  <conditionalFormatting sqref="E42 G42">
    <cfRule type="containsText" dxfId="59" priority="45" operator="containsText" text="This question must be answered">
      <formula>NOT(ISERROR(SEARCH("This question must be answered",E42)))</formula>
    </cfRule>
  </conditionalFormatting>
  <conditionalFormatting sqref="G46">
    <cfRule type="cellIs" dxfId="58" priority="43" operator="equal">
      <formula>"Yes"</formula>
    </cfRule>
  </conditionalFormatting>
  <conditionalFormatting sqref="G46">
    <cfRule type="containsText" dxfId="57" priority="42" operator="containsText" text="This question must be answered">
      <formula>NOT(ISERROR(SEARCH("This question must be answered",G46)))</formula>
    </cfRule>
  </conditionalFormatting>
  <conditionalFormatting sqref="G13">
    <cfRule type="containsText" dxfId="56" priority="41" operator="containsText" text="Operations">
      <formula>NOT(ISERROR(SEARCH("Operations",G13)))</formula>
    </cfRule>
  </conditionalFormatting>
  <conditionalFormatting sqref="G14">
    <cfRule type="cellIs" dxfId="55" priority="40" operator="lessThan">
      <formula>0</formula>
    </cfRule>
  </conditionalFormatting>
  <conditionalFormatting sqref="E39:E40">
    <cfRule type="containsText" dxfId="54" priority="39" operator="containsText" text="This question must be answered">
      <formula>NOT(ISERROR(SEARCH("This question must be answered",E39)))</formula>
    </cfRule>
  </conditionalFormatting>
  <conditionalFormatting sqref="G39:G40">
    <cfRule type="containsText" dxfId="53" priority="37" operator="containsText" text="No">
      <formula>NOT(ISERROR(SEARCH("No",G39)))</formula>
    </cfRule>
    <cfRule type="containsText" dxfId="52" priority="38" operator="containsText" text="This question must be answered">
      <formula>NOT(ISERROR(SEARCH("This question must be answered",G39)))</formula>
    </cfRule>
  </conditionalFormatting>
  <conditionalFormatting sqref="G11">
    <cfRule type="expression" dxfId="51" priority="28">
      <formula>$O$11=1</formula>
    </cfRule>
  </conditionalFormatting>
  <conditionalFormatting sqref="I9">
    <cfRule type="expression" dxfId="50" priority="135">
      <formula>IF($L$9&lt;0.25,)</formula>
    </cfRule>
  </conditionalFormatting>
  <conditionalFormatting sqref="C18">
    <cfRule type="cellIs" dxfId="49" priority="24" operator="equal">
      <formula>"Prior year data not submitted as of workbook published date."</formula>
    </cfRule>
  </conditionalFormatting>
  <conditionalFormatting sqref="D18">
    <cfRule type="cellIs" dxfId="48" priority="23" operator="equal">
      <formula>"Prior year data not submitted as of workbook published date."</formula>
    </cfRule>
  </conditionalFormatting>
  <conditionalFormatting sqref="L19:L21">
    <cfRule type="cellIs" dxfId="47" priority="22" operator="equal">
      <formula>"Priod year data not submitted as of workbook published date."</formula>
    </cfRule>
  </conditionalFormatting>
  <conditionalFormatting sqref="D19:D21">
    <cfRule type="cellIs" dxfId="46" priority="18" operator="equal">
      <formula>"Prior year data not submitted as of workbook published date."</formula>
    </cfRule>
  </conditionalFormatting>
  <conditionalFormatting sqref="C19:C21">
    <cfRule type="cellIs" dxfId="45" priority="17" operator="equal">
      <formula>"Prior year data not submitted as of workbook published date."</formula>
    </cfRule>
  </conditionalFormatting>
  <conditionalFormatting sqref="C27">
    <cfRule type="cellIs" dxfId="44" priority="16" operator="equal">
      <formula>"Prior year data not submitted as of workbook published date."</formula>
    </cfRule>
  </conditionalFormatting>
  <conditionalFormatting sqref="D27">
    <cfRule type="cellIs" dxfId="43" priority="15" operator="equal">
      <formula>"Prior year data not submitted as of workbook published date."</formula>
    </cfRule>
  </conditionalFormatting>
  <conditionalFormatting sqref="D28">
    <cfRule type="cellIs" dxfId="42" priority="11" operator="equal">
      <formula>"Prior year data not submitted as of  workbook published date."</formula>
    </cfRule>
  </conditionalFormatting>
  <conditionalFormatting sqref="C28">
    <cfRule type="cellIs" dxfId="41" priority="9" operator="equal">
      <formula>"Prior year data not submitted as of workbook published date."</formula>
    </cfRule>
  </conditionalFormatting>
  <conditionalFormatting sqref="F21">
    <cfRule type="expression" dxfId="40" priority="8">
      <formula>D21="Yes"</formula>
    </cfRule>
  </conditionalFormatting>
  <conditionalFormatting sqref="D21">
    <cfRule type="cellIs" dxfId="39" priority="7" operator="equal">
      <formula>"Prior year data not submitted as of workbook published date."</formula>
    </cfRule>
  </conditionalFormatting>
  <conditionalFormatting sqref="C21">
    <cfRule type="cellIs" dxfId="38" priority="6" operator="equal">
      <formula>"Prior year data not submitted as of workbook published date."</formula>
    </cfRule>
  </conditionalFormatting>
  <conditionalFormatting sqref="G21">
    <cfRule type="cellIs" dxfId="37" priority="2" operator="lessThan">
      <formula>0.5</formula>
    </cfRule>
  </conditionalFormatting>
  <conditionalFormatting sqref="M19">
    <cfRule type="cellIs" dxfId="36" priority="1" operator="equal">
      <formula>"Priod year data not submitted as of workbook published date."</formula>
    </cfRule>
  </conditionalFormatting>
  <pageMargins left="0.25" right="0.25" top="0.05" bottom="0.25" header="0.3" footer="0.25"/>
  <pageSetup scale="68"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175260</xdr:colOff>
                <xdr:row>7</xdr:row>
                <xdr:rowOff>99060</xdr:rowOff>
              </from>
              <to>
                <xdr:col>6</xdr:col>
                <xdr:colOff>830580</xdr:colOff>
                <xdr:row>8</xdr:row>
                <xdr:rowOff>1546860</xdr:rowOff>
              </to>
            </anchor>
          </objectPr>
        </oleObject>
      </mc:Choice>
      <mc:Fallback>
        <oleObject progId="Excel.Sheet.12" shapeId="4812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1625</v>
      </c>
    </row>
    <row r="3" spans="1:11" ht="23.4" x14ac:dyDescent="0.45">
      <c r="A3" s="180">
        <v>50002</v>
      </c>
      <c r="B3" s="180" t="s">
        <v>1176</v>
      </c>
      <c r="C3" s="180">
        <v>50</v>
      </c>
      <c r="D3" s="155" t="s">
        <v>50</v>
      </c>
      <c r="E3" s="189" t="s">
        <v>625</v>
      </c>
    </row>
    <row r="4" spans="1:11" x14ac:dyDescent="0.3">
      <c r="A4" s="180">
        <v>50006</v>
      </c>
      <c r="B4" s="180" t="s">
        <v>477</v>
      </c>
      <c r="C4" s="180">
        <v>50</v>
      </c>
      <c r="D4" s="155" t="s">
        <v>50</v>
      </c>
    </row>
    <row r="5" spans="1:11" x14ac:dyDescent="0.3">
      <c r="A5" s="180">
        <v>50008</v>
      </c>
      <c r="B5" s="180" t="s">
        <v>1182</v>
      </c>
      <c r="C5" s="180">
        <v>50</v>
      </c>
      <c r="D5" s="155" t="s">
        <v>50</v>
      </c>
    </row>
    <row r="6" spans="1:11" x14ac:dyDescent="0.3">
      <c r="A6" s="180">
        <v>50013</v>
      </c>
      <c r="B6" s="526" t="s">
        <v>479</v>
      </c>
      <c r="C6" s="180">
        <v>50</v>
      </c>
      <c r="D6" s="155" t="s">
        <v>50</v>
      </c>
      <c r="K6" s="526"/>
    </row>
    <row r="7" spans="1:11" x14ac:dyDescent="0.3">
      <c r="A7" s="180">
        <v>50016</v>
      </c>
      <c r="B7" s="526" t="s">
        <v>816</v>
      </c>
      <c r="C7" s="180">
        <v>50</v>
      </c>
      <c r="D7" s="155" t="s">
        <v>50</v>
      </c>
      <c r="K7" s="526"/>
    </row>
    <row r="8" spans="1:11" x14ac:dyDescent="0.3">
      <c r="A8" s="180">
        <v>50017</v>
      </c>
      <c r="B8" s="180" t="s">
        <v>1192</v>
      </c>
      <c r="C8" s="180">
        <v>50</v>
      </c>
      <c r="D8" s="155" t="s">
        <v>50</v>
      </c>
    </row>
    <row r="9" spans="1:11" x14ac:dyDescent="0.3">
      <c r="A9" s="180">
        <v>50019</v>
      </c>
      <c r="B9" s="526" t="s">
        <v>817</v>
      </c>
      <c r="C9" s="180">
        <v>50</v>
      </c>
      <c r="D9" s="155" t="s">
        <v>50</v>
      </c>
      <c r="K9" s="526"/>
    </row>
    <row r="10" spans="1:11" x14ac:dyDescent="0.3">
      <c r="A10" s="180">
        <v>50504</v>
      </c>
      <c r="B10" s="180" t="s">
        <v>480</v>
      </c>
      <c r="C10" s="180">
        <v>50</v>
      </c>
      <c r="D10" s="155" t="s">
        <v>50</v>
      </c>
    </row>
    <row r="11" spans="1:11" x14ac:dyDescent="0.3">
      <c r="A11" s="180">
        <v>50021</v>
      </c>
      <c r="B11" s="180" t="s">
        <v>818</v>
      </c>
      <c r="C11" s="180">
        <v>50</v>
      </c>
      <c r="D11" s="155" t="s">
        <v>50</v>
      </c>
    </row>
    <row r="12" spans="1:11" x14ac:dyDescent="0.3">
      <c r="A12" s="180">
        <v>50024</v>
      </c>
      <c r="B12" s="526" t="s">
        <v>481</v>
      </c>
      <c r="C12" s="180">
        <v>50</v>
      </c>
      <c r="D12" s="155" t="s">
        <v>50</v>
      </c>
      <c r="K12" s="526"/>
    </row>
    <row r="13" spans="1:11" x14ac:dyDescent="0.3">
      <c r="A13" s="180">
        <v>50029</v>
      </c>
      <c r="B13" s="180" t="s">
        <v>482</v>
      </c>
      <c r="C13" s="180">
        <v>50</v>
      </c>
      <c r="D13" s="155" t="s">
        <v>50</v>
      </c>
    </row>
    <row r="14" spans="1:11" x14ac:dyDescent="0.3">
      <c r="A14" s="180">
        <v>50031</v>
      </c>
      <c r="B14" s="180" t="s">
        <v>819</v>
      </c>
      <c r="C14" s="180">
        <v>50</v>
      </c>
      <c r="D14" s="155" t="s">
        <v>50</v>
      </c>
    </row>
    <row r="15" spans="1:11" x14ac:dyDescent="0.3">
      <c r="A15" s="180">
        <v>50038</v>
      </c>
      <c r="B15" s="180" t="s">
        <v>486</v>
      </c>
      <c r="C15" s="180">
        <v>50</v>
      </c>
      <c r="D15" s="155" t="s">
        <v>50</v>
      </c>
    </row>
    <row r="16" spans="1:11" x14ac:dyDescent="0.3">
      <c r="A16" s="180">
        <v>50040</v>
      </c>
      <c r="B16" s="180" t="s">
        <v>1210</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6" t="s">
        <v>1219</v>
      </c>
      <c r="C19" s="180">
        <v>50</v>
      </c>
      <c r="D19" s="155" t="s">
        <v>50</v>
      </c>
      <c r="K19" s="526"/>
    </row>
    <row r="20" spans="1:11" x14ac:dyDescent="0.3">
      <c r="A20" s="180">
        <v>50055</v>
      </c>
      <c r="B20" s="180" t="s">
        <v>820</v>
      </c>
      <c r="C20" s="180">
        <v>50</v>
      </c>
      <c r="D20" s="155" t="s">
        <v>50</v>
      </c>
    </row>
    <row r="21" spans="1:11" x14ac:dyDescent="0.3">
      <c r="A21" s="180">
        <v>50062</v>
      </c>
      <c r="B21" s="180" t="s">
        <v>1232</v>
      </c>
      <c r="C21" s="180">
        <v>50</v>
      </c>
      <c r="D21" s="155" t="s">
        <v>50</v>
      </c>
    </row>
    <row r="22" spans="1:11" x14ac:dyDescent="0.3">
      <c r="A22" s="180">
        <v>50063</v>
      </c>
      <c r="B22" s="180" t="s">
        <v>1233</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822</v>
      </c>
      <c r="C25" s="180">
        <v>50</v>
      </c>
      <c r="D25" s="155" t="s">
        <v>50</v>
      </c>
    </row>
    <row r="26" spans="1:11" x14ac:dyDescent="0.3">
      <c r="A26" s="180">
        <v>50468</v>
      </c>
      <c r="B26" s="526" t="s">
        <v>824</v>
      </c>
      <c r="C26" s="180">
        <v>50</v>
      </c>
      <c r="D26" s="155" t="s">
        <v>50</v>
      </c>
      <c r="K26" s="526"/>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6" t="s">
        <v>825</v>
      </c>
      <c r="C29" s="180">
        <v>50</v>
      </c>
      <c r="D29" s="155" t="s">
        <v>50</v>
      </c>
      <c r="K29" s="526"/>
    </row>
    <row r="30" spans="1:11" x14ac:dyDescent="0.3">
      <c r="A30" s="180">
        <v>50511</v>
      </c>
      <c r="B30" s="180" t="s">
        <v>1257</v>
      </c>
      <c r="C30" s="180">
        <v>50</v>
      </c>
      <c r="D30" s="155" t="s">
        <v>50</v>
      </c>
    </row>
    <row r="31" spans="1:11" x14ac:dyDescent="0.3">
      <c r="A31" s="180">
        <v>50095</v>
      </c>
      <c r="B31" s="180" t="s">
        <v>1262</v>
      </c>
      <c r="C31" s="180">
        <v>50</v>
      </c>
      <c r="D31" s="155" t="s">
        <v>50</v>
      </c>
    </row>
    <row r="32" spans="1:11" x14ac:dyDescent="0.3">
      <c r="A32" s="180">
        <v>50098</v>
      </c>
      <c r="B32" s="180" t="s">
        <v>826</v>
      </c>
      <c r="C32" s="180">
        <v>50</v>
      </c>
      <c r="D32" s="155" t="s">
        <v>50</v>
      </c>
    </row>
    <row r="33" spans="1:11" x14ac:dyDescent="0.3">
      <c r="A33" s="180">
        <v>50106</v>
      </c>
      <c r="B33" s="180" t="s">
        <v>497</v>
      </c>
      <c r="C33" s="180">
        <v>50</v>
      </c>
      <c r="D33" s="155" t="s">
        <v>50</v>
      </c>
    </row>
    <row r="34" spans="1:11" x14ac:dyDescent="0.3">
      <c r="A34" s="180">
        <v>50461</v>
      </c>
      <c r="B34" s="180" t="s">
        <v>1276</v>
      </c>
      <c r="C34" s="180">
        <v>50</v>
      </c>
      <c r="D34" s="155" t="s">
        <v>50</v>
      </c>
    </row>
    <row r="35" spans="1:11" x14ac:dyDescent="0.3">
      <c r="A35" s="180">
        <v>50116</v>
      </c>
      <c r="B35" s="180" t="s">
        <v>828</v>
      </c>
      <c r="C35" s="180">
        <v>50</v>
      </c>
      <c r="D35" s="155" t="s">
        <v>50</v>
      </c>
    </row>
    <row r="36" spans="1:11" x14ac:dyDescent="0.3">
      <c r="A36" s="180">
        <v>50117</v>
      </c>
      <c r="B36" s="180" t="s">
        <v>1281</v>
      </c>
      <c r="C36" s="180">
        <v>50</v>
      </c>
      <c r="D36" s="155" t="s">
        <v>50</v>
      </c>
    </row>
    <row r="37" spans="1:11" x14ac:dyDescent="0.3">
      <c r="A37" s="180">
        <v>50121</v>
      </c>
      <c r="B37" s="526" t="s">
        <v>502</v>
      </c>
      <c r="C37" s="180">
        <v>50</v>
      </c>
      <c r="D37" s="155" t="s">
        <v>50</v>
      </c>
      <c r="K37" s="526"/>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830</v>
      </c>
      <c r="C40" s="180">
        <v>50</v>
      </c>
      <c r="D40" s="155" t="s">
        <v>50</v>
      </c>
    </row>
    <row r="41" spans="1:11" x14ac:dyDescent="0.3">
      <c r="A41" s="180">
        <v>50128</v>
      </c>
      <c r="B41" s="526" t="s">
        <v>506</v>
      </c>
      <c r="C41" s="180">
        <v>50</v>
      </c>
      <c r="D41" s="155" t="s">
        <v>50</v>
      </c>
      <c r="K41" s="526"/>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1297</v>
      </c>
      <c r="C45" s="180">
        <v>50</v>
      </c>
      <c r="D45" s="155" t="s">
        <v>50</v>
      </c>
    </row>
    <row r="46" spans="1:11" x14ac:dyDescent="0.3">
      <c r="A46" s="180">
        <v>50549</v>
      </c>
      <c r="B46" s="180" t="s">
        <v>1298</v>
      </c>
      <c r="C46" s="180">
        <v>50</v>
      </c>
      <c r="D46" s="155" t="s">
        <v>50</v>
      </c>
    </row>
    <row r="47" spans="1:11" x14ac:dyDescent="0.3">
      <c r="A47" s="180">
        <v>50141</v>
      </c>
      <c r="B47" s="180" t="s">
        <v>1302</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1304</v>
      </c>
      <c r="C50" s="180">
        <v>50</v>
      </c>
      <c r="D50" s="155" t="s">
        <v>50</v>
      </c>
    </row>
    <row r="51" spans="1:11" x14ac:dyDescent="0.3">
      <c r="A51" s="180">
        <v>50148</v>
      </c>
      <c r="B51" s="180" t="s">
        <v>390</v>
      </c>
      <c r="C51" s="180">
        <v>50</v>
      </c>
      <c r="D51" s="155" t="s">
        <v>50</v>
      </c>
    </row>
    <row r="52" spans="1:11" x14ac:dyDescent="0.3">
      <c r="A52" s="180">
        <v>50151</v>
      </c>
      <c r="B52" s="180" t="s">
        <v>831</v>
      </c>
      <c r="C52" s="180">
        <v>50</v>
      </c>
      <c r="D52" s="155" t="s">
        <v>50</v>
      </c>
    </row>
    <row r="53" spans="1:11" x14ac:dyDescent="0.3">
      <c r="A53" s="180">
        <v>50153</v>
      </c>
      <c r="B53" s="180" t="s">
        <v>513</v>
      </c>
      <c r="C53" s="180">
        <v>50</v>
      </c>
      <c r="D53" s="155" t="s">
        <v>50</v>
      </c>
    </row>
    <row r="54" spans="1:11" x14ac:dyDescent="0.3">
      <c r="A54" s="180">
        <v>50154</v>
      </c>
      <c r="B54" s="526" t="s">
        <v>514</v>
      </c>
      <c r="C54" s="180">
        <v>50</v>
      </c>
      <c r="D54" s="155" t="s">
        <v>50</v>
      </c>
      <c r="K54" s="526"/>
    </row>
    <row r="55" spans="1:11" x14ac:dyDescent="0.3">
      <c r="A55" s="180">
        <v>50517</v>
      </c>
      <c r="B55" s="180" t="s">
        <v>832</v>
      </c>
      <c r="C55" s="180">
        <v>50</v>
      </c>
      <c r="D55" s="155" t="s">
        <v>50</v>
      </c>
    </row>
    <row r="56" spans="1:11" x14ac:dyDescent="0.3">
      <c r="A56" s="180">
        <v>50448</v>
      </c>
      <c r="B56" s="180" t="s">
        <v>515</v>
      </c>
      <c r="C56" s="180">
        <v>50</v>
      </c>
      <c r="D56" s="155" t="s">
        <v>50</v>
      </c>
    </row>
    <row r="57" spans="1:11" x14ac:dyDescent="0.3">
      <c r="A57" s="180">
        <v>50162</v>
      </c>
      <c r="B57" s="180" t="s">
        <v>1318</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6" t="s">
        <v>833</v>
      </c>
      <c r="C60" s="180">
        <v>50</v>
      </c>
      <c r="D60" s="155" t="s">
        <v>50</v>
      </c>
      <c r="K60" s="526"/>
    </row>
    <row r="61" spans="1:11" x14ac:dyDescent="0.3">
      <c r="A61" s="180">
        <v>50177</v>
      </c>
      <c r="B61" s="180" t="s">
        <v>835</v>
      </c>
      <c r="C61" s="180">
        <v>50</v>
      </c>
      <c r="D61" s="155" t="s">
        <v>50</v>
      </c>
    </row>
    <row r="62" spans="1:11" x14ac:dyDescent="0.3">
      <c r="A62" s="180">
        <v>50181</v>
      </c>
      <c r="B62" s="526" t="s">
        <v>1331</v>
      </c>
      <c r="C62" s="180">
        <v>50</v>
      </c>
      <c r="D62" s="155" t="s">
        <v>50</v>
      </c>
      <c r="K62" s="526"/>
    </row>
    <row r="63" spans="1:11" x14ac:dyDescent="0.3">
      <c r="A63" s="180">
        <v>50183</v>
      </c>
      <c r="B63" s="526" t="s">
        <v>520</v>
      </c>
      <c r="C63" s="180">
        <v>50</v>
      </c>
      <c r="D63" s="155" t="s">
        <v>50</v>
      </c>
      <c r="K63" s="526"/>
    </row>
    <row r="64" spans="1:11" x14ac:dyDescent="0.3">
      <c r="A64" s="180">
        <v>50188</v>
      </c>
      <c r="B64" s="180" t="s">
        <v>1336</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1341</v>
      </c>
      <c r="C67" s="180">
        <v>50</v>
      </c>
      <c r="D67" s="155" t="s">
        <v>50</v>
      </c>
    </row>
    <row r="68" spans="1:11" x14ac:dyDescent="0.3">
      <c r="A68" s="180">
        <v>50198</v>
      </c>
      <c r="B68" s="180" t="s">
        <v>1345</v>
      </c>
      <c r="C68" s="180">
        <v>50</v>
      </c>
      <c r="D68" s="155" t="s">
        <v>50</v>
      </c>
    </row>
    <row r="69" spans="1:11" x14ac:dyDescent="0.3">
      <c r="A69" s="180">
        <v>50200</v>
      </c>
      <c r="B69" s="180" t="s">
        <v>1347</v>
      </c>
      <c r="C69" s="180">
        <v>50</v>
      </c>
      <c r="D69" s="155" t="s">
        <v>50</v>
      </c>
    </row>
    <row r="70" spans="1:11" x14ac:dyDescent="0.3">
      <c r="A70" s="180">
        <v>50518</v>
      </c>
      <c r="B70" s="180" t="s">
        <v>438</v>
      </c>
      <c r="C70" s="180">
        <v>50</v>
      </c>
      <c r="D70" s="155" t="s">
        <v>50</v>
      </c>
    </row>
    <row r="71" spans="1:11" x14ac:dyDescent="0.3">
      <c r="A71" s="180">
        <v>50211</v>
      </c>
      <c r="B71" s="180" t="s">
        <v>1361</v>
      </c>
      <c r="C71" s="180">
        <v>50</v>
      </c>
      <c r="D71" s="155" t="s">
        <v>50</v>
      </c>
    </row>
    <row r="72" spans="1:11" x14ac:dyDescent="0.3">
      <c r="A72" s="180">
        <v>50220</v>
      </c>
      <c r="B72" s="180" t="s">
        <v>1372</v>
      </c>
      <c r="C72" s="180">
        <v>50</v>
      </c>
      <c r="D72" s="155" t="s">
        <v>50</v>
      </c>
    </row>
    <row r="73" spans="1:11" x14ac:dyDescent="0.3">
      <c r="A73" s="180">
        <v>50222</v>
      </c>
      <c r="B73" s="180" t="s">
        <v>1375</v>
      </c>
      <c r="C73" s="180">
        <v>50</v>
      </c>
      <c r="D73" s="155" t="s">
        <v>50</v>
      </c>
    </row>
    <row r="74" spans="1:11" x14ac:dyDescent="0.3">
      <c r="A74" s="180">
        <v>50224</v>
      </c>
      <c r="B74" s="180" t="s">
        <v>1377</v>
      </c>
      <c r="C74" s="180">
        <v>50</v>
      </c>
      <c r="D74" s="155" t="s">
        <v>50</v>
      </c>
    </row>
    <row r="75" spans="1:11" x14ac:dyDescent="0.3">
      <c r="A75" s="180">
        <v>50227</v>
      </c>
      <c r="B75" s="180" t="s">
        <v>1380</v>
      </c>
      <c r="C75" s="180">
        <v>50</v>
      </c>
      <c r="D75" s="155" t="s">
        <v>50</v>
      </c>
    </row>
    <row r="76" spans="1:11" x14ac:dyDescent="0.3">
      <c r="A76" s="180">
        <v>50231</v>
      </c>
      <c r="B76" s="180" t="s">
        <v>439</v>
      </c>
      <c r="C76" s="180">
        <v>50</v>
      </c>
      <c r="D76" s="155" t="s">
        <v>50</v>
      </c>
    </row>
    <row r="77" spans="1:11" x14ac:dyDescent="0.3">
      <c r="A77" s="180">
        <v>50233</v>
      </c>
      <c r="B77" s="526" t="s">
        <v>440</v>
      </c>
      <c r="C77" s="180">
        <v>50</v>
      </c>
      <c r="D77" s="155" t="s">
        <v>50</v>
      </c>
      <c r="K77" s="526"/>
    </row>
    <row r="78" spans="1:11" x14ac:dyDescent="0.3">
      <c r="A78" s="180">
        <v>50235</v>
      </c>
      <c r="B78" s="180" t="s">
        <v>441</v>
      </c>
      <c r="C78" s="180">
        <v>50</v>
      </c>
      <c r="D78" s="155" t="s">
        <v>50</v>
      </c>
    </row>
    <row r="79" spans="1:11" x14ac:dyDescent="0.3">
      <c r="A79" s="180">
        <v>50236</v>
      </c>
      <c r="B79" s="526" t="s">
        <v>442</v>
      </c>
      <c r="C79" s="180">
        <v>50</v>
      </c>
      <c r="D79" s="155" t="s">
        <v>50</v>
      </c>
      <c r="K79" s="526"/>
    </row>
    <row r="80" spans="1:11" x14ac:dyDescent="0.3">
      <c r="A80" s="180">
        <v>50238</v>
      </c>
      <c r="B80" s="180" t="s">
        <v>1386</v>
      </c>
      <c r="C80" s="180">
        <v>50</v>
      </c>
      <c r="D80" s="155" t="s">
        <v>50</v>
      </c>
    </row>
    <row r="81" spans="1:11" x14ac:dyDescent="0.3">
      <c r="A81" s="180">
        <v>50239</v>
      </c>
      <c r="B81" s="526" t="s">
        <v>443</v>
      </c>
      <c r="C81" s="180">
        <v>50</v>
      </c>
      <c r="D81" s="155" t="s">
        <v>50</v>
      </c>
      <c r="K81" s="526"/>
    </row>
    <row r="82" spans="1:11" x14ac:dyDescent="0.3">
      <c r="A82" s="180">
        <v>50245</v>
      </c>
      <c r="B82" s="180" t="s">
        <v>1394</v>
      </c>
      <c r="C82" s="180">
        <v>50</v>
      </c>
      <c r="D82" s="155" t="s">
        <v>50</v>
      </c>
    </row>
    <row r="83" spans="1:11" x14ac:dyDescent="0.3">
      <c r="A83" s="180">
        <v>50249</v>
      </c>
      <c r="B83" s="180" t="s">
        <v>444</v>
      </c>
      <c r="C83" s="180">
        <v>50</v>
      </c>
      <c r="D83" s="155" t="s">
        <v>50</v>
      </c>
    </row>
    <row r="84" spans="1:11" x14ac:dyDescent="0.3">
      <c r="A84" s="180">
        <v>50454</v>
      </c>
      <c r="B84" s="180" t="s">
        <v>1403</v>
      </c>
      <c r="C84" s="180">
        <v>50</v>
      </c>
      <c r="D84" s="155" t="s">
        <v>50</v>
      </c>
    </row>
    <row r="85" spans="1:11" x14ac:dyDescent="0.3">
      <c r="A85" s="180">
        <v>50254</v>
      </c>
      <c r="B85" s="180" t="s">
        <v>836</v>
      </c>
      <c r="C85" s="180">
        <v>50</v>
      </c>
      <c r="D85" s="155" t="s">
        <v>50</v>
      </c>
    </row>
    <row r="86" spans="1:11" x14ac:dyDescent="0.3">
      <c r="A86" s="180">
        <v>50256</v>
      </c>
      <c r="B86" s="180" t="s">
        <v>1404</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1419</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6" t="s">
        <v>1429</v>
      </c>
      <c r="C92" s="180">
        <v>50</v>
      </c>
      <c r="D92" s="155" t="s">
        <v>50</v>
      </c>
      <c r="K92" s="526"/>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1439</v>
      </c>
      <c r="C98" s="180">
        <v>50</v>
      </c>
      <c r="D98" s="155" t="s">
        <v>50</v>
      </c>
    </row>
    <row r="99" spans="1:11" x14ac:dyDescent="0.3">
      <c r="A99" s="180">
        <v>50291</v>
      </c>
      <c r="B99" s="180" t="s">
        <v>1443</v>
      </c>
      <c r="C99" s="180">
        <v>50</v>
      </c>
      <c r="D99" s="155" t="s">
        <v>50</v>
      </c>
    </row>
    <row r="100" spans="1:11" x14ac:dyDescent="0.3">
      <c r="A100" s="180">
        <v>50293</v>
      </c>
      <c r="B100" s="180" t="s">
        <v>1445</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1454</v>
      </c>
      <c r="C103" s="180">
        <v>50</v>
      </c>
      <c r="D103" s="155" t="s">
        <v>50</v>
      </c>
    </row>
    <row r="104" spans="1:11" x14ac:dyDescent="0.3">
      <c r="A104" s="180">
        <v>50305</v>
      </c>
      <c r="B104" s="180" t="s">
        <v>840</v>
      </c>
      <c r="C104" s="180">
        <v>50</v>
      </c>
      <c r="D104" s="155" t="s">
        <v>50</v>
      </c>
    </row>
    <row r="105" spans="1:11" x14ac:dyDescent="0.3">
      <c r="A105" s="180">
        <v>50479</v>
      </c>
      <c r="B105" s="180" t="s">
        <v>538</v>
      </c>
      <c r="C105" s="180">
        <v>50</v>
      </c>
      <c r="D105" s="155" t="s">
        <v>50</v>
      </c>
    </row>
    <row r="106" spans="1:11" x14ac:dyDescent="0.3">
      <c r="A106" s="180">
        <v>50307</v>
      </c>
      <c r="B106" s="526" t="s">
        <v>539</v>
      </c>
      <c r="C106" s="180">
        <v>50</v>
      </c>
      <c r="D106" s="155" t="s">
        <v>50</v>
      </c>
      <c r="K106" s="526"/>
    </row>
    <row r="107" spans="1:11" x14ac:dyDescent="0.3">
      <c r="A107" s="180">
        <v>50308</v>
      </c>
      <c r="B107" s="180" t="s">
        <v>1460</v>
      </c>
      <c r="C107" s="180">
        <v>50</v>
      </c>
      <c r="D107" s="155" t="s">
        <v>50</v>
      </c>
    </row>
    <row r="108" spans="1:11" x14ac:dyDescent="0.3">
      <c r="A108" s="180">
        <v>50310</v>
      </c>
      <c r="B108" s="526" t="s">
        <v>540</v>
      </c>
      <c r="C108" s="180">
        <v>50</v>
      </c>
      <c r="D108" s="155" t="s">
        <v>50</v>
      </c>
      <c r="K108" s="526"/>
    </row>
    <row r="109" spans="1:11" x14ac:dyDescent="0.3">
      <c r="A109" s="180">
        <v>50311</v>
      </c>
      <c r="B109" s="526" t="s">
        <v>541</v>
      </c>
      <c r="C109" s="180">
        <v>50</v>
      </c>
      <c r="D109" s="155" t="s">
        <v>50</v>
      </c>
      <c r="K109" s="526"/>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841</v>
      </c>
      <c r="C114" s="180">
        <v>50</v>
      </c>
      <c r="D114" s="155" t="s">
        <v>50</v>
      </c>
    </row>
    <row r="115" spans="1:11" x14ac:dyDescent="0.3">
      <c r="A115" s="180">
        <v>50325</v>
      </c>
      <c r="B115" s="526" t="s">
        <v>546</v>
      </c>
      <c r="C115" s="180">
        <v>50</v>
      </c>
      <c r="D115" s="155" t="s">
        <v>50</v>
      </c>
      <c r="K115" s="526"/>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1479</v>
      </c>
      <c r="C118" s="180">
        <v>50</v>
      </c>
      <c r="D118" s="155" t="s">
        <v>50</v>
      </c>
    </row>
    <row r="119" spans="1:11" x14ac:dyDescent="0.3">
      <c r="A119" s="180">
        <v>50337</v>
      </c>
      <c r="B119" s="180" t="s">
        <v>844</v>
      </c>
      <c r="C119" s="180">
        <v>50</v>
      </c>
      <c r="D119" s="155" t="s">
        <v>50</v>
      </c>
    </row>
    <row r="120" spans="1:11" x14ac:dyDescent="0.3">
      <c r="A120" s="180">
        <v>50338</v>
      </c>
      <c r="B120" s="180" t="s">
        <v>845</v>
      </c>
      <c r="C120" s="180">
        <v>50</v>
      </c>
      <c r="D120" s="155" t="s">
        <v>50</v>
      </c>
    </row>
    <row r="121" spans="1:11" x14ac:dyDescent="0.3">
      <c r="A121" s="180">
        <v>50339</v>
      </c>
      <c r="B121" s="180" t="s">
        <v>1480</v>
      </c>
      <c r="C121" s="180">
        <v>50</v>
      </c>
      <c r="D121" s="155" t="s">
        <v>50</v>
      </c>
    </row>
    <row r="122" spans="1:11" x14ac:dyDescent="0.3">
      <c r="A122" s="180">
        <v>50348</v>
      </c>
      <c r="B122" s="180" t="s">
        <v>550</v>
      </c>
      <c r="C122" s="180">
        <v>50</v>
      </c>
      <c r="D122" s="155" t="s">
        <v>50</v>
      </c>
    </row>
    <row r="123" spans="1:11" x14ac:dyDescent="0.3">
      <c r="A123" s="180">
        <v>50355</v>
      </c>
      <c r="B123" s="526" t="s">
        <v>552</v>
      </c>
      <c r="C123" s="180">
        <v>50</v>
      </c>
      <c r="D123" s="155" t="s">
        <v>50</v>
      </c>
      <c r="K123" s="526"/>
    </row>
    <row r="124" spans="1:11" x14ac:dyDescent="0.3">
      <c r="A124" s="180">
        <v>50357</v>
      </c>
      <c r="B124" s="180" t="s">
        <v>847</v>
      </c>
      <c r="C124" s="180">
        <v>50</v>
      </c>
      <c r="D124" s="155" t="s">
        <v>50</v>
      </c>
    </row>
    <row r="125" spans="1:11" x14ac:dyDescent="0.3">
      <c r="A125" s="180">
        <v>50365</v>
      </c>
      <c r="B125" s="180" t="s">
        <v>1507</v>
      </c>
      <c r="C125" s="180">
        <v>50</v>
      </c>
      <c r="D125" s="155" t="s">
        <v>50</v>
      </c>
    </row>
    <row r="126" spans="1:11" x14ac:dyDescent="0.3">
      <c r="A126" s="180">
        <v>50366</v>
      </c>
      <c r="B126" s="180" t="s">
        <v>1508</v>
      </c>
      <c r="C126" s="180">
        <v>50</v>
      </c>
      <c r="D126" s="155" t="s">
        <v>50</v>
      </c>
    </row>
    <row r="127" spans="1:11" x14ac:dyDescent="0.3">
      <c r="A127" s="180">
        <v>50369</v>
      </c>
      <c r="B127" s="526" t="s">
        <v>1510</v>
      </c>
      <c r="C127" s="180">
        <v>50</v>
      </c>
      <c r="D127" s="155" t="s">
        <v>50</v>
      </c>
      <c r="K127" s="526"/>
    </row>
    <row r="128" spans="1:11" x14ac:dyDescent="0.3">
      <c r="A128" s="180">
        <v>50370</v>
      </c>
      <c r="B128" s="180" t="s">
        <v>554</v>
      </c>
      <c r="C128" s="180">
        <v>50</v>
      </c>
      <c r="D128" s="155" t="s">
        <v>50</v>
      </c>
    </row>
    <row r="129" spans="1:11" x14ac:dyDescent="0.3">
      <c r="A129" s="180">
        <v>50371</v>
      </c>
      <c r="B129" s="180" t="s">
        <v>1511</v>
      </c>
      <c r="C129" s="180">
        <v>50</v>
      </c>
      <c r="D129" s="155" t="s">
        <v>50</v>
      </c>
    </row>
    <row r="130" spans="1:11" x14ac:dyDescent="0.3">
      <c r="A130" s="180">
        <v>50343</v>
      </c>
      <c r="B130" s="180" t="s">
        <v>1075</v>
      </c>
      <c r="C130" s="180">
        <v>50</v>
      </c>
      <c r="D130" s="155" t="s">
        <v>50</v>
      </c>
    </row>
    <row r="131" spans="1:11" x14ac:dyDescent="0.3">
      <c r="A131" s="180">
        <v>50372</v>
      </c>
      <c r="B131" s="526" t="s">
        <v>1076</v>
      </c>
      <c r="C131" s="180">
        <v>50</v>
      </c>
      <c r="D131" s="155" t="s">
        <v>50</v>
      </c>
      <c r="K131" s="526"/>
    </row>
    <row r="132" spans="1:11" x14ac:dyDescent="0.3">
      <c r="A132" s="180">
        <v>50457</v>
      </c>
      <c r="B132" s="180" t="s">
        <v>1077</v>
      </c>
      <c r="C132" s="180">
        <v>50</v>
      </c>
      <c r="D132" s="155" t="s">
        <v>50</v>
      </c>
    </row>
    <row r="133" spans="1:11" x14ac:dyDescent="0.3">
      <c r="A133" s="180">
        <v>50375</v>
      </c>
      <c r="B133" s="526" t="s">
        <v>1079</v>
      </c>
      <c r="C133" s="180">
        <v>50</v>
      </c>
      <c r="D133" s="155" t="s">
        <v>50</v>
      </c>
      <c r="K133" s="526"/>
    </row>
    <row r="134" spans="1:11" x14ac:dyDescent="0.3">
      <c r="A134" s="180">
        <v>50376</v>
      </c>
      <c r="B134" s="526" t="s">
        <v>1080</v>
      </c>
      <c r="C134" s="180">
        <v>50</v>
      </c>
      <c r="D134" s="155" t="s">
        <v>50</v>
      </c>
      <c r="K134" s="526"/>
    </row>
    <row r="135" spans="1:11" x14ac:dyDescent="0.3">
      <c r="A135" s="180">
        <v>50380</v>
      </c>
      <c r="B135" s="180" t="s">
        <v>1085</v>
      </c>
      <c r="C135" s="180">
        <v>50</v>
      </c>
      <c r="D135" s="155" t="s">
        <v>50</v>
      </c>
    </row>
    <row r="136" spans="1:11" x14ac:dyDescent="0.3">
      <c r="A136" s="180">
        <v>50389</v>
      </c>
      <c r="B136" s="180" t="s">
        <v>555</v>
      </c>
      <c r="C136" s="180">
        <v>50</v>
      </c>
      <c r="D136" s="155" t="s">
        <v>50</v>
      </c>
    </row>
    <row r="137" spans="1:11" x14ac:dyDescent="0.3">
      <c r="A137" s="180">
        <v>50500</v>
      </c>
      <c r="B137" s="526" t="s">
        <v>556</v>
      </c>
      <c r="C137" s="180">
        <v>50</v>
      </c>
      <c r="D137" s="155" t="s">
        <v>50</v>
      </c>
      <c r="K137" s="526"/>
    </row>
    <row r="138" spans="1:11" x14ac:dyDescent="0.3">
      <c r="A138" s="180">
        <v>50544</v>
      </c>
      <c r="B138" s="526" t="s">
        <v>1101</v>
      </c>
      <c r="C138" s="180">
        <v>50</v>
      </c>
      <c r="D138" s="155" t="s">
        <v>50</v>
      </c>
      <c r="K138" s="526"/>
    </row>
    <row r="139" spans="1:11" x14ac:dyDescent="0.3">
      <c r="A139" s="180">
        <v>50396</v>
      </c>
      <c r="B139" s="180" t="s">
        <v>557</v>
      </c>
      <c r="C139" s="180">
        <v>50</v>
      </c>
      <c r="D139" s="155" t="s">
        <v>50</v>
      </c>
    </row>
    <row r="140" spans="1:11" x14ac:dyDescent="0.3">
      <c r="A140" s="180">
        <v>50397</v>
      </c>
      <c r="B140" s="526" t="s">
        <v>1104</v>
      </c>
      <c r="C140" s="180">
        <v>50</v>
      </c>
      <c r="D140" s="155" t="s">
        <v>50</v>
      </c>
      <c r="K140" s="526"/>
    </row>
    <row r="141" spans="1:11" x14ac:dyDescent="0.3">
      <c r="A141" s="180">
        <v>50399</v>
      </c>
      <c r="B141" s="180" t="s">
        <v>559</v>
      </c>
      <c r="C141" s="180">
        <v>50</v>
      </c>
      <c r="D141" s="155" t="s">
        <v>50</v>
      </c>
    </row>
    <row r="142" spans="1:11" x14ac:dyDescent="0.3">
      <c r="A142" s="180">
        <v>50403</v>
      </c>
      <c r="B142" s="180" t="s">
        <v>1110</v>
      </c>
      <c r="C142" s="180">
        <v>50</v>
      </c>
      <c r="D142" s="155" t="s">
        <v>50</v>
      </c>
    </row>
    <row r="143" spans="1:11" x14ac:dyDescent="0.3">
      <c r="A143" s="180">
        <v>50486</v>
      </c>
      <c r="B143" s="180" t="s">
        <v>853</v>
      </c>
      <c r="C143" s="180">
        <v>50</v>
      </c>
      <c r="D143" s="155" t="s">
        <v>50</v>
      </c>
    </row>
    <row r="144" spans="1:11" x14ac:dyDescent="0.3">
      <c r="A144" s="180">
        <v>50408</v>
      </c>
      <c r="B144" s="180" t="s">
        <v>1116</v>
      </c>
      <c r="C144" s="180">
        <v>50</v>
      </c>
      <c r="D144" s="155" t="s">
        <v>50</v>
      </c>
    </row>
    <row r="145" spans="1:11" x14ac:dyDescent="0.3">
      <c r="A145" s="180">
        <v>50409</v>
      </c>
      <c r="B145" s="180" t="s">
        <v>854</v>
      </c>
      <c r="C145" s="180">
        <v>50</v>
      </c>
      <c r="D145" s="155" t="s">
        <v>50</v>
      </c>
    </row>
    <row r="146" spans="1:11" x14ac:dyDescent="0.3">
      <c r="A146" s="180">
        <v>50420</v>
      </c>
      <c r="B146" s="180" t="s">
        <v>561</v>
      </c>
      <c r="C146" s="180">
        <v>50</v>
      </c>
      <c r="D146" s="155" t="s">
        <v>50</v>
      </c>
    </row>
    <row r="147" spans="1:11" x14ac:dyDescent="0.3">
      <c r="A147" s="180">
        <v>50421</v>
      </c>
      <c r="B147" s="180" t="s">
        <v>855</v>
      </c>
      <c r="C147" s="180">
        <v>50</v>
      </c>
      <c r="D147" s="155" t="s">
        <v>50</v>
      </c>
    </row>
    <row r="148" spans="1:11" x14ac:dyDescent="0.3">
      <c r="A148" s="180">
        <v>50423</v>
      </c>
      <c r="B148" s="180" t="s">
        <v>562</v>
      </c>
      <c r="C148" s="180">
        <v>50</v>
      </c>
      <c r="D148" s="155" t="s">
        <v>50</v>
      </c>
    </row>
    <row r="149" spans="1:11" x14ac:dyDescent="0.3">
      <c r="A149" s="180">
        <v>50428</v>
      </c>
      <c r="B149" s="180" t="s">
        <v>1138</v>
      </c>
      <c r="C149" s="180">
        <v>50</v>
      </c>
      <c r="D149" s="155" t="s">
        <v>50</v>
      </c>
    </row>
    <row r="150" spans="1:11" x14ac:dyDescent="0.3">
      <c r="A150" s="180">
        <v>50499</v>
      </c>
      <c r="B150" s="180" t="s">
        <v>857</v>
      </c>
      <c r="C150" s="180">
        <v>50</v>
      </c>
      <c r="D150" s="155" t="s">
        <v>50</v>
      </c>
    </row>
    <row r="151" spans="1:11" x14ac:dyDescent="0.3">
      <c r="A151" s="180">
        <v>5103</v>
      </c>
      <c r="B151" s="180" t="s">
        <v>478</v>
      </c>
      <c r="C151" s="180">
        <v>51</v>
      </c>
      <c r="D151" s="155" t="s">
        <v>50</v>
      </c>
    </row>
    <row r="152" spans="1:11" x14ac:dyDescent="0.3">
      <c r="A152" s="180">
        <v>5107</v>
      </c>
      <c r="B152" s="527" t="s">
        <v>484</v>
      </c>
      <c r="C152" s="180">
        <v>51</v>
      </c>
      <c r="D152" s="155" t="s">
        <v>50</v>
      </c>
      <c r="K152" s="527"/>
    </row>
    <row r="153" spans="1:11" x14ac:dyDescent="0.3">
      <c r="A153" s="180">
        <v>5116</v>
      </c>
      <c r="B153" s="527" t="s">
        <v>858</v>
      </c>
      <c r="C153" s="180">
        <v>51</v>
      </c>
      <c r="D153" s="155" t="s">
        <v>50</v>
      </c>
      <c r="K153" s="527"/>
    </row>
    <row r="154" spans="1:11" x14ac:dyDescent="0.3">
      <c r="A154" s="180">
        <v>5119</v>
      </c>
      <c r="B154" s="180" t="s">
        <v>859</v>
      </c>
      <c r="C154" s="180">
        <v>51</v>
      </c>
      <c r="D154" s="155" t="s">
        <v>50</v>
      </c>
    </row>
    <row r="155" spans="1:11" x14ac:dyDescent="0.3">
      <c r="A155" s="180">
        <v>5123</v>
      </c>
      <c r="B155" s="526" t="s">
        <v>860</v>
      </c>
      <c r="C155" s="180">
        <v>51</v>
      </c>
      <c r="D155" s="155" t="s">
        <v>50</v>
      </c>
      <c r="K155" s="526"/>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6" t="s">
        <v>861</v>
      </c>
      <c r="C158" s="180">
        <v>51</v>
      </c>
      <c r="D158" s="155" t="s">
        <v>50</v>
      </c>
      <c r="K158" s="526"/>
    </row>
    <row r="159" spans="1:11" x14ac:dyDescent="0.3">
      <c r="A159" s="180">
        <v>5165</v>
      </c>
      <c r="B159" s="180" t="s">
        <v>532</v>
      </c>
      <c r="C159" s="180">
        <v>51</v>
      </c>
      <c r="D159" s="155" t="s">
        <v>50</v>
      </c>
    </row>
    <row r="160" spans="1:11" x14ac:dyDescent="0.3">
      <c r="A160" s="180">
        <v>5170</v>
      </c>
      <c r="B160" s="526" t="s">
        <v>535</v>
      </c>
      <c r="C160" s="180">
        <v>51</v>
      </c>
      <c r="D160" s="155" t="s">
        <v>50</v>
      </c>
      <c r="K160" s="526"/>
    </row>
    <row r="161" spans="1:4" x14ac:dyDescent="0.3">
      <c r="A161" s="180">
        <v>5182</v>
      </c>
      <c r="B161" s="180" t="s">
        <v>549</v>
      </c>
      <c r="C161" s="180">
        <v>51</v>
      </c>
      <c r="D161" s="711" t="s">
        <v>50</v>
      </c>
    </row>
    <row r="162" spans="1:4" x14ac:dyDescent="0.3">
      <c r="A162" s="180">
        <v>5188</v>
      </c>
      <c r="B162" s="180" t="s">
        <v>558</v>
      </c>
      <c r="C162" s="180">
        <v>51</v>
      </c>
      <c r="D162" s="711" t="s">
        <v>50</v>
      </c>
    </row>
    <row r="163" spans="1:4" x14ac:dyDescent="0.3">
      <c r="A163" s="180">
        <v>591706</v>
      </c>
      <c r="B163" s="180" t="s">
        <v>862</v>
      </c>
      <c r="C163" s="180">
        <v>59</v>
      </c>
      <c r="D163" s="711" t="s">
        <v>50</v>
      </c>
    </row>
    <row r="164" spans="1:4" x14ac:dyDescent="0.3">
      <c r="A164" s="180">
        <v>591604</v>
      </c>
      <c r="B164" s="180" t="s">
        <v>493</v>
      </c>
      <c r="C164" s="180">
        <v>59</v>
      </c>
      <c r="D164" s="711" t="s">
        <v>50</v>
      </c>
    </row>
    <row r="165" spans="1:4" x14ac:dyDescent="0.3">
      <c r="A165" s="180">
        <v>591632</v>
      </c>
      <c r="B165" s="180" t="s">
        <v>505</v>
      </c>
      <c r="C165" s="180">
        <v>59</v>
      </c>
      <c r="D165" s="711" t="s">
        <v>50</v>
      </c>
    </row>
    <row r="166" spans="1:4" x14ac:dyDescent="0.3">
      <c r="A166" s="180">
        <v>591633</v>
      </c>
      <c r="B166" s="180" t="s">
        <v>863</v>
      </c>
      <c r="C166" s="180">
        <v>59</v>
      </c>
      <c r="D166" s="711" t="s">
        <v>50</v>
      </c>
    </row>
    <row r="167" spans="1:4" x14ac:dyDescent="0.3">
      <c r="A167" s="180">
        <v>591627</v>
      </c>
      <c r="B167" s="180" t="s">
        <v>1623</v>
      </c>
      <c r="C167" s="180">
        <v>59</v>
      </c>
      <c r="D167" s="711" t="s">
        <v>50</v>
      </c>
    </row>
    <row r="168" spans="1:4" x14ac:dyDescent="0.3">
      <c r="A168" s="180">
        <v>591629</v>
      </c>
      <c r="B168" s="180" t="s">
        <v>1624</v>
      </c>
      <c r="C168" s="180">
        <v>59</v>
      </c>
      <c r="D168" s="711" t="s">
        <v>50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2" customWidth="1"/>
    <col min="2" max="2" width="24.6640625" style="612" customWidth="1"/>
    <col min="3" max="3" width="11.33203125" style="805" customWidth="1"/>
    <col min="4" max="4" width="12.109375" style="613" customWidth="1"/>
    <col min="5" max="5" width="14.33203125" style="613" customWidth="1"/>
    <col min="6" max="6" width="3.44140625" style="612" customWidth="1"/>
    <col min="7" max="7" width="17.33203125" style="612" customWidth="1"/>
    <col min="8" max="8" width="2.109375" style="612" customWidth="1"/>
    <col min="9" max="9" width="7.5546875" style="805" customWidth="1"/>
    <col min="10" max="10" width="12.109375" style="613" customWidth="1"/>
    <col min="11" max="11" width="14.33203125" style="613" customWidth="1"/>
    <col min="12" max="251" width="8.88671875" style="612"/>
    <col min="252" max="252" width="15.88671875" style="612" customWidth="1"/>
    <col min="253" max="253" width="2.109375" style="612" customWidth="1"/>
    <col min="254" max="254" width="7.5546875" style="612" customWidth="1"/>
    <col min="255" max="255" width="12.109375" style="612" customWidth="1"/>
    <col min="256" max="256" width="14.33203125" style="612" customWidth="1"/>
    <col min="257" max="257" width="3.44140625" style="612" customWidth="1"/>
    <col min="258" max="258" width="17.33203125" style="612" customWidth="1"/>
    <col min="259" max="259" width="2.109375" style="612" customWidth="1"/>
    <col min="260" max="260" width="7.5546875" style="612" customWidth="1"/>
    <col min="261" max="261" width="12.109375" style="612" customWidth="1"/>
    <col min="262" max="262" width="14.33203125" style="612" customWidth="1"/>
    <col min="263" max="263" width="42.5546875" style="612" customWidth="1"/>
    <col min="264" max="507" width="8.88671875" style="612"/>
    <col min="508" max="508" width="15.88671875" style="612" customWidth="1"/>
    <col min="509" max="509" width="2.109375" style="612" customWidth="1"/>
    <col min="510" max="510" width="7.5546875" style="612" customWidth="1"/>
    <col min="511" max="511" width="12.109375" style="612" customWidth="1"/>
    <col min="512" max="512" width="14.33203125" style="612" customWidth="1"/>
    <col min="513" max="513" width="3.44140625" style="612" customWidth="1"/>
    <col min="514" max="514" width="17.33203125" style="612" customWidth="1"/>
    <col min="515" max="515" width="2.109375" style="612" customWidth="1"/>
    <col min="516" max="516" width="7.5546875" style="612" customWidth="1"/>
    <col min="517" max="517" width="12.109375" style="612" customWidth="1"/>
    <col min="518" max="518" width="14.33203125" style="612" customWidth="1"/>
    <col min="519" max="519" width="42.5546875" style="612" customWidth="1"/>
    <col min="520" max="763" width="8.88671875" style="612"/>
    <col min="764" max="764" width="15.88671875" style="612" customWidth="1"/>
    <col min="765" max="765" width="2.109375" style="612" customWidth="1"/>
    <col min="766" max="766" width="7.5546875" style="612" customWidth="1"/>
    <col min="767" max="767" width="12.109375" style="612" customWidth="1"/>
    <col min="768" max="768" width="14.33203125" style="612" customWidth="1"/>
    <col min="769" max="769" width="3.44140625" style="612" customWidth="1"/>
    <col min="770" max="770" width="17.33203125" style="612" customWidth="1"/>
    <col min="771" max="771" width="2.109375" style="612" customWidth="1"/>
    <col min="772" max="772" width="7.5546875" style="612" customWidth="1"/>
    <col min="773" max="773" width="12.109375" style="612" customWidth="1"/>
    <col min="774" max="774" width="14.33203125" style="612" customWidth="1"/>
    <col min="775" max="775" width="42.5546875" style="612" customWidth="1"/>
    <col min="776" max="1019" width="8.88671875" style="612"/>
    <col min="1020" max="1020" width="15.88671875" style="612" customWidth="1"/>
    <col min="1021" max="1021" width="2.109375" style="612" customWidth="1"/>
    <col min="1022" max="1022" width="7.5546875" style="612" customWidth="1"/>
    <col min="1023" max="1023" width="12.109375" style="612" customWidth="1"/>
    <col min="1024" max="1024" width="14.33203125" style="612" customWidth="1"/>
    <col min="1025" max="1025" width="3.44140625" style="612" customWidth="1"/>
    <col min="1026" max="1026" width="17.33203125" style="612" customWidth="1"/>
    <col min="1027" max="1027" width="2.109375" style="612" customWidth="1"/>
    <col min="1028" max="1028" width="7.5546875" style="612" customWidth="1"/>
    <col min="1029" max="1029" width="12.109375" style="612" customWidth="1"/>
    <col min="1030" max="1030" width="14.33203125" style="612" customWidth="1"/>
    <col min="1031" max="1031" width="42.5546875" style="612" customWidth="1"/>
    <col min="1032" max="1275" width="8.88671875" style="612"/>
    <col min="1276" max="1276" width="15.88671875" style="612" customWidth="1"/>
    <col min="1277" max="1277" width="2.109375" style="612" customWidth="1"/>
    <col min="1278" max="1278" width="7.5546875" style="612" customWidth="1"/>
    <col min="1279" max="1279" width="12.109375" style="612" customWidth="1"/>
    <col min="1280" max="1280" width="14.33203125" style="612" customWidth="1"/>
    <col min="1281" max="1281" width="3.44140625" style="612" customWidth="1"/>
    <col min="1282" max="1282" width="17.33203125" style="612" customWidth="1"/>
    <col min="1283" max="1283" width="2.109375" style="612" customWidth="1"/>
    <col min="1284" max="1284" width="7.5546875" style="612" customWidth="1"/>
    <col min="1285" max="1285" width="12.109375" style="612" customWidth="1"/>
    <col min="1286" max="1286" width="14.33203125" style="612" customWidth="1"/>
    <col min="1287" max="1287" width="42.5546875" style="612" customWidth="1"/>
    <col min="1288" max="1531" width="8.88671875" style="612"/>
    <col min="1532" max="1532" width="15.88671875" style="612" customWidth="1"/>
    <col min="1533" max="1533" width="2.109375" style="612" customWidth="1"/>
    <col min="1534" max="1534" width="7.5546875" style="612" customWidth="1"/>
    <col min="1535" max="1535" width="12.109375" style="612" customWidth="1"/>
    <col min="1536" max="1536" width="14.33203125" style="612" customWidth="1"/>
    <col min="1537" max="1537" width="3.44140625" style="612" customWidth="1"/>
    <col min="1538" max="1538" width="17.33203125" style="612" customWidth="1"/>
    <col min="1539" max="1539" width="2.109375" style="612" customWidth="1"/>
    <col min="1540" max="1540" width="7.5546875" style="612" customWidth="1"/>
    <col min="1541" max="1541" width="12.109375" style="612" customWidth="1"/>
    <col min="1542" max="1542" width="14.33203125" style="612" customWidth="1"/>
    <col min="1543" max="1543" width="42.5546875" style="612" customWidth="1"/>
    <col min="1544" max="1787" width="8.88671875" style="612"/>
    <col min="1788" max="1788" width="15.88671875" style="612" customWidth="1"/>
    <col min="1789" max="1789" width="2.109375" style="612" customWidth="1"/>
    <col min="1790" max="1790" width="7.5546875" style="612" customWidth="1"/>
    <col min="1791" max="1791" width="12.109375" style="612" customWidth="1"/>
    <col min="1792" max="1792" width="14.33203125" style="612" customWidth="1"/>
    <col min="1793" max="1793" width="3.44140625" style="612" customWidth="1"/>
    <col min="1794" max="1794" width="17.33203125" style="612" customWidth="1"/>
    <col min="1795" max="1795" width="2.109375" style="612" customWidth="1"/>
    <col min="1796" max="1796" width="7.5546875" style="612" customWidth="1"/>
    <col min="1797" max="1797" width="12.109375" style="612" customWidth="1"/>
    <col min="1798" max="1798" width="14.33203125" style="612" customWidth="1"/>
    <col min="1799" max="1799" width="42.5546875" style="612" customWidth="1"/>
    <col min="1800" max="2043" width="8.88671875" style="612"/>
    <col min="2044" max="2044" width="15.88671875" style="612" customWidth="1"/>
    <col min="2045" max="2045" width="2.109375" style="612" customWidth="1"/>
    <col min="2046" max="2046" width="7.5546875" style="612" customWidth="1"/>
    <col min="2047" max="2047" width="12.109375" style="612" customWidth="1"/>
    <col min="2048" max="2048" width="14.33203125" style="612" customWidth="1"/>
    <col min="2049" max="2049" width="3.44140625" style="612" customWidth="1"/>
    <col min="2050" max="2050" width="17.33203125" style="612" customWidth="1"/>
    <col min="2051" max="2051" width="2.109375" style="612" customWidth="1"/>
    <col min="2052" max="2052" width="7.5546875" style="612" customWidth="1"/>
    <col min="2053" max="2053" width="12.109375" style="612" customWidth="1"/>
    <col min="2054" max="2054" width="14.33203125" style="612" customWidth="1"/>
    <col min="2055" max="2055" width="42.5546875" style="612" customWidth="1"/>
    <col min="2056" max="2299" width="8.88671875" style="612"/>
    <col min="2300" max="2300" width="15.88671875" style="612" customWidth="1"/>
    <col min="2301" max="2301" width="2.109375" style="612" customWidth="1"/>
    <col min="2302" max="2302" width="7.5546875" style="612" customWidth="1"/>
    <col min="2303" max="2303" width="12.109375" style="612" customWidth="1"/>
    <col min="2304" max="2304" width="14.33203125" style="612" customWidth="1"/>
    <col min="2305" max="2305" width="3.44140625" style="612" customWidth="1"/>
    <col min="2306" max="2306" width="17.33203125" style="612" customWidth="1"/>
    <col min="2307" max="2307" width="2.109375" style="612" customWidth="1"/>
    <col min="2308" max="2308" width="7.5546875" style="612" customWidth="1"/>
    <col min="2309" max="2309" width="12.109375" style="612" customWidth="1"/>
    <col min="2310" max="2310" width="14.33203125" style="612" customWidth="1"/>
    <col min="2311" max="2311" width="42.5546875" style="612" customWidth="1"/>
    <col min="2312" max="2555" width="8.88671875" style="612"/>
    <col min="2556" max="2556" width="15.88671875" style="612" customWidth="1"/>
    <col min="2557" max="2557" width="2.109375" style="612" customWidth="1"/>
    <col min="2558" max="2558" width="7.5546875" style="612" customWidth="1"/>
    <col min="2559" max="2559" width="12.109375" style="612" customWidth="1"/>
    <col min="2560" max="2560" width="14.33203125" style="612" customWidth="1"/>
    <col min="2561" max="2561" width="3.44140625" style="612" customWidth="1"/>
    <col min="2562" max="2562" width="17.33203125" style="612" customWidth="1"/>
    <col min="2563" max="2563" width="2.109375" style="612" customWidth="1"/>
    <col min="2564" max="2564" width="7.5546875" style="612" customWidth="1"/>
    <col min="2565" max="2565" width="12.109375" style="612" customWidth="1"/>
    <col min="2566" max="2566" width="14.33203125" style="612" customWidth="1"/>
    <col min="2567" max="2567" width="42.5546875" style="612" customWidth="1"/>
    <col min="2568" max="2811" width="8.88671875" style="612"/>
    <col min="2812" max="2812" width="15.88671875" style="612" customWidth="1"/>
    <col min="2813" max="2813" width="2.109375" style="612" customWidth="1"/>
    <col min="2814" max="2814" width="7.5546875" style="612" customWidth="1"/>
    <col min="2815" max="2815" width="12.109375" style="612" customWidth="1"/>
    <col min="2816" max="2816" width="14.33203125" style="612" customWidth="1"/>
    <col min="2817" max="2817" width="3.44140625" style="612" customWidth="1"/>
    <col min="2818" max="2818" width="17.33203125" style="612" customWidth="1"/>
    <col min="2819" max="2819" width="2.109375" style="612" customWidth="1"/>
    <col min="2820" max="2820" width="7.5546875" style="612" customWidth="1"/>
    <col min="2821" max="2821" width="12.109375" style="612" customWidth="1"/>
    <col min="2822" max="2822" width="14.33203125" style="612" customWidth="1"/>
    <col min="2823" max="2823" width="42.5546875" style="612" customWidth="1"/>
    <col min="2824" max="3067" width="8.88671875" style="612"/>
    <col min="3068" max="3068" width="15.88671875" style="612" customWidth="1"/>
    <col min="3069" max="3069" width="2.109375" style="612" customWidth="1"/>
    <col min="3070" max="3070" width="7.5546875" style="612" customWidth="1"/>
    <col min="3071" max="3071" width="12.109375" style="612" customWidth="1"/>
    <col min="3072" max="3072" width="14.33203125" style="612" customWidth="1"/>
    <col min="3073" max="3073" width="3.44140625" style="612" customWidth="1"/>
    <col min="3074" max="3074" width="17.33203125" style="612" customWidth="1"/>
    <col min="3075" max="3075" width="2.109375" style="612" customWidth="1"/>
    <col min="3076" max="3076" width="7.5546875" style="612" customWidth="1"/>
    <col min="3077" max="3077" width="12.109375" style="612" customWidth="1"/>
    <col min="3078" max="3078" width="14.33203125" style="612" customWidth="1"/>
    <col min="3079" max="3079" width="42.5546875" style="612" customWidth="1"/>
    <col min="3080" max="3323" width="8.88671875" style="612"/>
    <col min="3324" max="3324" width="15.88671875" style="612" customWidth="1"/>
    <col min="3325" max="3325" width="2.109375" style="612" customWidth="1"/>
    <col min="3326" max="3326" width="7.5546875" style="612" customWidth="1"/>
    <col min="3327" max="3327" width="12.109375" style="612" customWidth="1"/>
    <col min="3328" max="3328" width="14.33203125" style="612" customWidth="1"/>
    <col min="3329" max="3329" width="3.44140625" style="612" customWidth="1"/>
    <col min="3330" max="3330" width="17.33203125" style="612" customWidth="1"/>
    <col min="3331" max="3331" width="2.109375" style="612" customWidth="1"/>
    <col min="3332" max="3332" width="7.5546875" style="612" customWidth="1"/>
    <col min="3333" max="3333" width="12.109375" style="612" customWidth="1"/>
    <col min="3334" max="3334" width="14.33203125" style="612" customWidth="1"/>
    <col min="3335" max="3335" width="42.5546875" style="612" customWidth="1"/>
    <col min="3336" max="3579" width="8.88671875" style="612"/>
    <col min="3580" max="3580" width="15.88671875" style="612" customWidth="1"/>
    <col min="3581" max="3581" width="2.109375" style="612" customWidth="1"/>
    <col min="3582" max="3582" width="7.5546875" style="612" customWidth="1"/>
    <col min="3583" max="3583" width="12.109375" style="612" customWidth="1"/>
    <col min="3584" max="3584" width="14.33203125" style="612" customWidth="1"/>
    <col min="3585" max="3585" width="3.44140625" style="612" customWidth="1"/>
    <col min="3586" max="3586" width="17.33203125" style="612" customWidth="1"/>
    <col min="3587" max="3587" width="2.109375" style="612" customWidth="1"/>
    <col min="3588" max="3588" width="7.5546875" style="612" customWidth="1"/>
    <col min="3589" max="3589" width="12.109375" style="612" customWidth="1"/>
    <col min="3590" max="3590" width="14.33203125" style="612" customWidth="1"/>
    <col min="3591" max="3591" width="42.5546875" style="612" customWidth="1"/>
    <col min="3592" max="3835" width="8.88671875" style="612"/>
    <col min="3836" max="3836" width="15.88671875" style="612" customWidth="1"/>
    <col min="3837" max="3837" width="2.109375" style="612" customWidth="1"/>
    <col min="3838" max="3838" width="7.5546875" style="612" customWidth="1"/>
    <col min="3839" max="3839" width="12.109375" style="612" customWidth="1"/>
    <col min="3840" max="3840" width="14.33203125" style="612" customWidth="1"/>
    <col min="3841" max="3841" width="3.44140625" style="612" customWidth="1"/>
    <col min="3842" max="3842" width="17.33203125" style="612" customWidth="1"/>
    <col min="3843" max="3843" width="2.109375" style="612" customWidth="1"/>
    <col min="3844" max="3844" width="7.5546875" style="612" customWidth="1"/>
    <col min="3845" max="3845" width="12.109375" style="612" customWidth="1"/>
    <col min="3846" max="3846" width="14.33203125" style="612" customWidth="1"/>
    <col min="3847" max="3847" width="42.5546875" style="612" customWidth="1"/>
    <col min="3848" max="4091" width="8.88671875" style="612"/>
    <col min="4092" max="4092" width="15.88671875" style="612" customWidth="1"/>
    <col min="4093" max="4093" width="2.109375" style="612" customWidth="1"/>
    <col min="4094" max="4094" width="7.5546875" style="612" customWidth="1"/>
    <col min="4095" max="4095" width="12.109375" style="612" customWidth="1"/>
    <col min="4096" max="4096" width="14.33203125" style="612" customWidth="1"/>
    <col min="4097" max="4097" width="3.44140625" style="612" customWidth="1"/>
    <col min="4098" max="4098" width="17.33203125" style="612" customWidth="1"/>
    <col min="4099" max="4099" width="2.109375" style="612" customWidth="1"/>
    <col min="4100" max="4100" width="7.5546875" style="612" customWidth="1"/>
    <col min="4101" max="4101" width="12.109375" style="612" customWidth="1"/>
    <col min="4102" max="4102" width="14.33203125" style="612" customWidth="1"/>
    <col min="4103" max="4103" width="42.5546875" style="612" customWidth="1"/>
    <col min="4104" max="4347" width="8.88671875" style="612"/>
    <col min="4348" max="4348" width="15.88671875" style="612" customWidth="1"/>
    <col min="4349" max="4349" width="2.109375" style="612" customWidth="1"/>
    <col min="4350" max="4350" width="7.5546875" style="612" customWidth="1"/>
    <col min="4351" max="4351" width="12.109375" style="612" customWidth="1"/>
    <col min="4352" max="4352" width="14.33203125" style="612" customWidth="1"/>
    <col min="4353" max="4353" width="3.44140625" style="612" customWidth="1"/>
    <col min="4354" max="4354" width="17.33203125" style="612" customWidth="1"/>
    <col min="4355" max="4355" width="2.109375" style="612" customWidth="1"/>
    <col min="4356" max="4356" width="7.5546875" style="612" customWidth="1"/>
    <col min="4357" max="4357" width="12.109375" style="612" customWidth="1"/>
    <col min="4358" max="4358" width="14.33203125" style="612" customWidth="1"/>
    <col min="4359" max="4359" width="42.5546875" style="612" customWidth="1"/>
    <col min="4360" max="4603" width="8.88671875" style="612"/>
    <col min="4604" max="4604" width="15.88671875" style="612" customWidth="1"/>
    <col min="4605" max="4605" width="2.109375" style="612" customWidth="1"/>
    <col min="4606" max="4606" width="7.5546875" style="612" customWidth="1"/>
    <col min="4607" max="4607" width="12.109375" style="612" customWidth="1"/>
    <col min="4608" max="4608" width="14.33203125" style="612" customWidth="1"/>
    <col min="4609" max="4609" width="3.44140625" style="612" customWidth="1"/>
    <col min="4610" max="4610" width="17.33203125" style="612" customWidth="1"/>
    <col min="4611" max="4611" width="2.109375" style="612" customWidth="1"/>
    <col min="4612" max="4612" width="7.5546875" style="612" customWidth="1"/>
    <col min="4613" max="4613" width="12.109375" style="612" customWidth="1"/>
    <col min="4614" max="4614" width="14.33203125" style="612" customWidth="1"/>
    <col min="4615" max="4615" width="42.5546875" style="612" customWidth="1"/>
    <col min="4616" max="4859" width="8.88671875" style="612"/>
    <col min="4860" max="4860" width="15.88671875" style="612" customWidth="1"/>
    <col min="4861" max="4861" width="2.109375" style="612" customWidth="1"/>
    <col min="4862" max="4862" width="7.5546875" style="612" customWidth="1"/>
    <col min="4863" max="4863" width="12.109375" style="612" customWidth="1"/>
    <col min="4864" max="4864" width="14.33203125" style="612" customWidth="1"/>
    <col min="4865" max="4865" width="3.44140625" style="612" customWidth="1"/>
    <col min="4866" max="4866" width="17.33203125" style="612" customWidth="1"/>
    <col min="4867" max="4867" width="2.109375" style="612" customWidth="1"/>
    <col min="4868" max="4868" width="7.5546875" style="612" customWidth="1"/>
    <col min="4869" max="4869" width="12.109375" style="612" customWidth="1"/>
    <col min="4870" max="4870" width="14.33203125" style="612" customWidth="1"/>
    <col min="4871" max="4871" width="42.5546875" style="612" customWidth="1"/>
    <col min="4872" max="5115" width="8.88671875" style="612"/>
    <col min="5116" max="5116" width="15.88671875" style="612" customWidth="1"/>
    <col min="5117" max="5117" width="2.109375" style="612" customWidth="1"/>
    <col min="5118" max="5118" width="7.5546875" style="612" customWidth="1"/>
    <col min="5119" max="5119" width="12.109375" style="612" customWidth="1"/>
    <col min="5120" max="5120" width="14.33203125" style="612" customWidth="1"/>
    <col min="5121" max="5121" width="3.44140625" style="612" customWidth="1"/>
    <col min="5122" max="5122" width="17.33203125" style="612" customWidth="1"/>
    <col min="5123" max="5123" width="2.109375" style="612" customWidth="1"/>
    <col min="5124" max="5124" width="7.5546875" style="612" customWidth="1"/>
    <col min="5125" max="5125" width="12.109375" style="612" customWidth="1"/>
    <col min="5126" max="5126" width="14.33203125" style="612" customWidth="1"/>
    <col min="5127" max="5127" width="42.5546875" style="612" customWidth="1"/>
    <col min="5128" max="5371" width="8.88671875" style="612"/>
    <col min="5372" max="5372" width="15.88671875" style="612" customWidth="1"/>
    <col min="5373" max="5373" width="2.109375" style="612" customWidth="1"/>
    <col min="5374" max="5374" width="7.5546875" style="612" customWidth="1"/>
    <col min="5375" max="5375" width="12.109375" style="612" customWidth="1"/>
    <col min="5376" max="5376" width="14.33203125" style="612" customWidth="1"/>
    <col min="5377" max="5377" width="3.44140625" style="612" customWidth="1"/>
    <col min="5378" max="5378" width="17.33203125" style="612" customWidth="1"/>
    <col min="5379" max="5379" width="2.109375" style="612" customWidth="1"/>
    <col min="5380" max="5380" width="7.5546875" style="612" customWidth="1"/>
    <col min="5381" max="5381" width="12.109375" style="612" customWidth="1"/>
    <col min="5382" max="5382" width="14.33203125" style="612" customWidth="1"/>
    <col min="5383" max="5383" width="42.5546875" style="612" customWidth="1"/>
    <col min="5384" max="5627" width="8.88671875" style="612"/>
    <col min="5628" max="5628" width="15.88671875" style="612" customWidth="1"/>
    <col min="5629" max="5629" width="2.109375" style="612" customWidth="1"/>
    <col min="5630" max="5630" width="7.5546875" style="612" customWidth="1"/>
    <col min="5631" max="5631" width="12.109375" style="612" customWidth="1"/>
    <col min="5632" max="5632" width="14.33203125" style="612" customWidth="1"/>
    <col min="5633" max="5633" width="3.44140625" style="612" customWidth="1"/>
    <col min="5634" max="5634" width="17.33203125" style="612" customWidth="1"/>
    <col min="5635" max="5635" width="2.109375" style="612" customWidth="1"/>
    <col min="5636" max="5636" width="7.5546875" style="612" customWidth="1"/>
    <col min="5637" max="5637" width="12.109375" style="612" customWidth="1"/>
    <col min="5638" max="5638" width="14.33203125" style="612" customWidth="1"/>
    <col min="5639" max="5639" width="42.5546875" style="612" customWidth="1"/>
    <col min="5640" max="5883" width="8.88671875" style="612"/>
    <col min="5884" max="5884" width="15.88671875" style="612" customWidth="1"/>
    <col min="5885" max="5885" width="2.109375" style="612" customWidth="1"/>
    <col min="5886" max="5886" width="7.5546875" style="612" customWidth="1"/>
    <col min="5887" max="5887" width="12.109375" style="612" customWidth="1"/>
    <col min="5888" max="5888" width="14.33203125" style="612" customWidth="1"/>
    <col min="5889" max="5889" width="3.44140625" style="612" customWidth="1"/>
    <col min="5890" max="5890" width="17.33203125" style="612" customWidth="1"/>
    <col min="5891" max="5891" width="2.109375" style="612" customWidth="1"/>
    <col min="5892" max="5892" width="7.5546875" style="612" customWidth="1"/>
    <col min="5893" max="5893" width="12.109375" style="612" customWidth="1"/>
    <col min="5894" max="5894" width="14.33203125" style="612" customWidth="1"/>
    <col min="5895" max="5895" width="42.5546875" style="612" customWidth="1"/>
    <col min="5896" max="6139" width="8.88671875" style="612"/>
    <col min="6140" max="6140" width="15.88671875" style="612" customWidth="1"/>
    <col min="6141" max="6141" width="2.109375" style="612" customWidth="1"/>
    <col min="6142" max="6142" width="7.5546875" style="612" customWidth="1"/>
    <col min="6143" max="6143" width="12.109375" style="612" customWidth="1"/>
    <col min="6144" max="6144" width="14.33203125" style="612" customWidth="1"/>
    <col min="6145" max="6145" width="3.44140625" style="612" customWidth="1"/>
    <col min="6146" max="6146" width="17.33203125" style="612" customWidth="1"/>
    <col min="6147" max="6147" width="2.109375" style="612" customWidth="1"/>
    <col min="6148" max="6148" width="7.5546875" style="612" customWidth="1"/>
    <col min="6149" max="6149" width="12.109375" style="612" customWidth="1"/>
    <col min="6150" max="6150" width="14.33203125" style="612" customWidth="1"/>
    <col min="6151" max="6151" width="42.5546875" style="612" customWidth="1"/>
    <col min="6152" max="6395" width="8.88671875" style="612"/>
    <col min="6396" max="6396" width="15.88671875" style="612" customWidth="1"/>
    <col min="6397" max="6397" width="2.109375" style="612" customWidth="1"/>
    <col min="6398" max="6398" width="7.5546875" style="612" customWidth="1"/>
    <col min="6399" max="6399" width="12.109375" style="612" customWidth="1"/>
    <col min="6400" max="6400" width="14.33203125" style="612" customWidth="1"/>
    <col min="6401" max="6401" width="3.44140625" style="612" customWidth="1"/>
    <col min="6402" max="6402" width="17.33203125" style="612" customWidth="1"/>
    <col min="6403" max="6403" width="2.109375" style="612" customWidth="1"/>
    <col min="6404" max="6404" width="7.5546875" style="612" customWidth="1"/>
    <col min="6405" max="6405" width="12.109375" style="612" customWidth="1"/>
    <col min="6406" max="6406" width="14.33203125" style="612" customWidth="1"/>
    <col min="6407" max="6407" width="42.5546875" style="612" customWidth="1"/>
    <col min="6408" max="6651" width="8.88671875" style="612"/>
    <col min="6652" max="6652" width="15.88671875" style="612" customWidth="1"/>
    <col min="6653" max="6653" width="2.109375" style="612" customWidth="1"/>
    <col min="6654" max="6654" width="7.5546875" style="612" customWidth="1"/>
    <col min="6655" max="6655" width="12.109375" style="612" customWidth="1"/>
    <col min="6656" max="6656" width="14.33203125" style="612" customWidth="1"/>
    <col min="6657" max="6657" width="3.44140625" style="612" customWidth="1"/>
    <col min="6658" max="6658" width="17.33203125" style="612" customWidth="1"/>
    <col min="6659" max="6659" width="2.109375" style="612" customWidth="1"/>
    <col min="6660" max="6660" width="7.5546875" style="612" customWidth="1"/>
    <col min="6661" max="6661" width="12.109375" style="612" customWidth="1"/>
    <col min="6662" max="6662" width="14.33203125" style="612" customWidth="1"/>
    <col min="6663" max="6663" width="42.5546875" style="612" customWidth="1"/>
    <col min="6664" max="6907" width="8.88671875" style="612"/>
    <col min="6908" max="6908" width="15.88671875" style="612" customWidth="1"/>
    <col min="6909" max="6909" width="2.109375" style="612" customWidth="1"/>
    <col min="6910" max="6910" width="7.5546875" style="612" customWidth="1"/>
    <col min="6911" max="6911" width="12.109375" style="612" customWidth="1"/>
    <col min="6912" max="6912" width="14.33203125" style="612" customWidth="1"/>
    <col min="6913" max="6913" width="3.44140625" style="612" customWidth="1"/>
    <col min="6914" max="6914" width="17.33203125" style="612" customWidth="1"/>
    <col min="6915" max="6915" width="2.109375" style="612" customWidth="1"/>
    <col min="6916" max="6916" width="7.5546875" style="612" customWidth="1"/>
    <col min="6917" max="6917" width="12.109375" style="612" customWidth="1"/>
    <col min="6918" max="6918" width="14.33203125" style="612" customWidth="1"/>
    <col min="6919" max="6919" width="42.5546875" style="612" customWidth="1"/>
    <col min="6920" max="7163" width="8.88671875" style="612"/>
    <col min="7164" max="7164" width="15.88671875" style="612" customWidth="1"/>
    <col min="7165" max="7165" width="2.109375" style="612" customWidth="1"/>
    <col min="7166" max="7166" width="7.5546875" style="612" customWidth="1"/>
    <col min="7167" max="7167" width="12.109375" style="612" customWidth="1"/>
    <col min="7168" max="7168" width="14.33203125" style="612" customWidth="1"/>
    <col min="7169" max="7169" width="3.44140625" style="612" customWidth="1"/>
    <col min="7170" max="7170" width="17.33203125" style="612" customWidth="1"/>
    <col min="7171" max="7171" width="2.109375" style="612" customWidth="1"/>
    <col min="7172" max="7172" width="7.5546875" style="612" customWidth="1"/>
    <col min="7173" max="7173" width="12.109375" style="612" customWidth="1"/>
    <col min="7174" max="7174" width="14.33203125" style="612" customWidth="1"/>
    <col min="7175" max="7175" width="42.5546875" style="612" customWidth="1"/>
    <col min="7176" max="7419" width="8.88671875" style="612"/>
    <col min="7420" max="7420" width="15.88671875" style="612" customWidth="1"/>
    <col min="7421" max="7421" width="2.109375" style="612" customWidth="1"/>
    <col min="7422" max="7422" width="7.5546875" style="612" customWidth="1"/>
    <col min="7423" max="7423" width="12.109375" style="612" customWidth="1"/>
    <col min="7424" max="7424" width="14.33203125" style="612" customWidth="1"/>
    <col min="7425" max="7425" width="3.44140625" style="612" customWidth="1"/>
    <col min="7426" max="7426" width="17.33203125" style="612" customWidth="1"/>
    <col min="7427" max="7427" width="2.109375" style="612" customWidth="1"/>
    <col min="7428" max="7428" width="7.5546875" style="612" customWidth="1"/>
    <col min="7429" max="7429" width="12.109375" style="612" customWidth="1"/>
    <col min="7430" max="7430" width="14.33203125" style="612" customWidth="1"/>
    <col min="7431" max="7431" width="42.5546875" style="612" customWidth="1"/>
    <col min="7432" max="7675" width="8.88671875" style="612"/>
    <col min="7676" max="7676" width="15.88671875" style="612" customWidth="1"/>
    <col min="7677" max="7677" width="2.109375" style="612" customWidth="1"/>
    <col min="7678" max="7678" width="7.5546875" style="612" customWidth="1"/>
    <col min="7679" max="7679" width="12.109375" style="612" customWidth="1"/>
    <col min="7680" max="7680" width="14.33203125" style="612" customWidth="1"/>
    <col min="7681" max="7681" width="3.44140625" style="612" customWidth="1"/>
    <col min="7682" max="7682" width="17.33203125" style="612" customWidth="1"/>
    <col min="7683" max="7683" width="2.109375" style="612" customWidth="1"/>
    <col min="7684" max="7684" width="7.5546875" style="612" customWidth="1"/>
    <col min="7685" max="7685" width="12.109375" style="612" customWidth="1"/>
    <col min="7686" max="7686" width="14.33203125" style="612" customWidth="1"/>
    <col min="7687" max="7687" width="42.5546875" style="612" customWidth="1"/>
    <col min="7688" max="7931" width="8.88671875" style="612"/>
    <col min="7932" max="7932" width="15.88671875" style="612" customWidth="1"/>
    <col min="7933" max="7933" width="2.109375" style="612" customWidth="1"/>
    <col min="7934" max="7934" width="7.5546875" style="612" customWidth="1"/>
    <col min="7935" max="7935" width="12.109375" style="612" customWidth="1"/>
    <col min="7936" max="7936" width="14.33203125" style="612" customWidth="1"/>
    <col min="7937" max="7937" width="3.44140625" style="612" customWidth="1"/>
    <col min="7938" max="7938" width="17.33203125" style="612" customWidth="1"/>
    <col min="7939" max="7939" width="2.109375" style="612" customWidth="1"/>
    <col min="7940" max="7940" width="7.5546875" style="612" customWidth="1"/>
    <col min="7941" max="7941" width="12.109375" style="612" customWidth="1"/>
    <col min="7942" max="7942" width="14.33203125" style="612" customWidth="1"/>
    <col min="7943" max="7943" width="42.5546875" style="612" customWidth="1"/>
    <col min="7944" max="8187" width="8.88671875" style="612"/>
    <col min="8188" max="8188" width="15.88671875" style="612" customWidth="1"/>
    <col min="8189" max="8189" width="2.109375" style="612" customWidth="1"/>
    <col min="8190" max="8190" width="7.5546875" style="612" customWidth="1"/>
    <col min="8191" max="8191" width="12.109375" style="612" customWidth="1"/>
    <col min="8192" max="8192" width="14.33203125" style="612" customWidth="1"/>
    <col min="8193" max="8193" width="3.44140625" style="612" customWidth="1"/>
    <col min="8194" max="8194" width="17.33203125" style="612" customWidth="1"/>
    <col min="8195" max="8195" width="2.109375" style="612" customWidth="1"/>
    <col min="8196" max="8196" width="7.5546875" style="612" customWidth="1"/>
    <col min="8197" max="8197" width="12.109375" style="612" customWidth="1"/>
    <col min="8198" max="8198" width="14.33203125" style="612" customWidth="1"/>
    <col min="8199" max="8199" width="42.5546875" style="612" customWidth="1"/>
    <col min="8200" max="8443" width="8.88671875" style="612"/>
    <col min="8444" max="8444" width="15.88671875" style="612" customWidth="1"/>
    <col min="8445" max="8445" width="2.109375" style="612" customWidth="1"/>
    <col min="8446" max="8446" width="7.5546875" style="612" customWidth="1"/>
    <col min="8447" max="8447" width="12.109375" style="612" customWidth="1"/>
    <col min="8448" max="8448" width="14.33203125" style="612" customWidth="1"/>
    <col min="8449" max="8449" width="3.44140625" style="612" customWidth="1"/>
    <col min="8450" max="8450" width="17.33203125" style="612" customWidth="1"/>
    <col min="8451" max="8451" width="2.109375" style="612" customWidth="1"/>
    <col min="8452" max="8452" width="7.5546875" style="612" customWidth="1"/>
    <col min="8453" max="8453" width="12.109375" style="612" customWidth="1"/>
    <col min="8454" max="8454" width="14.33203125" style="612" customWidth="1"/>
    <col min="8455" max="8455" width="42.5546875" style="612" customWidth="1"/>
    <col min="8456" max="8699" width="8.88671875" style="612"/>
    <col min="8700" max="8700" width="15.88671875" style="612" customWidth="1"/>
    <col min="8701" max="8701" width="2.109375" style="612" customWidth="1"/>
    <col min="8702" max="8702" width="7.5546875" style="612" customWidth="1"/>
    <col min="8703" max="8703" width="12.109375" style="612" customWidth="1"/>
    <col min="8704" max="8704" width="14.33203125" style="612" customWidth="1"/>
    <col min="8705" max="8705" width="3.44140625" style="612" customWidth="1"/>
    <col min="8706" max="8706" width="17.33203125" style="612" customWidth="1"/>
    <col min="8707" max="8707" width="2.109375" style="612" customWidth="1"/>
    <col min="8708" max="8708" width="7.5546875" style="612" customWidth="1"/>
    <col min="8709" max="8709" width="12.109375" style="612" customWidth="1"/>
    <col min="8710" max="8710" width="14.33203125" style="612" customWidth="1"/>
    <col min="8711" max="8711" width="42.5546875" style="612" customWidth="1"/>
    <col min="8712" max="8955" width="8.88671875" style="612"/>
    <col min="8956" max="8956" width="15.88671875" style="612" customWidth="1"/>
    <col min="8957" max="8957" width="2.109375" style="612" customWidth="1"/>
    <col min="8958" max="8958" width="7.5546875" style="612" customWidth="1"/>
    <col min="8959" max="8959" width="12.109375" style="612" customWidth="1"/>
    <col min="8960" max="8960" width="14.33203125" style="612" customWidth="1"/>
    <col min="8961" max="8961" width="3.44140625" style="612" customWidth="1"/>
    <col min="8962" max="8962" width="17.33203125" style="612" customWidth="1"/>
    <col min="8963" max="8963" width="2.109375" style="612" customWidth="1"/>
    <col min="8964" max="8964" width="7.5546875" style="612" customWidth="1"/>
    <col min="8965" max="8965" width="12.109375" style="612" customWidth="1"/>
    <col min="8966" max="8966" width="14.33203125" style="612" customWidth="1"/>
    <col min="8967" max="8967" width="42.5546875" style="612" customWidth="1"/>
    <col min="8968" max="9211" width="8.88671875" style="612"/>
    <col min="9212" max="9212" width="15.88671875" style="612" customWidth="1"/>
    <col min="9213" max="9213" width="2.109375" style="612" customWidth="1"/>
    <col min="9214" max="9214" width="7.5546875" style="612" customWidth="1"/>
    <col min="9215" max="9215" width="12.109375" style="612" customWidth="1"/>
    <col min="9216" max="9216" width="14.33203125" style="612" customWidth="1"/>
    <col min="9217" max="9217" width="3.44140625" style="612" customWidth="1"/>
    <col min="9218" max="9218" width="17.33203125" style="612" customWidth="1"/>
    <col min="9219" max="9219" width="2.109375" style="612" customWidth="1"/>
    <col min="9220" max="9220" width="7.5546875" style="612" customWidth="1"/>
    <col min="9221" max="9221" width="12.109375" style="612" customWidth="1"/>
    <col min="9222" max="9222" width="14.33203125" style="612" customWidth="1"/>
    <col min="9223" max="9223" width="42.5546875" style="612" customWidth="1"/>
    <col min="9224" max="9467" width="8.88671875" style="612"/>
    <col min="9468" max="9468" width="15.88671875" style="612" customWidth="1"/>
    <col min="9469" max="9469" width="2.109375" style="612" customWidth="1"/>
    <col min="9470" max="9470" width="7.5546875" style="612" customWidth="1"/>
    <col min="9471" max="9471" width="12.109375" style="612" customWidth="1"/>
    <col min="9472" max="9472" width="14.33203125" style="612" customWidth="1"/>
    <col min="9473" max="9473" width="3.44140625" style="612" customWidth="1"/>
    <col min="9474" max="9474" width="17.33203125" style="612" customWidth="1"/>
    <col min="9475" max="9475" width="2.109375" style="612" customWidth="1"/>
    <col min="9476" max="9476" width="7.5546875" style="612" customWidth="1"/>
    <col min="9477" max="9477" width="12.109375" style="612" customWidth="1"/>
    <col min="9478" max="9478" width="14.33203125" style="612" customWidth="1"/>
    <col min="9479" max="9479" width="42.5546875" style="612" customWidth="1"/>
    <col min="9480" max="9723" width="8.88671875" style="612"/>
    <col min="9724" max="9724" width="15.88671875" style="612" customWidth="1"/>
    <col min="9725" max="9725" width="2.109375" style="612" customWidth="1"/>
    <col min="9726" max="9726" width="7.5546875" style="612" customWidth="1"/>
    <col min="9727" max="9727" width="12.109375" style="612" customWidth="1"/>
    <col min="9728" max="9728" width="14.33203125" style="612" customWidth="1"/>
    <col min="9729" max="9729" width="3.44140625" style="612" customWidth="1"/>
    <col min="9730" max="9730" width="17.33203125" style="612" customWidth="1"/>
    <col min="9731" max="9731" width="2.109375" style="612" customWidth="1"/>
    <col min="9732" max="9732" width="7.5546875" style="612" customWidth="1"/>
    <col min="9733" max="9733" width="12.109375" style="612" customWidth="1"/>
    <col min="9734" max="9734" width="14.33203125" style="612" customWidth="1"/>
    <col min="9735" max="9735" width="42.5546875" style="612" customWidth="1"/>
    <col min="9736" max="9979" width="8.88671875" style="612"/>
    <col min="9980" max="9980" width="15.88671875" style="612" customWidth="1"/>
    <col min="9981" max="9981" width="2.109375" style="612" customWidth="1"/>
    <col min="9982" max="9982" width="7.5546875" style="612" customWidth="1"/>
    <col min="9983" max="9983" width="12.109375" style="612" customWidth="1"/>
    <col min="9984" max="9984" width="14.33203125" style="612" customWidth="1"/>
    <col min="9985" max="9985" width="3.44140625" style="612" customWidth="1"/>
    <col min="9986" max="9986" width="17.33203125" style="612" customWidth="1"/>
    <col min="9987" max="9987" width="2.109375" style="612" customWidth="1"/>
    <col min="9988" max="9988" width="7.5546875" style="612" customWidth="1"/>
    <col min="9989" max="9989" width="12.109375" style="612" customWidth="1"/>
    <col min="9990" max="9990" width="14.33203125" style="612" customWidth="1"/>
    <col min="9991" max="9991" width="42.5546875" style="612" customWidth="1"/>
    <col min="9992" max="10235" width="8.88671875" style="612"/>
    <col min="10236" max="10236" width="15.88671875" style="612" customWidth="1"/>
    <col min="10237" max="10237" width="2.109375" style="612" customWidth="1"/>
    <col min="10238" max="10238" width="7.5546875" style="612" customWidth="1"/>
    <col min="10239" max="10239" width="12.109375" style="612" customWidth="1"/>
    <col min="10240" max="10240" width="14.33203125" style="612" customWidth="1"/>
    <col min="10241" max="10241" width="3.44140625" style="612" customWidth="1"/>
    <col min="10242" max="10242" width="17.33203125" style="612" customWidth="1"/>
    <col min="10243" max="10243" width="2.109375" style="612" customWidth="1"/>
    <col min="10244" max="10244" width="7.5546875" style="612" customWidth="1"/>
    <col min="10245" max="10245" width="12.109375" style="612" customWidth="1"/>
    <col min="10246" max="10246" width="14.33203125" style="612" customWidth="1"/>
    <col min="10247" max="10247" width="42.5546875" style="612" customWidth="1"/>
    <col min="10248" max="10491" width="8.88671875" style="612"/>
    <col min="10492" max="10492" width="15.88671875" style="612" customWidth="1"/>
    <col min="10493" max="10493" width="2.109375" style="612" customWidth="1"/>
    <col min="10494" max="10494" width="7.5546875" style="612" customWidth="1"/>
    <col min="10495" max="10495" width="12.109375" style="612" customWidth="1"/>
    <col min="10496" max="10496" width="14.33203125" style="612" customWidth="1"/>
    <col min="10497" max="10497" width="3.44140625" style="612" customWidth="1"/>
    <col min="10498" max="10498" width="17.33203125" style="612" customWidth="1"/>
    <col min="10499" max="10499" width="2.109375" style="612" customWidth="1"/>
    <col min="10500" max="10500" width="7.5546875" style="612" customWidth="1"/>
    <col min="10501" max="10501" width="12.109375" style="612" customWidth="1"/>
    <col min="10502" max="10502" width="14.33203125" style="612" customWidth="1"/>
    <col min="10503" max="10503" width="42.5546875" style="612" customWidth="1"/>
    <col min="10504" max="10747" width="8.88671875" style="612"/>
    <col min="10748" max="10748" width="15.88671875" style="612" customWidth="1"/>
    <col min="10749" max="10749" width="2.109375" style="612" customWidth="1"/>
    <col min="10750" max="10750" width="7.5546875" style="612" customWidth="1"/>
    <col min="10751" max="10751" width="12.109375" style="612" customWidth="1"/>
    <col min="10752" max="10752" width="14.33203125" style="612" customWidth="1"/>
    <col min="10753" max="10753" width="3.44140625" style="612" customWidth="1"/>
    <col min="10754" max="10754" width="17.33203125" style="612" customWidth="1"/>
    <col min="10755" max="10755" width="2.109375" style="612" customWidth="1"/>
    <col min="10756" max="10756" width="7.5546875" style="612" customWidth="1"/>
    <col min="10757" max="10757" width="12.109375" style="612" customWidth="1"/>
    <col min="10758" max="10758" width="14.33203125" style="612" customWidth="1"/>
    <col min="10759" max="10759" width="42.5546875" style="612" customWidth="1"/>
    <col min="10760" max="11003" width="8.88671875" style="612"/>
    <col min="11004" max="11004" width="15.88671875" style="612" customWidth="1"/>
    <col min="11005" max="11005" width="2.109375" style="612" customWidth="1"/>
    <col min="11006" max="11006" width="7.5546875" style="612" customWidth="1"/>
    <col min="11007" max="11007" width="12.109375" style="612" customWidth="1"/>
    <col min="11008" max="11008" width="14.33203125" style="612" customWidth="1"/>
    <col min="11009" max="11009" width="3.44140625" style="612" customWidth="1"/>
    <col min="11010" max="11010" width="17.33203125" style="612" customWidth="1"/>
    <col min="11011" max="11011" width="2.109375" style="612" customWidth="1"/>
    <col min="11012" max="11012" width="7.5546875" style="612" customWidth="1"/>
    <col min="11013" max="11013" width="12.109375" style="612" customWidth="1"/>
    <col min="11014" max="11014" width="14.33203125" style="612" customWidth="1"/>
    <col min="11015" max="11015" width="42.5546875" style="612" customWidth="1"/>
    <col min="11016" max="11259" width="8.88671875" style="612"/>
    <col min="11260" max="11260" width="15.88671875" style="612" customWidth="1"/>
    <col min="11261" max="11261" width="2.109375" style="612" customWidth="1"/>
    <col min="11262" max="11262" width="7.5546875" style="612" customWidth="1"/>
    <col min="11263" max="11263" width="12.109375" style="612" customWidth="1"/>
    <col min="11264" max="11264" width="14.33203125" style="612" customWidth="1"/>
    <col min="11265" max="11265" width="3.44140625" style="612" customWidth="1"/>
    <col min="11266" max="11266" width="17.33203125" style="612" customWidth="1"/>
    <col min="11267" max="11267" width="2.109375" style="612" customWidth="1"/>
    <col min="11268" max="11268" width="7.5546875" style="612" customWidth="1"/>
    <col min="11269" max="11269" width="12.109375" style="612" customWidth="1"/>
    <col min="11270" max="11270" width="14.33203125" style="612" customWidth="1"/>
    <col min="11271" max="11271" width="42.5546875" style="612" customWidth="1"/>
    <col min="11272" max="11515" width="8.88671875" style="612"/>
    <col min="11516" max="11516" width="15.88671875" style="612" customWidth="1"/>
    <col min="11517" max="11517" width="2.109375" style="612" customWidth="1"/>
    <col min="11518" max="11518" width="7.5546875" style="612" customWidth="1"/>
    <col min="11519" max="11519" width="12.109375" style="612" customWidth="1"/>
    <col min="11520" max="11520" width="14.33203125" style="612" customWidth="1"/>
    <col min="11521" max="11521" width="3.44140625" style="612" customWidth="1"/>
    <col min="11522" max="11522" width="17.33203125" style="612" customWidth="1"/>
    <col min="11523" max="11523" width="2.109375" style="612" customWidth="1"/>
    <col min="11524" max="11524" width="7.5546875" style="612" customWidth="1"/>
    <col min="11525" max="11525" width="12.109375" style="612" customWidth="1"/>
    <col min="11526" max="11526" width="14.33203125" style="612" customWidth="1"/>
    <col min="11527" max="11527" width="42.5546875" style="612" customWidth="1"/>
    <col min="11528" max="11771" width="8.88671875" style="612"/>
    <col min="11772" max="11772" width="15.88671875" style="612" customWidth="1"/>
    <col min="11773" max="11773" width="2.109375" style="612" customWidth="1"/>
    <col min="11774" max="11774" width="7.5546875" style="612" customWidth="1"/>
    <col min="11775" max="11775" width="12.109375" style="612" customWidth="1"/>
    <col min="11776" max="11776" width="14.33203125" style="612" customWidth="1"/>
    <col min="11777" max="11777" width="3.44140625" style="612" customWidth="1"/>
    <col min="11778" max="11778" width="17.33203125" style="612" customWidth="1"/>
    <col min="11779" max="11779" width="2.109375" style="612" customWidth="1"/>
    <col min="11780" max="11780" width="7.5546875" style="612" customWidth="1"/>
    <col min="11781" max="11781" width="12.109375" style="612" customWidth="1"/>
    <col min="11782" max="11782" width="14.33203125" style="612" customWidth="1"/>
    <col min="11783" max="11783" width="42.5546875" style="612" customWidth="1"/>
    <col min="11784" max="12027" width="8.88671875" style="612"/>
    <col min="12028" max="12028" width="15.88671875" style="612" customWidth="1"/>
    <col min="12029" max="12029" width="2.109375" style="612" customWidth="1"/>
    <col min="12030" max="12030" width="7.5546875" style="612" customWidth="1"/>
    <col min="12031" max="12031" width="12.109375" style="612" customWidth="1"/>
    <col min="12032" max="12032" width="14.33203125" style="612" customWidth="1"/>
    <col min="12033" max="12033" width="3.44140625" style="612" customWidth="1"/>
    <col min="12034" max="12034" width="17.33203125" style="612" customWidth="1"/>
    <col min="12035" max="12035" width="2.109375" style="612" customWidth="1"/>
    <col min="12036" max="12036" width="7.5546875" style="612" customWidth="1"/>
    <col min="12037" max="12037" width="12.109375" style="612" customWidth="1"/>
    <col min="12038" max="12038" width="14.33203125" style="612" customWidth="1"/>
    <col min="12039" max="12039" width="42.5546875" style="612" customWidth="1"/>
    <col min="12040" max="12283" width="8.88671875" style="612"/>
    <col min="12284" max="12284" width="15.88671875" style="612" customWidth="1"/>
    <col min="12285" max="12285" width="2.109375" style="612" customWidth="1"/>
    <col min="12286" max="12286" width="7.5546875" style="612" customWidth="1"/>
    <col min="12287" max="12287" width="12.109375" style="612" customWidth="1"/>
    <col min="12288" max="12288" width="14.33203125" style="612" customWidth="1"/>
    <col min="12289" max="12289" width="3.44140625" style="612" customWidth="1"/>
    <col min="12290" max="12290" width="17.33203125" style="612" customWidth="1"/>
    <col min="12291" max="12291" width="2.109375" style="612" customWidth="1"/>
    <col min="12292" max="12292" width="7.5546875" style="612" customWidth="1"/>
    <col min="12293" max="12293" width="12.109375" style="612" customWidth="1"/>
    <col min="12294" max="12294" width="14.33203125" style="612" customWidth="1"/>
    <col min="12295" max="12295" width="42.5546875" style="612" customWidth="1"/>
    <col min="12296" max="12539" width="8.88671875" style="612"/>
    <col min="12540" max="12540" width="15.88671875" style="612" customWidth="1"/>
    <col min="12541" max="12541" width="2.109375" style="612" customWidth="1"/>
    <col min="12542" max="12542" width="7.5546875" style="612" customWidth="1"/>
    <col min="12543" max="12543" width="12.109375" style="612" customWidth="1"/>
    <col min="12544" max="12544" width="14.33203125" style="612" customWidth="1"/>
    <col min="12545" max="12545" width="3.44140625" style="612" customWidth="1"/>
    <col min="12546" max="12546" width="17.33203125" style="612" customWidth="1"/>
    <col min="12547" max="12547" width="2.109375" style="612" customWidth="1"/>
    <col min="12548" max="12548" width="7.5546875" style="612" customWidth="1"/>
    <col min="12549" max="12549" width="12.109375" style="612" customWidth="1"/>
    <col min="12550" max="12550" width="14.33203125" style="612" customWidth="1"/>
    <col min="12551" max="12551" width="42.5546875" style="612" customWidth="1"/>
    <col min="12552" max="12795" width="8.88671875" style="612"/>
    <col min="12796" max="12796" width="15.88671875" style="612" customWidth="1"/>
    <col min="12797" max="12797" width="2.109375" style="612" customWidth="1"/>
    <col min="12798" max="12798" width="7.5546875" style="612" customWidth="1"/>
    <col min="12799" max="12799" width="12.109375" style="612" customWidth="1"/>
    <col min="12800" max="12800" width="14.33203125" style="612" customWidth="1"/>
    <col min="12801" max="12801" width="3.44140625" style="612" customWidth="1"/>
    <col min="12802" max="12802" width="17.33203125" style="612" customWidth="1"/>
    <col min="12803" max="12803" width="2.109375" style="612" customWidth="1"/>
    <col min="12804" max="12804" width="7.5546875" style="612" customWidth="1"/>
    <col min="12805" max="12805" width="12.109375" style="612" customWidth="1"/>
    <col min="12806" max="12806" width="14.33203125" style="612" customWidth="1"/>
    <col min="12807" max="12807" width="42.5546875" style="612" customWidth="1"/>
    <col min="12808" max="13051" width="8.88671875" style="612"/>
    <col min="13052" max="13052" width="15.88671875" style="612" customWidth="1"/>
    <col min="13053" max="13053" width="2.109375" style="612" customWidth="1"/>
    <col min="13054" max="13054" width="7.5546875" style="612" customWidth="1"/>
    <col min="13055" max="13055" width="12.109375" style="612" customWidth="1"/>
    <col min="13056" max="13056" width="14.33203125" style="612" customWidth="1"/>
    <col min="13057" max="13057" width="3.44140625" style="612" customWidth="1"/>
    <col min="13058" max="13058" width="17.33203125" style="612" customWidth="1"/>
    <col min="13059" max="13059" width="2.109375" style="612" customWidth="1"/>
    <col min="13060" max="13060" width="7.5546875" style="612" customWidth="1"/>
    <col min="13061" max="13061" width="12.109375" style="612" customWidth="1"/>
    <col min="13062" max="13062" width="14.33203125" style="612" customWidth="1"/>
    <col min="13063" max="13063" width="42.5546875" style="612" customWidth="1"/>
    <col min="13064" max="13307" width="8.88671875" style="612"/>
    <col min="13308" max="13308" width="15.88671875" style="612" customWidth="1"/>
    <col min="13309" max="13309" width="2.109375" style="612" customWidth="1"/>
    <col min="13310" max="13310" width="7.5546875" style="612" customWidth="1"/>
    <col min="13311" max="13311" width="12.109375" style="612" customWidth="1"/>
    <col min="13312" max="13312" width="14.33203125" style="612" customWidth="1"/>
    <col min="13313" max="13313" width="3.44140625" style="612" customWidth="1"/>
    <col min="13314" max="13314" width="17.33203125" style="612" customWidth="1"/>
    <col min="13315" max="13315" width="2.109375" style="612" customWidth="1"/>
    <col min="13316" max="13316" width="7.5546875" style="612" customWidth="1"/>
    <col min="13317" max="13317" width="12.109375" style="612" customWidth="1"/>
    <col min="13318" max="13318" width="14.33203125" style="612" customWidth="1"/>
    <col min="13319" max="13319" width="42.5546875" style="612" customWidth="1"/>
    <col min="13320" max="13563" width="8.88671875" style="612"/>
    <col min="13564" max="13564" width="15.88671875" style="612" customWidth="1"/>
    <col min="13565" max="13565" width="2.109375" style="612" customWidth="1"/>
    <col min="13566" max="13566" width="7.5546875" style="612" customWidth="1"/>
    <col min="13567" max="13567" width="12.109375" style="612" customWidth="1"/>
    <col min="13568" max="13568" width="14.33203125" style="612" customWidth="1"/>
    <col min="13569" max="13569" width="3.44140625" style="612" customWidth="1"/>
    <col min="13570" max="13570" width="17.33203125" style="612" customWidth="1"/>
    <col min="13571" max="13571" width="2.109375" style="612" customWidth="1"/>
    <col min="13572" max="13572" width="7.5546875" style="612" customWidth="1"/>
    <col min="13573" max="13573" width="12.109375" style="612" customWidth="1"/>
    <col min="13574" max="13574" width="14.33203125" style="612" customWidth="1"/>
    <col min="13575" max="13575" width="42.5546875" style="612" customWidth="1"/>
    <col min="13576" max="13819" width="8.88671875" style="612"/>
    <col min="13820" max="13820" width="15.88671875" style="612" customWidth="1"/>
    <col min="13821" max="13821" width="2.109375" style="612" customWidth="1"/>
    <col min="13822" max="13822" width="7.5546875" style="612" customWidth="1"/>
    <col min="13823" max="13823" width="12.109375" style="612" customWidth="1"/>
    <col min="13824" max="13824" width="14.33203125" style="612" customWidth="1"/>
    <col min="13825" max="13825" width="3.44140625" style="612" customWidth="1"/>
    <col min="13826" max="13826" width="17.33203125" style="612" customWidth="1"/>
    <col min="13827" max="13827" width="2.109375" style="612" customWidth="1"/>
    <col min="13828" max="13828" width="7.5546875" style="612" customWidth="1"/>
    <col min="13829" max="13829" width="12.109375" style="612" customWidth="1"/>
    <col min="13830" max="13830" width="14.33203125" style="612" customWidth="1"/>
    <col min="13831" max="13831" width="42.5546875" style="612" customWidth="1"/>
    <col min="13832" max="14075" width="8.88671875" style="612"/>
    <col min="14076" max="14076" width="15.88671875" style="612" customWidth="1"/>
    <col min="14077" max="14077" width="2.109375" style="612" customWidth="1"/>
    <col min="14078" max="14078" width="7.5546875" style="612" customWidth="1"/>
    <col min="14079" max="14079" width="12.109375" style="612" customWidth="1"/>
    <col min="14080" max="14080" width="14.33203125" style="612" customWidth="1"/>
    <col min="14081" max="14081" width="3.44140625" style="612" customWidth="1"/>
    <col min="14082" max="14082" width="17.33203125" style="612" customWidth="1"/>
    <col min="14083" max="14083" width="2.109375" style="612" customWidth="1"/>
    <col min="14084" max="14084" width="7.5546875" style="612" customWidth="1"/>
    <col min="14085" max="14085" width="12.109375" style="612" customWidth="1"/>
    <col min="14086" max="14086" width="14.33203125" style="612" customWidth="1"/>
    <col min="14087" max="14087" width="42.5546875" style="612" customWidth="1"/>
    <col min="14088" max="14331" width="8.88671875" style="612"/>
    <col min="14332" max="14332" width="15.88671875" style="612" customWidth="1"/>
    <col min="14333" max="14333" width="2.109375" style="612" customWidth="1"/>
    <col min="14334" max="14334" width="7.5546875" style="612" customWidth="1"/>
    <col min="14335" max="14335" width="12.109375" style="612" customWidth="1"/>
    <col min="14336" max="14336" width="14.33203125" style="612" customWidth="1"/>
    <col min="14337" max="14337" width="3.44140625" style="612" customWidth="1"/>
    <col min="14338" max="14338" width="17.33203125" style="612" customWidth="1"/>
    <col min="14339" max="14339" width="2.109375" style="612" customWidth="1"/>
    <col min="14340" max="14340" width="7.5546875" style="612" customWidth="1"/>
    <col min="14341" max="14341" width="12.109375" style="612" customWidth="1"/>
    <col min="14342" max="14342" width="14.33203125" style="612" customWidth="1"/>
    <col min="14343" max="14343" width="42.5546875" style="612" customWidth="1"/>
    <col min="14344" max="14587" width="8.88671875" style="612"/>
    <col min="14588" max="14588" width="15.88671875" style="612" customWidth="1"/>
    <col min="14589" max="14589" width="2.109375" style="612" customWidth="1"/>
    <col min="14590" max="14590" width="7.5546875" style="612" customWidth="1"/>
    <col min="14591" max="14591" width="12.109375" style="612" customWidth="1"/>
    <col min="14592" max="14592" width="14.33203125" style="612" customWidth="1"/>
    <col min="14593" max="14593" width="3.44140625" style="612" customWidth="1"/>
    <col min="14594" max="14594" width="17.33203125" style="612" customWidth="1"/>
    <col min="14595" max="14595" width="2.109375" style="612" customWidth="1"/>
    <col min="14596" max="14596" width="7.5546875" style="612" customWidth="1"/>
    <col min="14597" max="14597" width="12.109375" style="612" customWidth="1"/>
    <col min="14598" max="14598" width="14.33203125" style="612" customWidth="1"/>
    <col min="14599" max="14599" width="42.5546875" style="612" customWidth="1"/>
    <col min="14600" max="14843" width="8.88671875" style="612"/>
    <col min="14844" max="14844" width="15.88671875" style="612" customWidth="1"/>
    <col min="14845" max="14845" width="2.109375" style="612" customWidth="1"/>
    <col min="14846" max="14846" width="7.5546875" style="612" customWidth="1"/>
    <col min="14847" max="14847" width="12.109375" style="612" customWidth="1"/>
    <col min="14848" max="14848" width="14.33203125" style="612" customWidth="1"/>
    <col min="14849" max="14849" width="3.44140625" style="612" customWidth="1"/>
    <col min="14850" max="14850" width="17.33203125" style="612" customWidth="1"/>
    <col min="14851" max="14851" width="2.109375" style="612" customWidth="1"/>
    <col min="14852" max="14852" width="7.5546875" style="612" customWidth="1"/>
    <col min="14853" max="14853" width="12.109375" style="612" customWidth="1"/>
    <col min="14854" max="14854" width="14.33203125" style="612" customWidth="1"/>
    <col min="14855" max="14855" width="42.5546875" style="612" customWidth="1"/>
    <col min="14856" max="15099" width="8.88671875" style="612"/>
    <col min="15100" max="15100" width="15.88671875" style="612" customWidth="1"/>
    <col min="15101" max="15101" width="2.109375" style="612" customWidth="1"/>
    <col min="15102" max="15102" width="7.5546875" style="612" customWidth="1"/>
    <col min="15103" max="15103" width="12.109375" style="612" customWidth="1"/>
    <col min="15104" max="15104" width="14.33203125" style="612" customWidth="1"/>
    <col min="15105" max="15105" width="3.44140625" style="612" customWidth="1"/>
    <col min="15106" max="15106" width="17.33203125" style="612" customWidth="1"/>
    <col min="15107" max="15107" width="2.109375" style="612" customWidth="1"/>
    <col min="15108" max="15108" width="7.5546875" style="612" customWidth="1"/>
    <col min="15109" max="15109" width="12.109375" style="612" customWidth="1"/>
    <col min="15110" max="15110" width="14.33203125" style="612" customWidth="1"/>
    <col min="15111" max="15111" width="42.5546875" style="612" customWidth="1"/>
    <col min="15112" max="15355" width="8.88671875" style="612"/>
    <col min="15356" max="15356" width="15.88671875" style="612" customWidth="1"/>
    <col min="15357" max="15357" width="2.109375" style="612" customWidth="1"/>
    <col min="15358" max="15358" width="7.5546875" style="612" customWidth="1"/>
    <col min="15359" max="15359" width="12.109375" style="612" customWidth="1"/>
    <col min="15360" max="15360" width="14.33203125" style="612" customWidth="1"/>
    <col min="15361" max="15361" width="3.44140625" style="612" customWidth="1"/>
    <col min="15362" max="15362" width="17.33203125" style="612" customWidth="1"/>
    <col min="15363" max="15363" width="2.109375" style="612" customWidth="1"/>
    <col min="15364" max="15364" width="7.5546875" style="612" customWidth="1"/>
    <col min="15365" max="15365" width="12.109375" style="612" customWidth="1"/>
    <col min="15366" max="15366" width="14.33203125" style="612" customWidth="1"/>
    <col min="15367" max="15367" width="42.5546875" style="612" customWidth="1"/>
    <col min="15368" max="15611" width="8.88671875" style="612"/>
    <col min="15612" max="15612" width="15.88671875" style="612" customWidth="1"/>
    <col min="15613" max="15613" width="2.109375" style="612" customWidth="1"/>
    <col min="15614" max="15614" width="7.5546875" style="612" customWidth="1"/>
    <col min="15615" max="15615" width="12.109375" style="612" customWidth="1"/>
    <col min="15616" max="15616" width="14.33203125" style="612" customWidth="1"/>
    <col min="15617" max="15617" width="3.44140625" style="612" customWidth="1"/>
    <col min="15618" max="15618" width="17.33203125" style="612" customWidth="1"/>
    <col min="15619" max="15619" width="2.109375" style="612" customWidth="1"/>
    <col min="15620" max="15620" width="7.5546875" style="612" customWidth="1"/>
    <col min="15621" max="15621" width="12.109375" style="612" customWidth="1"/>
    <col min="15622" max="15622" width="14.33203125" style="612" customWidth="1"/>
    <col min="15623" max="15623" width="42.5546875" style="612" customWidth="1"/>
    <col min="15624" max="15867" width="8.88671875" style="612"/>
    <col min="15868" max="15868" width="15.88671875" style="612" customWidth="1"/>
    <col min="15869" max="15869" width="2.109375" style="612" customWidth="1"/>
    <col min="15870" max="15870" width="7.5546875" style="612" customWidth="1"/>
    <col min="15871" max="15871" width="12.109375" style="612" customWidth="1"/>
    <col min="15872" max="15872" width="14.33203125" style="612" customWidth="1"/>
    <col min="15873" max="15873" width="3.44140625" style="612" customWidth="1"/>
    <col min="15874" max="15874" width="17.33203125" style="612" customWidth="1"/>
    <col min="15875" max="15875" width="2.109375" style="612" customWidth="1"/>
    <col min="15876" max="15876" width="7.5546875" style="612" customWidth="1"/>
    <col min="15877" max="15877" width="12.109375" style="612" customWidth="1"/>
    <col min="15878" max="15878" width="14.33203125" style="612" customWidth="1"/>
    <col min="15879" max="15879" width="42.5546875" style="612" customWidth="1"/>
    <col min="15880" max="16123" width="8.88671875" style="612"/>
    <col min="16124" max="16124" width="15.88671875" style="612" customWidth="1"/>
    <col min="16125" max="16125" width="2.109375" style="612" customWidth="1"/>
    <col min="16126" max="16126" width="7.5546875" style="612" customWidth="1"/>
    <col min="16127" max="16127" width="12.109375" style="612" customWidth="1"/>
    <col min="16128" max="16128" width="14.33203125" style="612" customWidth="1"/>
    <col min="16129" max="16129" width="3.44140625" style="612" customWidth="1"/>
    <col min="16130" max="16130" width="17.33203125" style="612" customWidth="1"/>
    <col min="16131" max="16131" width="2.109375" style="612" customWidth="1"/>
    <col min="16132" max="16132" width="7.5546875" style="612" customWidth="1"/>
    <col min="16133" max="16133" width="12.109375" style="612" customWidth="1"/>
    <col min="16134" max="16134" width="14.33203125" style="612" customWidth="1"/>
    <col min="16135" max="16135" width="42.5546875" style="612" customWidth="1"/>
    <col min="16136" max="16384" width="8.88671875" style="612"/>
  </cols>
  <sheetData>
    <row r="1" spans="1:13" x14ac:dyDescent="0.3">
      <c r="A1" s="801" t="s">
        <v>1806</v>
      </c>
      <c r="B1" s="801"/>
      <c r="C1" s="801"/>
      <c r="D1" s="801"/>
      <c r="E1" s="801"/>
      <c r="F1" s="801"/>
      <c r="G1" s="801"/>
      <c r="H1" s="801"/>
      <c r="I1" s="801"/>
      <c r="J1" s="801"/>
      <c r="K1" s="801"/>
      <c r="L1" s="801"/>
      <c r="M1" s="801"/>
    </row>
    <row r="2" spans="1:13" x14ac:dyDescent="0.3">
      <c r="A2" s="801" t="s">
        <v>615</v>
      </c>
      <c r="B2" s="801"/>
      <c r="C2" s="801"/>
      <c r="D2" s="801"/>
      <c r="E2" s="801"/>
      <c r="F2" s="801"/>
      <c r="G2" s="801"/>
      <c r="H2" s="801"/>
      <c r="I2" s="801"/>
      <c r="J2" s="801"/>
      <c r="K2" s="801"/>
      <c r="L2" s="801"/>
      <c r="M2" s="801"/>
    </row>
    <row r="3" spans="1:13" x14ac:dyDescent="0.3">
      <c r="A3" s="801" t="s">
        <v>616</v>
      </c>
      <c r="B3" s="801"/>
      <c r="C3" s="801"/>
      <c r="D3" s="801"/>
      <c r="E3" s="801"/>
      <c r="F3" s="801"/>
      <c r="G3" s="801"/>
      <c r="H3" s="801"/>
      <c r="I3" s="801"/>
      <c r="J3" s="801"/>
      <c r="K3" s="801"/>
      <c r="L3" s="801"/>
    </row>
    <row r="4" spans="1:13" x14ac:dyDescent="0.3">
      <c r="A4" s="801"/>
      <c r="B4" s="801"/>
      <c r="C4" s="802"/>
      <c r="D4" s="803"/>
      <c r="E4" s="803"/>
      <c r="F4" s="801"/>
      <c r="G4" s="180"/>
      <c r="H4" s="180"/>
      <c r="I4" s="180"/>
      <c r="J4" s="180"/>
      <c r="K4" s="180"/>
      <c r="L4" s="180"/>
    </row>
    <row r="5" spans="1:13" x14ac:dyDescent="0.3">
      <c r="A5" s="801"/>
      <c r="B5" s="801"/>
      <c r="C5" s="802"/>
      <c r="D5" s="803" t="s">
        <v>617</v>
      </c>
      <c r="E5" s="803" t="s">
        <v>618</v>
      </c>
      <c r="F5" s="801"/>
      <c r="G5" s="180"/>
      <c r="H5" s="180"/>
      <c r="I5" s="180"/>
      <c r="J5" s="180"/>
      <c r="K5" s="180"/>
      <c r="L5" s="180"/>
      <c r="M5" s="801"/>
    </row>
    <row r="6" spans="1:13" x14ac:dyDescent="0.3">
      <c r="A6" s="801"/>
      <c r="B6" s="801"/>
      <c r="C6" s="802" t="s">
        <v>619</v>
      </c>
      <c r="D6" s="803" t="s">
        <v>620</v>
      </c>
      <c r="E6" s="803" t="s">
        <v>621</v>
      </c>
      <c r="F6" s="801"/>
      <c r="G6" s="180"/>
      <c r="H6" s="180"/>
      <c r="I6" s="180"/>
      <c r="J6" s="180"/>
      <c r="K6" s="180"/>
      <c r="L6" s="180"/>
      <c r="M6" s="801"/>
    </row>
    <row r="7" spans="1:13" x14ac:dyDescent="0.3">
      <c r="A7" s="801" t="s">
        <v>622</v>
      </c>
      <c r="B7" s="801"/>
      <c r="C7" s="802" t="s">
        <v>623</v>
      </c>
      <c r="D7" s="803" t="s">
        <v>624</v>
      </c>
      <c r="E7" s="803" t="s">
        <v>624</v>
      </c>
      <c r="F7" s="801"/>
      <c r="G7" s="180"/>
      <c r="H7" s="180"/>
      <c r="I7" s="180"/>
      <c r="J7" s="180"/>
      <c r="K7" s="180"/>
      <c r="L7" s="180"/>
      <c r="M7" s="801"/>
    </row>
    <row r="8" spans="1:13" hidden="1" x14ac:dyDescent="0.3">
      <c r="A8" s="801" t="s">
        <v>1836</v>
      </c>
      <c r="B8" s="801" t="s">
        <v>1837</v>
      </c>
      <c r="C8" s="804">
        <v>0.66</v>
      </c>
      <c r="D8" s="803">
        <v>2017</v>
      </c>
      <c r="E8" s="803">
        <v>2023</v>
      </c>
      <c r="F8" s="801"/>
      <c r="G8" s="180"/>
      <c r="H8" s="180"/>
      <c r="I8" s="180"/>
      <c r="J8" s="180"/>
      <c r="K8" s="180"/>
      <c r="L8" s="180"/>
    </row>
    <row r="9" spans="1:13" hidden="1" x14ac:dyDescent="0.3">
      <c r="A9" s="801" t="s">
        <v>1838</v>
      </c>
      <c r="B9" s="801" t="s">
        <v>1839</v>
      </c>
      <c r="C9" s="804">
        <v>0.79</v>
      </c>
      <c r="D9" s="803">
        <v>2015</v>
      </c>
      <c r="E9" s="803">
        <v>2023</v>
      </c>
      <c r="F9" s="801"/>
      <c r="G9" s="180"/>
      <c r="H9" s="180"/>
      <c r="I9" s="180"/>
      <c r="J9" s="180"/>
      <c r="K9" s="180"/>
      <c r="L9" s="180"/>
    </row>
    <row r="10" spans="1:13" hidden="1" x14ac:dyDescent="0.3">
      <c r="A10" s="801" t="s">
        <v>1840</v>
      </c>
      <c r="B10" s="801" t="s">
        <v>1841</v>
      </c>
      <c r="C10" s="804">
        <v>0.59699999999999998</v>
      </c>
      <c r="D10" s="803">
        <v>2021</v>
      </c>
      <c r="E10" s="803">
        <v>2027</v>
      </c>
      <c r="F10" s="801"/>
      <c r="G10" s="180"/>
      <c r="H10" s="180"/>
      <c r="I10" s="180"/>
      <c r="J10" s="180"/>
      <c r="K10" s="180"/>
      <c r="L10" s="180"/>
      <c r="M10" s="801"/>
    </row>
    <row r="11" spans="1:13" hidden="1" x14ac:dyDescent="0.3">
      <c r="A11" s="801" t="s">
        <v>1842</v>
      </c>
      <c r="B11" s="801" t="s">
        <v>478</v>
      </c>
      <c r="C11" s="804">
        <v>0.77700000000000002</v>
      </c>
      <c r="D11" s="803">
        <v>2018</v>
      </c>
      <c r="E11" s="803">
        <v>2026</v>
      </c>
      <c r="F11" s="801"/>
      <c r="G11" s="180"/>
      <c r="H11" s="180"/>
      <c r="I11" s="180"/>
      <c r="J11" s="180"/>
      <c r="K11" s="180"/>
      <c r="L11" s="180"/>
      <c r="M11" s="801"/>
    </row>
    <row r="12" spans="1:13" hidden="1" x14ac:dyDescent="0.3">
      <c r="A12" s="801" t="s">
        <v>1843</v>
      </c>
      <c r="B12" s="801" t="s">
        <v>1844</v>
      </c>
      <c r="C12" s="804">
        <v>0.51</v>
      </c>
      <c r="D12" s="803">
        <v>2019</v>
      </c>
      <c r="E12" s="803">
        <v>2023</v>
      </c>
      <c r="F12" s="801"/>
      <c r="G12" s="180"/>
      <c r="H12" s="180"/>
      <c r="I12" s="180"/>
      <c r="J12" s="180"/>
      <c r="K12" s="180"/>
      <c r="L12" s="180"/>
      <c r="M12" s="801"/>
    </row>
    <row r="13" spans="1:13" hidden="1" x14ac:dyDescent="0.3">
      <c r="A13" s="801" t="s">
        <v>1845</v>
      </c>
      <c r="B13" s="801" t="s">
        <v>1846</v>
      </c>
      <c r="C13" s="804">
        <v>0.55000000000000004</v>
      </c>
      <c r="D13" s="803">
        <v>2018</v>
      </c>
      <c r="E13" s="803">
        <v>2022</v>
      </c>
      <c r="F13" s="801"/>
      <c r="G13" s="180"/>
      <c r="H13" s="180"/>
      <c r="I13" s="180"/>
      <c r="J13" s="180"/>
      <c r="K13" s="180"/>
      <c r="L13" s="180"/>
      <c r="M13" s="801"/>
    </row>
    <row r="14" spans="1:13" hidden="1" x14ac:dyDescent="0.3">
      <c r="A14" s="801" t="s">
        <v>1847</v>
      </c>
      <c r="B14" s="801" t="s">
        <v>1848</v>
      </c>
      <c r="C14" s="804">
        <v>0.625</v>
      </c>
      <c r="D14" s="803">
        <v>2018</v>
      </c>
      <c r="E14" s="803">
        <v>2026</v>
      </c>
      <c r="F14" s="801"/>
      <c r="G14" s="180"/>
      <c r="H14" s="180"/>
      <c r="I14" s="180"/>
      <c r="J14" s="180"/>
      <c r="K14" s="180"/>
      <c r="L14" s="180"/>
      <c r="M14" s="801"/>
    </row>
    <row r="15" spans="1:13" hidden="1" x14ac:dyDescent="0.3">
      <c r="A15" s="801" t="s">
        <v>1849</v>
      </c>
      <c r="B15" s="801" t="s">
        <v>484</v>
      </c>
      <c r="C15" s="804">
        <v>0.86499999999999999</v>
      </c>
      <c r="D15" s="803">
        <v>2020</v>
      </c>
      <c r="E15" s="803">
        <v>2028</v>
      </c>
      <c r="F15" s="801"/>
      <c r="G15" s="180"/>
      <c r="H15" s="180"/>
      <c r="I15" s="180"/>
      <c r="J15" s="180"/>
      <c r="K15" s="180"/>
      <c r="L15" s="180"/>
      <c r="M15" s="801"/>
    </row>
    <row r="16" spans="1:13" hidden="1" x14ac:dyDescent="0.3">
      <c r="A16" s="801" t="s">
        <v>1850</v>
      </c>
      <c r="B16" s="801" t="s">
        <v>1851</v>
      </c>
      <c r="C16" s="804">
        <v>0.82</v>
      </c>
      <c r="D16" s="803">
        <v>2015</v>
      </c>
      <c r="E16" s="803">
        <v>2022</v>
      </c>
      <c r="F16" s="801"/>
      <c r="G16" s="180"/>
      <c r="H16" s="180"/>
      <c r="I16" s="180"/>
      <c r="J16" s="180"/>
      <c r="K16" s="180"/>
      <c r="L16" s="180"/>
      <c r="M16" s="801"/>
    </row>
    <row r="17" spans="1:13" hidden="1" x14ac:dyDescent="0.3">
      <c r="A17" s="801" t="s">
        <v>1852</v>
      </c>
      <c r="B17" s="801" t="s">
        <v>1853</v>
      </c>
      <c r="C17" s="804">
        <v>0.48499999999999999</v>
      </c>
      <c r="D17" s="803">
        <v>2019</v>
      </c>
      <c r="E17" s="803">
        <v>2023</v>
      </c>
      <c r="F17" s="801"/>
      <c r="G17" s="180"/>
      <c r="H17" s="180"/>
      <c r="I17" s="180"/>
      <c r="J17" s="180"/>
      <c r="K17" s="180"/>
      <c r="L17" s="180"/>
      <c r="M17" s="801"/>
    </row>
    <row r="18" spans="1:13" hidden="1" x14ac:dyDescent="0.3">
      <c r="A18" s="801" t="s">
        <v>1854</v>
      </c>
      <c r="B18" s="801" t="s">
        <v>1855</v>
      </c>
      <c r="C18" s="804">
        <v>0.48799999999999999</v>
      </c>
      <c r="D18" s="803">
        <v>2021</v>
      </c>
      <c r="E18" s="803">
        <v>2025</v>
      </c>
      <c r="F18" s="801"/>
      <c r="G18" s="180"/>
      <c r="H18" s="180"/>
      <c r="I18" s="180"/>
      <c r="J18" s="180"/>
      <c r="K18" s="180"/>
      <c r="L18" s="180"/>
      <c r="M18" s="801"/>
    </row>
    <row r="19" spans="1:13" hidden="1" x14ac:dyDescent="0.3">
      <c r="A19" s="801" t="s">
        <v>1856</v>
      </c>
      <c r="B19" s="801" t="s">
        <v>1857</v>
      </c>
      <c r="C19" s="804">
        <v>0.69499999999999995</v>
      </c>
      <c r="D19" s="803">
        <v>2019</v>
      </c>
      <c r="E19" s="803">
        <v>2023</v>
      </c>
      <c r="F19" s="801"/>
      <c r="G19" s="180"/>
      <c r="H19" s="180"/>
      <c r="I19" s="180"/>
      <c r="J19" s="180"/>
      <c r="K19" s="180"/>
      <c r="L19" s="180"/>
      <c r="M19" s="801"/>
    </row>
    <row r="20" spans="1:13" x14ac:dyDescent="0.3">
      <c r="A20" s="801" t="s">
        <v>1807</v>
      </c>
      <c r="B20" s="801" t="s">
        <v>1808</v>
      </c>
      <c r="C20" s="804">
        <v>0.74</v>
      </c>
      <c r="D20" s="803">
        <v>2020</v>
      </c>
      <c r="E20" s="803">
        <v>2024</v>
      </c>
      <c r="F20" s="801"/>
      <c r="G20" s="180"/>
      <c r="H20" s="180"/>
      <c r="I20" s="180"/>
      <c r="J20" s="180"/>
      <c r="K20" s="180"/>
      <c r="L20" s="180"/>
      <c r="M20" s="801"/>
    </row>
    <row r="21" spans="1:13" hidden="1" x14ac:dyDescent="0.3">
      <c r="A21" s="801" t="s">
        <v>1858</v>
      </c>
      <c r="B21" s="801" t="s">
        <v>1859</v>
      </c>
      <c r="C21" s="804">
        <v>0.63</v>
      </c>
      <c r="D21" s="803">
        <v>2021</v>
      </c>
      <c r="E21" s="803">
        <v>2029</v>
      </c>
      <c r="F21" s="801"/>
      <c r="G21" s="180"/>
      <c r="H21" s="180"/>
      <c r="I21" s="180"/>
      <c r="J21" s="180"/>
      <c r="K21" s="180"/>
      <c r="L21" s="180"/>
      <c r="M21" s="801"/>
    </row>
    <row r="22" spans="1:13" hidden="1" x14ac:dyDescent="0.3">
      <c r="A22" s="801" t="s">
        <v>1860</v>
      </c>
      <c r="B22" s="801" t="s">
        <v>1861</v>
      </c>
      <c r="C22" s="804">
        <v>0.87</v>
      </c>
      <c r="D22" s="803">
        <v>2015</v>
      </c>
      <c r="E22" s="803">
        <v>2023</v>
      </c>
      <c r="F22" s="801"/>
      <c r="G22" s="180"/>
      <c r="H22" s="180"/>
      <c r="I22" s="180"/>
      <c r="J22" s="180"/>
      <c r="K22" s="180"/>
      <c r="L22" s="180"/>
      <c r="M22" s="801"/>
    </row>
    <row r="23" spans="1:13" x14ac:dyDescent="0.3">
      <c r="A23" s="801" t="s">
        <v>1809</v>
      </c>
      <c r="B23" s="801" t="s">
        <v>1810</v>
      </c>
      <c r="C23" s="804">
        <v>0.33</v>
      </c>
      <c r="D23" s="803">
        <v>2020</v>
      </c>
      <c r="E23" s="803">
        <v>2024</v>
      </c>
      <c r="F23" s="801"/>
      <c r="G23" s="180"/>
      <c r="H23" s="180"/>
      <c r="I23" s="180"/>
      <c r="J23" s="180"/>
      <c r="K23" s="180"/>
      <c r="L23" s="180"/>
      <c r="M23" s="801"/>
    </row>
    <row r="24" spans="1:13" hidden="1" x14ac:dyDescent="0.3">
      <c r="A24" s="801" t="s">
        <v>1862</v>
      </c>
      <c r="B24" s="801" t="s">
        <v>858</v>
      </c>
      <c r="C24" s="804">
        <v>0.73499999999999999</v>
      </c>
      <c r="D24" s="803">
        <v>2016</v>
      </c>
      <c r="E24" s="803">
        <v>2023</v>
      </c>
      <c r="F24" s="801"/>
      <c r="G24" s="180"/>
      <c r="H24" s="180"/>
      <c r="I24" s="180"/>
      <c r="J24" s="180"/>
      <c r="K24" s="180"/>
      <c r="L24" s="180"/>
      <c r="M24" s="801"/>
    </row>
    <row r="25" spans="1:13" hidden="1" x14ac:dyDescent="0.3">
      <c r="A25" s="801" t="s">
        <v>1863</v>
      </c>
      <c r="B25" s="801" t="s">
        <v>1864</v>
      </c>
      <c r="C25" s="804">
        <v>0.57499999999999996</v>
      </c>
      <c r="D25" s="803">
        <v>2019</v>
      </c>
      <c r="E25" s="803">
        <v>2023</v>
      </c>
      <c r="F25" s="801"/>
      <c r="G25" s="180"/>
      <c r="H25" s="180"/>
      <c r="I25" s="180"/>
      <c r="J25" s="180"/>
      <c r="K25" s="180"/>
      <c r="L25" s="180"/>
      <c r="M25" s="801"/>
    </row>
    <row r="26" spans="1:13" hidden="1" x14ac:dyDescent="0.3">
      <c r="A26" s="801" t="s">
        <v>1865</v>
      </c>
      <c r="B26" s="801" t="s">
        <v>1866</v>
      </c>
      <c r="C26" s="804">
        <v>0.66500000000000004</v>
      </c>
      <c r="D26" s="803">
        <v>2021</v>
      </c>
      <c r="E26" s="803">
        <v>2025</v>
      </c>
      <c r="F26" s="801"/>
      <c r="G26" s="180"/>
      <c r="H26" s="180"/>
      <c r="I26" s="180"/>
      <c r="J26" s="180"/>
      <c r="K26" s="180"/>
      <c r="L26" s="180"/>
      <c r="M26" s="801"/>
    </row>
    <row r="27" spans="1:13" hidden="1" x14ac:dyDescent="0.3">
      <c r="A27" s="801" t="s">
        <v>1867</v>
      </c>
      <c r="B27" s="801" t="s">
        <v>859</v>
      </c>
      <c r="C27" s="804">
        <v>0.5</v>
      </c>
      <c r="D27" s="803">
        <v>2020</v>
      </c>
      <c r="E27" s="803">
        <v>2028</v>
      </c>
      <c r="F27" s="801"/>
      <c r="G27" s="180"/>
      <c r="H27" s="180"/>
      <c r="I27" s="180"/>
      <c r="J27" s="180"/>
      <c r="K27" s="180"/>
      <c r="L27" s="180"/>
      <c r="M27" s="801"/>
    </row>
    <row r="28" spans="1:13" hidden="1" x14ac:dyDescent="0.3">
      <c r="A28" s="801" t="s">
        <v>1868</v>
      </c>
      <c r="B28" s="801" t="s">
        <v>1869</v>
      </c>
      <c r="C28" s="804">
        <v>0.755</v>
      </c>
      <c r="D28" s="803">
        <v>2014</v>
      </c>
      <c r="E28" s="803">
        <v>2022</v>
      </c>
      <c r="G28" s="180"/>
      <c r="H28" s="180"/>
      <c r="I28" s="180"/>
      <c r="J28" s="180"/>
      <c r="K28" s="180"/>
      <c r="L28" s="180"/>
      <c r="M28" s="801"/>
    </row>
    <row r="29" spans="1:13" hidden="1" x14ac:dyDescent="0.3">
      <c r="A29" s="801" t="s">
        <v>1870</v>
      </c>
      <c r="B29" s="801" t="s">
        <v>1871</v>
      </c>
      <c r="C29" s="804">
        <v>0.43</v>
      </c>
      <c r="D29" s="803">
        <v>2018</v>
      </c>
      <c r="E29" s="803">
        <v>2026</v>
      </c>
      <c r="G29" s="180"/>
      <c r="H29" s="180"/>
      <c r="I29" s="180"/>
      <c r="J29" s="180"/>
      <c r="K29" s="180"/>
      <c r="L29" s="180"/>
      <c r="M29" s="801"/>
    </row>
    <row r="30" spans="1:13" hidden="1" x14ac:dyDescent="0.3">
      <c r="A30" s="801" t="s">
        <v>1872</v>
      </c>
      <c r="B30" s="801" t="s">
        <v>1873</v>
      </c>
      <c r="C30" s="804">
        <v>0.6875</v>
      </c>
      <c r="D30" s="803">
        <v>2021</v>
      </c>
      <c r="E30" s="803">
        <v>2025</v>
      </c>
      <c r="F30" s="801"/>
      <c r="G30" s="180"/>
      <c r="H30" s="180"/>
      <c r="I30" s="180"/>
      <c r="J30" s="180"/>
      <c r="K30" s="180"/>
      <c r="L30" s="180"/>
      <c r="M30" s="801"/>
    </row>
    <row r="31" spans="1:13" hidden="1" x14ac:dyDescent="0.3">
      <c r="A31" s="801" t="s">
        <v>1874</v>
      </c>
      <c r="B31" s="801" t="s">
        <v>860</v>
      </c>
      <c r="C31" s="804">
        <v>0.80500000000000005</v>
      </c>
      <c r="D31" s="803">
        <v>2021</v>
      </c>
      <c r="E31" s="803">
        <v>2029</v>
      </c>
      <c r="F31" s="801"/>
      <c r="G31" s="180"/>
      <c r="H31" s="180"/>
      <c r="I31" s="180"/>
      <c r="J31" s="180"/>
      <c r="K31" s="180"/>
      <c r="L31" s="180"/>
      <c r="M31" s="801"/>
    </row>
    <row r="32" spans="1:13" hidden="1" x14ac:dyDescent="0.3">
      <c r="A32" s="801" t="s">
        <v>1875</v>
      </c>
      <c r="B32" s="801" t="s">
        <v>1876</v>
      </c>
      <c r="C32" s="804">
        <v>0.56000000000000005</v>
      </c>
      <c r="D32" s="803">
        <v>2016</v>
      </c>
      <c r="E32" s="803">
        <v>2023</v>
      </c>
      <c r="F32" s="801"/>
      <c r="G32" s="180"/>
      <c r="H32" s="180"/>
      <c r="I32" s="180"/>
      <c r="J32" s="180"/>
      <c r="K32" s="180"/>
      <c r="L32" s="180"/>
      <c r="M32" s="801"/>
    </row>
    <row r="33" spans="1:13" hidden="1" x14ac:dyDescent="0.3">
      <c r="A33" s="801" t="s">
        <v>1877</v>
      </c>
      <c r="B33" s="801" t="s">
        <v>1878</v>
      </c>
      <c r="C33" s="804">
        <v>0.79900000000000004</v>
      </c>
      <c r="D33" s="803">
        <v>2017</v>
      </c>
      <c r="E33" s="803">
        <v>2025</v>
      </c>
      <c r="F33" s="801"/>
      <c r="G33" s="180"/>
      <c r="H33" s="180"/>
      <c r="I33" s="180"/>
      <c r="J33" s="180"/>
      <c r="K33" s="180"/>
      <c r="L33" s="180"/>
      <c r="M33" s="801"/>
    </row>
    <row r="34" spans="1:13" hidden="1" x14ac:dyDescent="0.3">
      <c r="A34" s="801" t="s">
        <v>1879</v>
      </c>
      <c r="B34" s="801" t="s">
        <v>1880</v>
      </c>
      <c r="C34" s="804">
        <v>0.46</v>
      </c>
      <c r="D34" s="803">
        <v>2021</v>
      </c>
      <c r="E34" s="803">
        <v>2029</v>
      </c>
      <c r="F34" s="801"/>
      <c r="G34" s="180"/>
      <c r="H34" s="180"/>
      <c r="I34" s="180"/>
      <c r="J34" s="180"/>
      <c r="K34" s="180"/>
      <c r="L34" s="180"/>
      <c r="M34" s="801"/>
    </row>
    <row r="35" spans="1:13" hidden="1" x14ac:dyDescent="0.3">
      <c r="A35" s="801" t="s">
        <v>1881</v>
      </c>
      <c r="B35" s="801" t="s">
        <v>1882</v>
      </c>
      <c r="C35" s="804">
        <v>0.40050000000000002</v>
      </c>
      <c r="D35" s="803">
        <v>2020</v>
      </c>
      <c r="E35" s="803">
        <v>2025</v>
      </c>
      <c r="F35" s="801"/>
      <c r="G35" s="180"/>
      <c r="H35" s="180"/>
      <c r="I35" s="180"/>
      <c r="J35" s="180"/>
      <c r="K35" s="180"/>
      <c r="L35" s="180"/>
      <c r="M35" s="801"/>
    </row>
    <row r="36" spans="1:13" hidden="1" x14ac:dyDescent="0.3">
      <c r="A36" s="801" t="s">
        <v>1883</v>
      </c>
      <c r="B36" s="801" t="s">
        <v>1884</v>
      </c>
      <c r="C36" s="804">
        <v>0.54</v>
      </c>
      <c r="D36" s="803">
        <v>2021</v>
      </c>
      <c r="E36" s="803">
        <v>2027</v>
      </c>
      <c r="F36" s="801"/>
      <c r="G36" s="180"/>
      <c r="H36" s="180"/>
      <c r="I36" s="180"/>
      <c r="J36" s="180"/>
      <c r="K36" s="180"/>
      <c r="L36" s="180"/>
      <c r="M36" s="801"/>
    </row>
    <row r="37" spans="1:13" hidden="1" x14ac:dyDescent="0.3">
      <c r="A37" s="801" t="s">
        <v>1885</v>
      </c>
      <c r="B37" s="801" t="s">
        <v>1886</v>
      </c>
      <c r="C37" s="804">
        <v>0.73299999999999998</v>
      </c>
      <c r="D37" s="803">
        <v>2021</v>
      </c>
      <c r="E37" s="803">
        <v>2025</v>
      </c>
      <c r="F37" s="801"/>
      <c r="G37" s="180"/>
      <c r="H37" s="180"/>
      <c r="I37" s="180"/>
      <c r="J37" s="180"/>
      <c r="K37" s="180"/>
      <c r="L37" s="180"/>
      <c r="M37" s="801"/>
    </row>
    <row r="38" spans="1:13" hidden="1" x14ac:dyDescent="0.3">
      <c r="A38" s="801" t="s">
        <v>1887</v>
      </c>
      <c r="B38" s="801" t="s">
        <v>1888</v>
      </c>
      <c r="C38" s="804">
        <v>0.73499999999999999</v>
      </c>
      <c r="D38" s="803">
        <v>2017</v>
      </c>
      <c r="E38" s="803">
        <v>2022</v>
      </c>
      <c r="F38" s="801"/>
      <c r="G38" s="180"/>
      <c r="H38" s="180"/>
      <c r="I38" s="180"/>
      <c r="J38" s="180"/>
      <c r="K38" s="180"/>
      <c r="L38" s="180"/>
      <c r="M38" s="801"/>
    </row>
    <row r="39" spans="1:13" hidden="1" x14ac:dyDescent="0.3">
      <c r="A39" s="801" t="s">
        <v>1889</v>
      </c>
      <c r="B39" s="801" t="s">
        <v>1890</v>
      </c>
      <c r="C39" s="804">
        <v>0.72219999999999995</v>
      </c>
      <c r="D39" s="803">
        <v>2019</v>
      </c>
      <c r="E39" s="803">
        <v>2026</v>
      </c>
      <c r="F39" s="801"/>
      <c r="G39" s="180"/>
      <c r="H39" s="180"/>
      <c r="I39" s="180"/>
      <c r="J39" s="180"/>
      <c r="K39" s="180"/>
      <c r="L39" s="180"/>
      <c r="M39" s="801"/>
    </row>
    <row r="40" spans="1:13" x14ac:dyDescent="0.3">
      <c r="A40" s="801" t="s">
        <v>1811</v>
      </c>
      <c r="B40" s="801" t="s">
        <v>501</v>
      </c>
      <c r="C40" s="804">
        <v>0.95</v>
      </c>
      <c r="D40" s="803">
        <v>2017</v>
      </c>
      <c r="E40" s="803">
        <v>2024</v>
      </c>
      <c r="F40" s="801"/>
      <c r="G40" s="180"/>
      <c r="H40" s="180"/>
      <c r="I40" s="180"/>
      <c r="J40" s="180"/>
      <c r="K40" s="180"/>
      <c r="L40" s="180"/>
      <c r="M40" s="801"/>
    </row>
    <row r="41" spans="1:13" hidden="1" x14ac:dyDescent="0.3">
      <c r="A41" s="801" t="s">
        <v>1891</v>
      </c>
      <c r="B41" s="801" t="s">
        <v>1892</v>
      </c>
      <c r="C41" s="804">
        <v>0.67779999999999996</v>
      </c>
      <c r="D41" s="803">
        <v>2021</v>
      </c>
      <c r="E41" s="803">
        <v>2025</v>
      </c>
      <c r="F41" s="801"/>
      <c r="G41" s="180"/>
      <c r="H41" s="180"/>
      <c r="I41" s="180"/>
      <c r="J41" s="180"/>
      <c r="K41" s="180"/>
      <c r="L41" s="180"/>
      <c r="M41" s="801"/>
    </row>
    <row r="42" spans="1:13" x14ac:dyDescent="0.3">
      <c r="A42" s="801" t="s">
        <v>1812</v>
      </c>
      <c r="B42" s="801" t="s">
        <v>1813</v>
      </c>
      <c r="C42" s="804">
        <v>0.79500000000000004</v>
      </c>
      <c r="D42" s="803">
        <v>2018</v>
      </c>
      <c r="E42" s="803">
        <v>2024</v>
      </c>
      <c r="F42" s="801"/>
      <c r="G42" s="180"/>
      <c r="H42" s="180"/>
      <c r="I42" s="180"/>
      <c r="J42" s="180"/>
      <c r="K42" s="180"/>
      <c r="L42" s="180"/>
      <c r="M42" s="801"/>
    </row>
    <row r="43" spans="1:13" hidden="1" x14ac:dyDescent="0.3">
      <c r="A43" s="801" t="s">
        <v>1893</v>
      </c>
      <c r="B43" s="801" t="s">
        <v>1894</v>
      </c>
      <c r="C43" s="804">
        <v>0.83</v>
      </c>
      <c r="D43" s="803">
        <v>2019</v>
      </c>
      <c r="E43" s="803">
        <v>2023</v>
      </c>
      <c r="F43" s="801"/>
      <c r="G43" s="180"/>
      <c r="H43" s="180"/>
      <c r="I43" s="180"/>
      <c r="J43" s="180"/>
      <c r="K43" s="180"/>
      <c r="L43" s="180"/>
      <c r="M43" s="801"/>
    </row>
    <row r="44" spans="1:13" hidden="1" x14ac:dyDescent="0.3">
      <c r="A44" s="801" t="s">
        <v>1895</v>
      </c>
      <c r="B44" s="801" t="s">
        <v>1896</v>
      </c>
      <c r="C44" s="804">
        <v>0.79</v>
      </c>
      <c r="D44" s="803">
        <v>2017</v>
      </c>
      <c r="E44" s="803">
        <v>2025</v>
      </c>
      <c r="F44" s="801"/>
      <c r="G44" s="180"/>
      <c r="H44" s="180"/>
      <c r="I44" s="180"/>
      <c r="J44" s="180"/>
      <c r="K44" s="180"/>
      <c r="L44" s="180"/>
      <c r="M44" s="801"/>
    </row>
    <row r="45" spans="1:13" hidden="1" x14ac:dyDescent="0.3">
      <c r="A45" s="801" t="s">
        <v>1897</v>
      </c>
      <c r="B45" s="801" t="s">
        <v>1898</v>
      </c>
      <c r="C45" s="804">
        <v>0.65</v>
      </c>
      <c r="D45" s="803">
        <v>2019</v>
      </c>
      <c r="E45" s="803">
        <v>2023</v>
      </c>
      <c r="F45" s="801"/>
      <c r="G45" s="180"/>
      <c r="H45" s="180"/>
      <c r="I45" s="180"/>
      <c r="J45" s="180"/>
      <c r="K45" s="180"/>
      <c r="L45" s="180"/>
      <c r="M45" s="801"/>
    </row>
    <row r="46" spans="1:13" x14ac:dyDescent="0.3">
      <c r="A46" s="801" t="s">
        <v>1814</v>
      </c>
      <c r="B46" s="801" t="s">
        <v>1815</v>
      </c>
      <c r="C46" s="804">
        <v>0.84</v>
      </c>
      <c r="D46" s="803">
        <v>2018</v>
      </c>
      <c r="E46" s="803">
        <v>2024</v>
      </c>
      <c r="F46" s="801"/>
      <c r="G46" s="180"/>
      <c r="H46" s="180"/>
      <c r="I46" s="180"/>
      <c r="J46" s="180"/>
      <c r="K46" s="180"/>
      <c r="L46" s="180"/>
      <c r="M46" s="801"/>
    </row>
    <row r="47" spans="1:13" hidden="1" x14ac:dyDescent="0.3">
      <c r="A47" s="801" t="s">
        <v>1899</v>
      </c>
      <c r="B47" s="801" t="s">
        <v>1900</v>
      </c>
      <c r="C47" s="804">
        <v>0.78600000000000003</v>
      </c>
      <c r="D47" s="803">
        <v>2021</v>
      </c>
      <c r="E47" s="803">
        <v>2029</v>
      </c>
      <c r="F47" s="801"/>
      <c r="G47" s="180"/>
      <c r="H47" s="180"/>
      <c r="I47" s="180"/>
      <c r="J47" s="180"/>
      <c r="K47" s="180"/>
      <c r="L47" s="180"/>
      <c r="M47" s="801"/>
    </row>
    <row r="48" spans="1:13" hidden="1" x14ac:dyDescent="0.3">
      <c r="A48" s="801" t="s">
        <v>1901</v>
      </c>
      <c r="B48" s="801" t="s">
        <v>1902</v>
      </c>
      <c r="C48" s="804">
        <v>0.73050000000000004</v>
      </c>
      <c r="D48" s="803">
        <v>2017</v>
      </c>
      <c r="E48" s="803">
        <v>2022</v>
      </c>
      <c r="F48" s="801"/>
      <c r="G48" s="180"/>
      <c r="H48" s="180"/>
      <c r="I48" s="180"/>
      <c r="J48" s="180"/>
      <c r="K48" s="180"/>
      <c r="L48" s="180"/>
      <c r="M48" s="801"/>
    </row>
    <row r="49" spans="1:13" x14ac:dyDescent="0.3">
      <c r="A49" s="801" t="s">
        <v>1816</v>
      </c>
      <c r="B49" s="801" t="s">
        <v>1817</v>
      </c>
      <c r="C49" s="804">
        <v>0.76</v>
      </c>
      <c r="D49" s="803">
        <v>2020</v>
      </c>
      <c r="E49" s="803">
        <v>2024</v>
      </c>
      <c r="F49" s="801"/>
      <c r="G49" s="180"/>
      <c r="H49" s="180"/>
      <c r="I49" s="180"/>
      <c r="J49" s="180"/>
      <c r="K49" s="180"/>
      <c r="L49" s="180"/>
      <c r="M49" s="801"/>
    </row>
    <row r="50" spans="1:13" hidden="1" x14ac:dyDescent="0.3">
      <c r="A50" s="801" t="s">
        <v>1903</v>
      </c>
      <c r="B50" s="801" t="s">
        <v>1904</v>
      </c>
      <c r="C50" s="804">
        <v>0.75</v>
      </c>
      <c r="D50" s="803">
        <v>2017</v>
      </c>
      <c r="E50" s="803">
        <v>2022</v>
      </c>
      <c r="F50" s="801"/>
      <c r="G50" s="180"/>
      <c r="H50" s="180"/>
      <c r="I50" s="180"/>
      <c r="J50" s="180"/>
      <c r="K50" s="180"/>
      <c r="L50" s="180"/>
      <c r="M50" s="801"/>
    </row>
    <row r="51" spans="1:13" hidden="1" x14ac:dyDescent="0.3">
      <c r="A51" s="801" t="s">
        <v>1905</v>
      </c>
      <c r="B51" s="801" t="s">
        <v>1906</v>
      </c>
      <c r="C51" s="804">
        <v>0.53500000000000003</v>
      </c>
      <c r="D51" s="803">
        <v>2021</v>
      </c>
      <c r="E51" s="803">
        <v>2025</v>
      </c>
      <c r="F51" s="801"/>
      <c r="G51" s="180"/>
      <c r="H51" s="180"/>
      <c r="I51" s="180"/>
      <c r="J51" s="180"/>
      <c r="K51" s="180"/>
      <c r="L51" s="180"/>
      <c r="M51" s="801"/>
    </row>
    <row r="52" spans="1:13" hidden="1" x14ac:dyDescent="0.3">
      <c r="A52" s="801" t="s">
        <v>1907</v>
      </c>
      <c r="B52" s="801" t="s">
        <v>1908</v>
      </c>
      <c r="C52" s="804">
        <v>0.56100000000000005</v>
      </c>
      <c r="D52" s="803">
        <v>2019</v>
      </c>
      <c r="E52" s="803">
        <v>2023</v>
      </c>
      <c r="F52" s="801"/>
      <c r="G52" s="180"/>
      <c r="H52" s="180"/>
      <c r="I52" s="180"/>
      <c r="J52" s="180"/>
      <c r="K52" s="180"/>
      <c r="L52" s="180"/>
      <c r="M52" s="801"/>
    </row>
    <row r="53" spans="1:13" hidden="1" x14ac:dyDescent="0.3">
      <c r="A53" s="801" t="s">
        <v>1909</v>
      </c>
      <c r="B53" s="801" t="s">
        <v>1910</v>
      </c>
      <c r="C53" s="804">
        <v>0.84</v>
      </c>
      <c r="D53" s="803">
        <v>2019</v>
      </c>
      <c r="E53" s="803">
        <v>2027</v>
      </c>
      <c r="F53" s="801"/>
      <c r="G53" s="180"/>
      <c r="H53" s="180"/>
      <c r="I53" s="180"/>
      <c r="J53" s="180"/>
      <c r="K53" s="180"/>
      <c r="L53" s="180"/>
      <c r="M53" s="801"/>
    </row>
    <row r="54" spans="1:13" hidden="1" x14ac:dyDescent="0.3">
      <c r="A54" s="801" t="s">
        <v>1911</v>
      </c>
      <c r="B54" s="801" t="s">
        <v>1912</v>
      </c>
      <c r="C54" s="804">
        <v>0.75</v>
      </c>
      <c r="D54" s="803">
        <v>2014</v>
      </c>
      <c r="E54" s="803">
        <v>2022</v>
      </c>
      <c r="F54" s="801"/>
      <c r="G54" s="180"/>
      <c r="H54" s="180"/>
      <c r="I54" s="180"/>
      <c r="J54" s="180"/>
      <c r="K54" s="180"/>
      <c r="L54" s="180"/>
      <c r="M54" s="801"/>
    </row>
    <row r="55" spans="1:13" hidden="1" x14ac:dyDescent="0.3">
      <c r="A55" s="801" t="s">
        <v>1913</v>
      </c>
      <c r="B55" s="801" t="s">
        <v>523</v>
      </c>
      <c r="C55" s="804">
        <v>0.79500000000000004</v>
      </c>
      <c r="D55" s="803">
        <v>2017</v>
      </c>
      <c r="E55" s="803">
        <v>2023</v>
      </c>
      <c r="F55" s="801"/>
      <c r="G55" s="180"/>
      <c r="H55" s="180"/>
      <c r="I55" s="180"/>
      <c r="J55" s="180"/>
      <c r="K55" s="180"/>
      <c r="L55" s="180"/>
      <c r="M55" s="801"/>
    </row>
    <row r="56" spans="1:13" hidden="1" x14ac:dyDescent="0.3">
      <c r="A56" s="801" t="s">
        <v>1914</v>
      </c>
      <c r="B56" s="801" t="s">
        <v>1915</v>
      </c>
      <c r="C56" s="804">
        <v>0.53749999999999998</v>
      </c>
      <c r="D56" s="803">
        <v>2019</v>
      </c>
      <c r="E56" s="803">
        <v>2023</v>
      </c>
      <c r="F56" s="801"/>
      <c r="G56" s="180"/>
      <c r="H56" s="180"/>
      <c r="I56" s="180"/>
      <c r="J56" s="180"/>
      <c r="K56" s="180"/>
      <c r="L56" s="180"/>
      <c r="M56" s="801"/>
    </row>
    <row r="57" spans="1:13" hidden="1" x14ac:dyDescent="0.3">
      <c r="A57" s="801" t="s">
        <v>1916</v>
      </c>
      <c r="B57" s="801" t="s">
        <v>1917</v>
      </c>
      <c r="C57" s="804">
        <v>0.36</v>
      </c>
      <c r="D57" s="803">
        <v>2021</v>
      </c>
      <c r="E57" s="803">
        <v>2025</v>
      </c>
      <c r="F57" s="801"/>
      <c r="G57" s="180"/>
      <c r="H57" s="180"/>
      <c r="I57" s="180"/>
      <c r="J57" s="180"/>
      <c r="K57" s="180"/>
      <c r="L57" s="180"/>
      <c r="M57" s="801"/>
    </row>
    <row r="58" spans="1:13" hidden="1" x14ac:dyDescent="0.3">
      <c r="A58" s="801" t="s">
        <v>1918</v>
      </c>
      <c r="B58" s="801" t="s">
        <v>1919</v>
      </c>
      <c r="C58" s="802">
        <v>0.73</v>
      </c>
      <c r="D58" s="803">
        <v>2019</v>
      </c>
      <c r="E58" s="803">
        <v>2025</v>
      </c>
      <c r="F58" s="801"/>
      <c r="G58" s="180"/>
      <c r="H58" s="180"/>
      <c r="I58" s="180"/>
      <c r="J58" s="180"/>
      <c r="K58" s="180"/>
      <c r="L58" s="180"/>
      <c r="M58" s="801"/>
    </row>
    <row r="59" spans="1:13" hidden="1" x14ac:dyDescent="0.3">
      <c r="A59" s="801" t="s">
        <v>1920</v>
      </c>
      <c r="B59" s="801" t="s">
        <v>1921</v>
      </c>
      <c r="C59" s="802">
        <v>0.75</v>
      </c>
      <c r="D59" s="803">
        <v>2014</v>
      </c>
      <c r="E59" s="803">
        <v>2022</v>
      </c>
      <c r="F59" s="801"/>
      <c r="G59" s="180"/>
      <c r="H59" s="180"/>
      <c r="I59" s="180"/>
      <c r="J59" s="180"/>
      <c r="K59" s="180"/>
      <c r="L59" s="180"/>
      <c r="M59" s="801"/>
    </row>
    <row r="60" spans="1:13" hidden="1" x14ac:dyDescent="0.3">
      <c r="A60" s="801" t="s">
        <v>1922</v>
      </c>
      <c r="B60" s="801" t="s">
        <v>1923</v>
      </c>
      <c r="C60" s="802">
        <v>0.76</v>
      </c>
      <c r="D60" s="803">
        <v>2019</v>
      </c>
      <c r="E60" s="803">
        <v>2023</v>
      </c>
      <c r="F60" s="801"/>
      <c r="G60" s="180"/>
      <c r="H60" s="180"/>
      <c r="I60" s="180"/>
      <c r="J60" s="180"/>
      <c r="K60" s="180"/>
      <c r="L60" s="180"/>
      <c r="M60" s="801"/>
    </row>
    <row r="61" spans="1:13" hidden="1" x14ac:dyDescent="0.3">
      <c r="A61" s="801" t="s">
        <v>1924</v>
      </c>
      <c r="B61" s="801" t="s">
        <v>1925</v>
      </c>
      <c r="C61" s="802">
        <v>0.84499999999999997</v>
      </c>
      <c r="D61" s="803">
        <v>2017</v>
      </c>
      <c r="E61" s="803">
        <v>2025</v>
      </c>
      <c r="F61" s="801"/>
      <c r="G61" s="180"/>
      <c r="H61" s="180"/>
      <c r="I61" s="180"/>
      <c r="J61" s="180"/>
      <c r="K61" s="180"/>
      <c r="L61" s="180"/>
      <c r="M61" s="801"/>
    </row>
    <row r="62" spans="1:13" hidden="1" x14ac:dyDescent="0.3">
      <c r="A62" s="801" t="s">
        <v>1926</v>
      </c>
      <c r="B62" s="801" t="s">
        <v>1927</v>
      </c>
      <c r="C62" s="802">
        <v>0.61899999999999999</v>
      </c>
      <c r="D62" s="803">
        <v>2019</v>
      </c>
      <c r="E62" s="803">
        <v>2023</v>
      </c>
      <c r="F62" s="801"/>
      <c r="G62" s="180"/>
      <c r="H62" s="180"/>
      <c r="I62" s="180"/>
      <c r="J62" s="180"/>
      <c r="K62" s="180"/>
      <c r="L62" s="180"/>
      <c r="M62" s="801"/>
    </row>
    <row r="63" spans="1:13" hidden="1" x14ac:dyDescent="0.3">
      <c r="A63" s="801" t="s">
        <v>1928</v>
      </c>
      <c r="B63" s="801" t="s">
        <v>1929</v>
      </c>
      <c r="C63" s="802">
        <v>0.4</v>
      </c>
      <c r="D63" s="803">
        <v>2019</v>
      </c>
      <c r="E63" s="803">
        <v>2023</v>
      </c>
      <c r="F63" s="801"/>
      <c r="G63" s="180"/>
      <c r="H63" s="180"/>
      <c r="I63" s="180"/>
      <c r="J63" s="180"/>
      <c r="K63" s="180"/>
      <c r="L63" s="180"/>
      <c r="M63" s="801"/>
    </row>
    <row r="64" spans="1:13" hidden="1" x14ac:dyDescent="0.3">
      <c r="A64" s="801" t="s">
        <v>1930</v>
      </c>
      <c r="B64" s="801" t="s">
        <v>1931</v>
      </c>
      <c r="C64" s="802">
        <v>0.5</v>
      </c>
      <c r="D64" s="803">
        <v>2020</v>
      </c>
      <c r="E64" s="803">
        <v>2028</v>
      </c>
      <c r="F64" s="801"/>
      <c r="G64" s="180"/>
      <c r="H64" s="180"/>
      <c r="I64" s="180"/>
      <c r="J64" s="180"/>
      <c r="K64" s="180"/>
      <c r="L64" s="180"/>
      <c r="M64" s="801"/>
    </row>
    <row r="65" spans="1:13" hidden="1" x14ac:dyDescent="0.3">
      <c r="A65" s="801" t="s">
        <v>1932</v>
      </c>
      <c r="B65" s="801" t="s">
        <v>861</v>
      </c>
      <c r="C65" s="802">
        <v>0.81</v>
      </c>
      <c r="D65" s="803">
        <v>2017</v>
      </c>
      <c r="E65" s="803">
        <v>2025</v>
      </c>
      <c r="F65" s="801"/>
      <c r="G65" s="180"/>
      <c r="H65" s="180"/>
      <c r="I65" s="180"/>
      <c r="J65" s="180"/>
      <c r="K65" s="180"/>
      <c r="L65" s="180"/>
      <c r="M65" s="801"/>
    </row>
    <row r="66" spans="1:13" hidden="1" x14ac:dyDescent="0.3">
      <c r="A66" s="801" t="s">
        <v>1933</v>
      </c>
      <c r="B66" s="801" t="s">
        <v>1934</v>
      </c>
      <c r="C66" s="802">
        <v>0.57750000000000001</v>
      </c>
      <c r="D66" s="803">
        <v>2019</v>
      </c>
      <c r="E66" s="803">
        <v>2023</v>
      </c>
      <c r="F66" s="801"/>
      <c r="G66" s="180"/>
      <c r="H66" s="180"/>
      <c r="I66" s="180"/>
      <c r="J66" s="180"/>
      <c r="K66" s="180"/>
      <c r="L66" s="180"/>
      <c r="M66" s="801"/>
    </row>
    <row r="67" spans="1:13" hidden="1" x14ac:dyDescent="0.3">
      <c r="A67" s="801" t="s">
        <v>1935</v>
      </c>
      <c r="B67" s="801" t="s">
        <v>1936</v>
      </c>
      <c r="C67" s="802">
        <v>0.6169</v>
      </c>
      <c r="D67" s="803">
        <v>2019</v>
      </c>
      <c r="E67" s="803">
        <v>2023</v>
      </c>
      <c r="F67" s="801"/>
      <c r="G67" s="180"/>
      <c r="H67" s="180"/>
      <c r="I67" s="180"/>
      <c r="J67" s="180"/>
      <c r="K67" s="180"/>
      <c r="L67" s="180"/>
      <c r="M67" s="801"/>
    </row>
    <row r="68" spans="1:13" hidden="1" x14ac:dyDescent="0.3">
      <c r="A68" s="801" t="s">
        <v>1937</v>
      </c>
      <c r="B68" s="801" t="s">
        <v>1938</v>
      </c>
      <c r="C68" s="802">
        <v>0.57999999999999996</v>
      </c>
      <c r="D68" s="803">
        <v>2018</v>
      </c>
      <c r="E68" s="803">
        <v>2022</v>
      </c>
      <c r="F68" s="801"/>
      <c r="G68" s="180"/>
      <c r="H68" s="180"/>
      <c r="I68" s="180"/>
      <c r="J68" s="180"/>
      <c r="K68" s="180"/>
      <c r="L68" s="180"/>
      <c r="M68" s="801"/>
    </row>
    <row r="69" spans="1:13" hidden="1" x14ac:dyDescent="0.3">
      <c r="A69" s="801" t="s">
        <v>1939</v>
      </c>
      <c r="B69" s="801" t="s">
        <v>1940</v>
      </c>
      <c r="C69" s="802">
        <v>0.61499999999999999</v>
      </c>
      <c r="D69" s="803">
        <v>2020</v>
      </c>
      <c r="E69" s="803">
        <v>2028</v>
      </c>
      <c r="F69" s="801"/>
      <c r="G69" s="180"/>
      <c r="H69" s="180"/>
      <c r="I69" s="180"/>
      <c r="J69" s="180"/>
      <c r="K69" s="180"/>
      <c r="L69" s="180"/>
      <c r="M69" s="801"/>
    </row>
    <row r="70" spans="1:13" hidden="1" x14ac:dyDescent="0.3">
      <c r="A70" s="801" t="s">
        <v>1941</v>
      </c>
      <c r="B70" s="801" t="s">
        <v>1942</v>
      </c>
      <c r="C70" s="802">
        <v>0.51</v>
      </c>
      <c r="D70" s="803">
        <v>2019</v>
      </c>
      <c r="E70" s="803">
        <v>2023</v>
      </c>
      <c r="F70" s="801"/>
      <c r="G70" s="180"/>
      <c r="H70" s="180"/>
      <c r="I70" s="180"/>
      <c r="J70" s="180"/>
      <c r="K70" s="180"/>
      <c r="L70" s="180"/>
      <c r="M70" s="801"/>
    </row>
    <row r="71" spans="1:13" x14ac:dyDescent="0.3">
      <c r="A71" s="801" t="s">
        <v>1818</v>
      </c>
      <c r="B71" s="801" t="s">
        <v>1819</v>
      </c>
      <c r="C71" s="802">
        <v>0.67</v>
      </c>
      <c r="D71" s="803">
        <v>2017</v>
      </c>
      <c r="E71" s="803">
        <v>2024</v>
      </c>
      <c r="F71" s="801"/>
      <c r="G71" s="180"/>
      <c r="H71" s="180"/>
      <c r="I71" s="180"/>
      <c r="J71" s="180"/>
      <c r="K71" s="180"/>
      <c r="L71" s="180"/>
      <c r="M71" s="801"/>
    </row>
    <row r="72" spans="1:13" hidden="1" x14ac:dyDescent="0.3">
      <c r="A72" s="801" t="s">
        <v>1943</v>
      </c>
      <c r="B72" s="801" t="s">
        <v>1944</v>
      </c>
      <c r="C72" s="802">
        <v>0.47499999999999998</v>
      </c>
      <c r="D72" s="803">
        <v>2021</v>
      </c>
      <c r="E72" s="803">
        <v>2025</v>
      </c>
      <c r="F72" s="801"/>
      <c r="G72" s="180"/>
      <c r="H72" s="180"/>
      <c r="I72" s="180"/>
      <c r="J72" s="180"/>
      <c r="K72" s="180"/>
      <c r="L72" s="180"/>
      <c r="M72" s="801"/>
    </row>
    <row r="73" spans="1:13" hidden="1" x14ac:dyDescent="0.3">
      <c r="A73" s="612" t="s">
        <v>1945</v>
      </c>
      <c r="B73" s="612" t="s">
        <v>532</v>
      </c>
      <c r="C73" s="805">
        <v>0.90500000000000003</v>
      </c>
      <c r="D73" s="613">
        <v>2015</v>
      </c>
      <c r="E73" s="613">
        <v>2023</v>
      </c>
      <c r="G73" s="180"/>
      <c r="H73" s="180"/>
      <c r="I73" s="180"/>
      <c r="J73" s="180"/>
      <c r="K73" s="180"/>
      <c r="L73" s="180"/>
    </row>
    <row r="74" spans="1:13" hidden="1" x14ac:dyDescent="0.3">
      <c r="A74" s="612" t="s">
        <v>1946</v>
      </c>
      <c r="B74" s="612" t="s">
        <v>1947</v>
      </c>
      <c r="C74" s="805">
        <v>0.70499999999999996</v>
      </c>
      <c r="D74" s="613">
        <v>2018</v>
      </c>
      <c r="E74" s="613">
        <v>2022</v>
      </c>
      <c r="G74" s="180"/>
      <c r="H74" s="180"/>
      <c r="I74" s="180"/>
      <c r="J74" s="180"/>
      <c r="K74" s="180"/>
      <c r="L74" s="180"/>
    </row>
    <row r="75" spans="1:13" hidden="1" x14ac:dyDescent="0.3">
      <c r="A75" s="612" t="s">
        <v>1948</v>
      </c>
      <c r="B75" s="612" t="s">
        <v>1949</v>
      </c>
      <c r="C75" s="805">
        <v>0.81869999999999998</v>
      </c>
      <c r="D75" s="613">
        <v>2021</v>
      </c>
      <c r="E75" s="613">
        <v>2025</v>
      </c>
      <c r="G75" s="180"/>
      <c r="H75" s="180"/>
      <c r="I75" s="180"/>
      <c r="J75" s="180"/>
      <c r="K75" s="180"/>
      <c r="L75" s="180"/>
    </row>
    <row r="76" spans="1:13" hidden="1" x14ac:dyDescent="0.3">
      <c r="A76" s="612" t="s">
        <v>1950</v>
      </c>
      <c r="B76" s="612" t="s">
        <v>1951</v>
      </c>
      <c r="C76" s="805">
        <v>0.625</v>
      </c>
      <c r="D76" s="613">
        <v>2020</v>
      </c>
      <c r="E76" s="613">
        <v>2028</v>
      </c>
      <c r="G76" s="180"/>
      <c r="H76" s="180"/>
      <c r="I76" s="180"/>
      <c r="J76" s="180"/>
      <c r="K76" s="180"/>
      <c r="L76" s="180"/>
    </row>
    <row r="77" spans="1:13" hidden="1" x14ac:dyDescent="0.3">
      <c r="A77" s="612" t="s">
        <v>1952</v>
      </c>
      <c r="B77" s="612" t="s">
        <v>1953</v>
      </c>
      <c r="C77" s="805">
        <v>0.77</v>
      </c>
      <c r="D77" s="613">
        <v>2014</v>
      </c>
      <c r="E77" s="613">
        <v>2022</v>
      </c>
      <c r="G77" s="180"/>
      <c r="H77" s="180"/>
      <c r="I77" s="180"/>
      <c r="J77" s="180"/>
      <c r="K77" s="180"/>
      <c r="L77" s="180"/>
    </row>
    <row r="78" spans="1:13" hidden="1" x14ac:dyDescent="0.3">
      <c r="A78" s="612" t="s">
        <v>1954</v>
      </c>
      <c r="B78" s="612" t="s">
        <v>535</v>
      </c>
      <c r="C78" s="805">
        <v>0.64500000000000002</v>
      </c>
      <c r="D78" s="613">
        <v>2019</v>
      </c>
      <c r="E78" s="613">
        <v>2027</v>
      </c>
      <c r="G78" s="180"/>
      <c r="H78" s="180"/>
      <c r="I78" s="180"/>
      <c r="J78" s="180"/>
      <c r="K78" s="180"/>
      <c r="L78" s="180"/>
    </row>
    <row r="79" spans="1:13" x14ac:dyDescent="0.3">
      <c r="A79" s="612" t="s">
        <v>1820</v>
      </c>
      <c r="B79" s="612" t="s">
        <v>1821</v>
      </c>
      <c r="C79" s="805">
        <v>0.61</v>
      </c>
      <c r="D79" s="613">
        <v>2016</v>
      </c>
      <c r="E79" s="613">
        <v>2024</v>
      </c>
      <c r="G79" s="180"/>
      <c r="H79" s="180"/>
      <c r="I79" s="180"/>
      <c r="J79" s="180"/>
      <c r="K79" s="180"/>
      <c r="L79" s="180"/>
    </row>
    <row r="80" spans="1:13" hidden="1" x14ac:dyDescent="0.3">
      <c r="A80" s="612" t="s">
        <v>1955</v>
      </c>
      <c r="B80" s="612" t="s">
        <v>1956</v>
      </c>
      <c r="C80" s="805">
        <v>0.72</v>
      </c>
      <c r="D80" s="613">
        <v>2021</v>
      </c>
      <c r="E80" s="613">
        <v>2025</v>
      </c>
      <c r="G80" s="180"/>
      <c r="H80" s="180"/>
      <c r="I80" s="180"/>
      <c r="J80" s="180"/>
      <c r="K80" s="180"/>
      <c r="L80" s="180"/>
    </row>
    <row r="81" spans="1:12" x14ac:dyDescent="0.3">
      <c r="A81" s="612" t="s">
        <v>1822</v>
      </c>
      <c r="B81" s="612" t="s">
        <v>1823</v>
      </c>
      <c r="C81" s="805">
        <v>0.68410000000000004</v>
      </c>
      <c r="D81" s="613">
        <v>2020</v>
      </c>
      <c r="E81" s="613">
        <v>2024</v>
      </c>
      <c r="G81" s="180"/>
      <c r="H81" s="180"/>
      <c r="I81" s="180"/>
      <c r="J81" s="180"/>
      <c r="K81" s="180"/>
      <c r="L81" s="180"/>
    </row>
    <row r="82" spans="1:12" hidden="1" x14ac:dyDescent="0.3">
      <c r="A82" s="612" t="s">
        <v>1957</v>
      </c>
      <c r="B82" s="612" t="s">
        <v>1958</v>
      </c>
      <c r="C82" s="805">
        <v>0.51429999999999998</v>
      </c>
      <c r="D82" s="613">
        <v>2021</v>
      </c>
      <c r="E82" s="613">
        <v>2025</v>
      </c>
      <c r="G82" s="180"/>
      <c r="H82" s="180"/>
      <c r="I82" s="180"/>
      <c r="J82" s="180"/>
      <c r="K82" s="180"/>
      <c r="L82" s="180"/>
    </row>
    <row r="83" spans="1:12" hidden="1" x14ac:dyDescent="0.3">
      <c r="A83" s="612" t="s">
        <v>1959</v>
      </c>
      <c r="B83" s="612" t="s">
        <v>1960</v>
      </c>
      <c r="C83" s="805">
        <v>0.63270000000000004</v>
      </c>
      <c r="D83" s="613">
        <v>2019</v>
      </c>
      <c r="E83" s="613">
        <v>2023</v>
      </c>
      <c r="G83" s="180"/>
      <c r="H83" s="180"/>
      <c r="I83" s="180"/>
      <c r="J83" s="180"/>
      <c r="K83" s="180"/>
      <c r="L83" s="180"/>
    </row>
    <row r="84" spans="1:12" x14ac:dyDescent="0.3">
      <c r="A84" s="612" t="s">
        <v>1824</v>
      </c>
      <c r="B84" s="612" t="s">
        <v>1825</v>
      </c>
      <c r="C84" s="805">
        <v>0.83</v>
      </c>
      <c r="D84" s="613">
        <v>2016</v>
      </c>
      <c r="E84" s="613">
        <v>2024</v>
      </c>
      <c r="G84" s="180"/>
      <c r="H84" s="180"/>
      <c r="I84" s="180"/>
      <c r="J84" s="180"/>
      <c r="K84" s="180"/>
      <c r="L84" s="180"/>
    </row>
    <row r="85" spans="1:12" x14ac:dyDescent="0.3">
      <c r="A85" s="612" t="s">
        <v>1826</v>
      </c>
      <c r="B85" s="612" t="s">
        <v>1827</v>
      </c>
      <c r="C85" s="805">
        <v>0.77</v>
      </c>
      <c r="D85" s="613">
        <v>2018</v>
      </c>
      <c r="E85" s="613">
        <v>2024</v>
      </c>
      <c r="G85" s="180"/>
      <c r="H85" s="180"/>
      <c r="I85" s="180"/>
      <c r="J85" s="180"/>
      <c r="K85" s="180"/>
      <c r="L85" s="180"/>
    </row>
    <row r="86" spans="1:12" x14ac:dyDescent="0.3">
      <c r="A86" s="612" t="s">
        <v>1828</v>
      </c>
      <c r="B86" s="612" t="s">
        <v>1829</v>
      </c>
      <c r="C86" s="805">
        <v>0.69499999999999995</v>
      </c>
      <c r="D86" s="613">
        <v>2019</v>
      </c>
      <c r="E86" s="613">
        <v>2024</v>
      </c>
      <c r="G86" s="180"/>
      <c r="H86" s="180"/>
      <c r="I86" s="180"/>
      <c r="J86" s="180"/>
      <c r="K86" s="180"/>
      <c r="L86" s="180"/>
    </row>
    <row r="87" spans="1:12" hidden="1" x14ac:dyDescent="0.3">
      <c r="A87" s="612" t="s">
        <v>1961</v>
      </c>
      <c r="B87" s="612" t="s">
        <v>1962</v>
      </c>
      <c r="C87" s="805">
        <v>0.65749999999999997</v>
      </c>
      <c r="D87" s="613">
        <v>2019</v>
      </c>
      <c r="E87" s="613">
        <v>2023</v>
      </c>
      <c r="G87" s="180"/>
      <c r="H87" s="180"/>
      <c r="I87" s="180"/>
      <c r="J87" s="180"/>
      <c r="K87" s="180"/>
      <c r="L87" s="180"/>
    </row>
    <row r="88" spans="1:12" hidden="1" x14ac:dyDescent="0.3">
      <c r="A88" s="612" t="s">
        <v>1963</v>
      </c>
      <c r="B88" s="612" t="s">
        <v>1964</v>
      </c>
      <c r="C88" s="805">
        <v>0.59699999999999998</v>
      </c>
      <c r="D88" s="613">
        <v>2019</v>
      </c>
      <c r="E88" s="613">
        <v>2023</v>
      </c>
      <c r="G88" s="180"/>
      <c r="H88" s="180"/>
      <c r="I88" s="180"/>
      <c r="J88" s="180"/>
      <c r="K88" s="180"/>
      <c r="L88" s="180"/>
    </row>
    <row r="89" spans="1:12" hidden="1" x14ac:dyDescent="0.3">
      <c r="A89" s="612" t="s">
        <v>1965</v>
      </c>
      <c r="B89" s="612" t="s">
        <v>1966</v>
      </c>
      <c r="C89" s="805">
        <v>0.82499999999999996</v>
      </c>
      <c r="D89" s="613">
        <v>2019</v>
      </c>
      <c r="E89" s="613">
        <v>2027</v>
      </c>
      <c r="G89" s="180"/>
      <c r="H89" s="180"/>
      <c r="I89" s="180"/>
      <c r="J89" s="180"/>
      <c r="K89" s="180"/>
      <c r="L89" s="180"/>
    </row>
    <row r="90" spans="1:12" hidden="1" x14ac:dyDescent="0.3">
      <c r="A90" s="612" t="s">
        <v>1967</v>
      </c>
      <c r="B90" s="612" t="s">
        <v>549</v>
      </c>
      <c r="C90" s="805">
        <v>1</v>
      </c>
      <c r="D90" s="613">
        <v>2019</v>
      </c>
      <c r="E90" s="613">
        <v>2027</v>
      </c>
      <c r="G90" s="180"/>
      <c r="H90" s="180"/>
      <c r="I90" s="180"/>
      <c r="J90" s="180"/>
      <c r="K90" s="180"/>
      <c r="L90" s="180"/>
    </row>
    <row r="91" spans="1:12" hidden="1" x14ac:dyDescent="0.3">
      <c r="A91" s="612" t="s">
        <v>1968</v>
      </c>
      <c r="B91" s="612" t="s">
        <v>1969</v>
      </c>
      <c r="C91" s="805">
        <v>0.61</v>
      </c>
      <c r="D91" s="613">
        <v>2021</v>
      </c>
      <c r="E91" s="613">
        <v>2025</v>
      </c>
      <c r="G91" s="180"/>
      <c r="H91" s="180"/>
      <c r="I91" s="180"/>
      <c r="J91" s="180"/>
      <c r="K91" s="180"/>
      <c r="L91" s="180"/>
    </row>
    <row r="92" spans="1:12" hidden="1" x14ac:dyDescent="0.3">
      <c r="A92" s="612" t="s">
        <v>1970</v>
      </c>
      <c r="B92" s="612" t="s">
        <v>1971</v>
      </c>
      <c r="C92" s="805">
        <v>0.66</v>
      </c>
      <c r="D92" s="613">
        <v>2021</v>
      </c>
      <c r="E92" s="613">
        <v>2025</v>
      </c>
      <c r="G92" s="180"/>
      <c r="H92" s="180"/>
      <c r="I92" s="180"/>
      <c r="J92" s="180"/>
      <c r="K92" s="180"/>
      <c r="L92" s="180"/>
    </row>
    <row r="93" spans="1:12" hidden="1" x14ac:dyDescent="0.3">
      <c r="A93" s="612" t="s">
        <v>1972</v>
      </c>
      <c r="B93" s="612" t="s">
        <v>1973</v>
      </c>
      <c r="C93" s="805">
        <v>0.55200000000000005</v>
      </c>
      <c r="D93" s="613">
        <v>2021</v>
      </c>
      <c r="E93" s="613">
        <v>2025</v>
      </c>
      <c r="G93" s="180"/>
      <c r="H93" s="180"/>
      <c r="I93" s="180"/>
      <c r="J93" s="180"/>
      <c r="K93" s="180"/>
      <c r="L93" s="180"/>
    </row>
    <row r="94" spans="1:12" hidden="1" x14ac:dyDescent="0.3">
      <c r="A94" s="612" t="s">
        <v>1974</v>
      </c>
      <c r="B94" s="612" t="s">
        <v>1975</v>
      </c>
      <c r="C94" s="805">
        <v>0.36</v>
      </c>
      <c r="D94" s="613">
        <v>2021</v>
      </c>
      <c r="E94" s="613">
        <v>2029</v>
      </c>
      <c r="G94" s="180"/>
      <c r="H94" s="180"/>
      <c r="I94" s="180"/>
      <c r="J94" s="180"/>
      <c r="K94" s="180"/>
      <c r="L94" s="180"/>
    </row>
    <row r="95" spans="1:12" hidden="1" x14ac:dyDescent="0.3">
      <c r="A95" s="612" t="s">
        <v>1976</v>
      </c>
      <c r="B95" s="612" t="s">
        <v>1977</v>
      </c>
      <c r="C95" s="805">
        <v>0.60329999999999995</v>
      </c>
      <c r="D95" s="613">
        <v>2021</v>
      </c>
      <c r="E95" s="613">
        <v>2025</v>
      </c>
      <c r="G95" s="180"/>
      <c r="H95" s="180"/>
      <c r="I95" s="180"/>
      <c r="J95" s="180"/>
      <c r="K95" s="180"/>
      <c r="L95" s="180"/>
    </row>
    <row r="96" spans="1:12" hidden="1" x14ac:dyDescent="0.3">
      <c r="A96" s="612" t="s">
        <v>1978</v>
      </c>
      <c r="B96" s="612" t="s">
        <v>558</v>
      </c>
      <c r="C96" s="805">
        <v>0.95</v>
      </c>
      <c r="D96" s="613">
        <v>2017</v>
      </c>
      <c r="E96" s="613">
        <v>2025</v>
      </c>
      <c r="G96" s="180"/>
      <c r="H96" s="180"/>
      <c r="I96" s="180"/>
      <c r="J96" s="180"/>
      <c r="K96" s="180"/>
      <c r="L96" s="180"/>
    </row>
    <row r="97" spans="1:12" hidden="1" x14ac:dyDescent="0.3">
      <c r="A97" s="612" t="s">
        <v>1979</v>
      </c>
      <c r="B97" s="612" t="s">
        <v>1980</v>
      </c>
      <c r="C97" s="805">
        <v>0.58799999999999997</v>
      </c>
      <c r="D97" s="613">
        <v>2021</v>
      </c>
      <c r="E97" s="613">
        <v>2025</v>
      </c>
      <c r="G97" s="180"/>
      <c r="H97" s="180"/>
      <c r="I97" s="180"/>
      <c r="J97" s="180"/>
      <c r="K97" s="180"/>
      <c r="L97" s="180"/>
    </row>
    <row r="98" spans="1:12" x14ac:dyDescent="0.3">
      <c r="A98" s="612" t="s">
        <v>1830</v>
      </c>
      <c r="B98" s="612" t="s">
        <v>1831</v>
      </c>
      <c r="C98" s="805">
        <v>0.89</v>
      </c>
      <c r="D98" s="613">
        <v>2016</v>
      </c>
      <c r="E98" s="613">
        <v>2024</v>
      </c>
    </row>
    <row r="99" spans="1:12" x14ac:dyDescent="0.3">
      <c r="A99" s="612" t="s">
        <v>1832</v>
      </c>
      <c r="B99" s="612" t="s">
        <v>1833</v>
      </c>
      <c r="C99" s="805">
        <v>0.6</v>
      </c>
      <c r="D99" s="613">
        <v>2020</v>
      </c>
      <c r="E99" s="613">
        <v>2024</v>
      </c>
    </row>
    <row r="100" spans="1:12" hidden="1" x14ac:dyDescent="0.3">
      <c r="A100" s="612" t="s">
        <v>1981</v>
      </c>
      <c r="B100" s="612" t="s">
        <v>1982</v>
      </c>
      <c r="C100" s="805">
        <v>0.81</v>
      </c>
      <c r="D100" s="613">
        <v>2017</v>
      </c>
      <c r="E100" s="613">
        <v>2025</v>
      </c>
    </row>
    <row r="101" spans="1:12" hidden="1" x14ac:dyDescent="0.3">
      <c r="A101" s="612" t="s">
        <v>1983</v>
      </c>
      <c r="B101" s="612" t="s">
        <v>1984</v>
      </c>
      <c r="C101" s="805">
        <v>0.85</v>
      </c>
      <c r="D101" s="613">
        <v>2021</v>
      </c>
      <c r="E101" s="613">
        <v>2029</v>
      </c>
    </row>
    <row r="102" spans="1:12" hidden="1" x14ac:dyDescent="0.3">
      <c r="A102" s="612" t="s">
        <v>1985</v>
      </c>
      <c r="B102" s="612" t="s">
        <v>1986</v>
      </c>
      <c r="C102" s="805">
        <v>0.40300000000000002</v>
      </c>
      <c r="D102" s="613">
        <v>2014</v>
      </c>
      <c r="E102" s="613">
        <v>2022</v>
      </c>
    </row>
    <row r="103" spans="1:12" hidden="1" x14ac:dyDescent="0.3">
      <c r="A103" s="612" t="s">
        <v>1987</v>
      </c>
      <c r="B103" s="612" t="s">
        <v>1988</v>
      </c>
      <c r="C103" s="805">
        <v>0.70750000000000002</v>
      </c>
      <c r="D103" s="613">
        <v>2019</v>
      </c>
      <c r="E103" s="613">
        <v>2027</v>
      </c>
    </row>
    <row r="104" spans="1:12" hidden="1" x14ac:dyDescent="0.3">
      <c r="A104" s="612" t="s">
        <v>1989</v>
      </c>
      <c r="B104" s="612" t="s">
        <v>1990</v>
      </c>
      <c r="C104" s="805">
        <v>0.66</v>
      </c>
      <c r="D104" s="613">
        <v>2019</v>
      </c>
      <c r="E104" s="613">
        <v>2023</v>
      </c>
    </row>
    <row r="105" spans="1:12" x14ac:dyDescent="0.3">
      <c r="A105" s="612" t="s">
        <v>1834</v>
      </c>
      <c r="B105" s="612" t="s">
        <v>1835</v>
      </c>
      <c r="C105" s="805">
        <v>0.73</v>
      </c>
      <c r="D105" s="613">
        <v>2016</v>
      </c>
      <c r="E105" s="613">
        <v>2024</v>
      </c>
    </row>
    <row r="106" spans="1:12" hidden="1" x14ac:dyDescent="0.3">
      <c r="A106" s="612" t="s">
        <v>1991</v>
      </c>
      <c r="B106" s="612" t="s">
        <v>1992</v>
      </c>
      <c r="C106" s="805">
        <v>0.66</v>
      </c>
      <c r="D106" s="613">
        <v>2017</v>
      </c>
      <c r="E106" s="613">
        <v>2023</v>
      </c>
    </row>
    <row r="107" spans="1:12" x14ac:dyDescent="0.3">
      <c r="A107" s="612" t="s">
        <v>1993</v>
      </c>
      <c r="B107" s="612" t="s">
        <v>1994</v>
      </c>
      <c r="C107" s="805">
        <v>0.6</v>
      </c>
      <c r="D107" s="613">
        <v>2016</v>
      </c>
      <c r="E107" s="613">
        <v>2024</v>
      </c>
    </row>
    <row r="109" spans="1:12" x14ac:dyDescent="0.3">
      <c r="C109" s="805">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L4" sqref="L4"/>
    </sheetView>
  </sheetViews>
  <sheetFormatPr defaultColWidth="9.109375" defaultRowHeight="14.4" x14ac:dyDescent="0.3"/>
  <cols>
    <col min="1" max="1" width="8.88671875" style="3" customWidth="1"/>
    <col min="2" max="2" width="17.5546875" style="46" bestFit="1" customWidth="1"/>
    <col min="3" max="3" width="42.5546875" style="363"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0"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894</v>
      </c>
      <c r="Y2" s="311" t="s">
        <v>893</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663</v>
      </c>
    </row>
    <row r="4" spans="1:28" ht="25.95" customHeight="1" x14ac:dyDescent="0.35">
      <c r="A4" s="284"/>
      <c r="B4" s="285"/>
      <c r="C4" s="44"/>
      <c r="D4" s="7"/>
      <c r="E4" s="7"/>
      <c r="F4" s="7"/>
      <c r="G4" s="64"/>
      <c r="H4" s="7"/>
      <c r="I4" s="278"/>
      <c r="J4" s="39">
        <v>999</v>
      </c>
      <c r="K4" s="11" t="s">
        <v>278</v>
      </c>
      <c r="L4" s="725"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1">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1">
        <v>500</v>
      </c>
      <c r="Y6" s="286">
        <v>500</v>
      </c>
      <c r="AA6" s="385">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1">
        <v>385</v>
      </c>
      <c r="Y7" s="286">
        <v>385</v>
      </c>
      <c r="AA7" s="385">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1">
        <v>575</v>
      </c>
      <c r="Y8" s="286">
        <v>575</v>
      </c>
      <c r="AA8" s="385">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1">
        <v>576</v>
      </c>
      <c r="Y9" s="286">
        <v>576</v>
      </c>
      <c r="AA9" s="385">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67">
        <f>'Unit Data from Audit Worksheet'!F14</f>
        <v>0</v>
      </c>
      <c r="F10"/>
      <c r="G10"/>
      <c r="H10"/>
      <c r="I10" s="32"/>
      <c r="J10" s="646">
        <v>626</v>
      </c>
      <c r="K10" s="647" t="s">
        <v>372</v>
      </c>
      <c r="L10" s="648">
        <f>IF(D10="",E10,D10)+IF(D9="",E9,D9)</f>
        <v>0</v>
      </c>
      <c r="M10"/>
      <c r="N10" s="167" t="s">
        <v>299</v>
      </c>
      <c r="O10" s="292"/>
      <c r="P10" s="198"/>
      <c r="Q10" s="293"/>
      <c r="R10" s="3"/>
      <c r="X10" s="551">
        <v>626</v>
      </c>
      <c r="Y10" s="294">
        <v>626</v>
      </c>
      <c r="AA10" s="385">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6"/>
      <c r="G11" s="665"/>
      <c r="H11" s="666"/>
      <c r="I11" s="32"/>
      <c r="J11" s="218">
        <v>627</v>
      </c>
      <c r="K11" s="193" t="s">
        <v>364</v>
      </c>
      <c r="L11" s="295">
        <f t="shared" ref="L11:L16" si="2">IF(D11="",E11,D11)</f>
        <v>0</v>
      </c>
      <c r="M11"/>
      <c r="N11" s="166"/>
      <c r="O11" s="292"/>
      <c r="P11" s="198"/>
      <c r="Q11" s="293"/>
      <c r="R11" s="3"/>
      <c r="X11" s="551">
        <v>627</v>
      </c>
      <c r="Y11" s="294">
        <v>627</v>
      </c>
      <c r="AA11" s="385">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1">
        <v>628</v>
      </c>
      <c r="Y12" s="294">
        <v>628</v>
      </c>
      <c r="AA12" s="385">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1">
        <v>629</v>
      </c>
      <c r="Y13" s="294">
        <v>629</v>
      </c>
      <c r="AA13" s="385">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1">
        <v>630</v>
      </c>
      <c r="Y14" s="294">
        <v>630</v>
      </c>
      <c r="AA14" s="385">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1">
        <v>631</v>
      </c>
      <c r="Y15" s="294">
        <v>631</v>
      </c>
      <c r="AA15" s="385">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1">
        <v>632</v>
      </c>
      <c r="Y16" s="294">
        <v>632</v>
      </c>
      <c r="AA16" s="385">
        <f t="shared" si="0"/>
        <v>0</v>
      </c>
      <c r="AB16" s="286">
        <f t="shared" si="1"/>
        <v>0</v>
      </c>
    </row>
    <row r="17" spans="1:28" ht="30.6" x14ac:dyDescent="0.3">
      <c r="A17" s="550">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1">
        <v>338</v>
      </c>
      <c r="Y17" s="286">
        <v>338</v>
      </c>
      <c r="AA17" s="385">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1">
        <v>335</v>
      </c>
      <c r="Y18" s="286">
        <v>335</v>
      </c>
      <c r="AA18" s="385">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1">
        <v>252</v>
      </c>
      <c r="Y19" s="286">
        <v>252</v>
      </c>
      <c r="AA19" s="385">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1">
        <v>253</v>
      </c>
      <c r="Y20" s="286">
        <v>253</v>
      </c>
      <c r="AA20" s="385">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1">
        <v>254</v>
      </c>
      <c r="Y21" s="286">
        <v>254</v>
      </c>
      <c r="AA21" s="385">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1">
        <v>502</v>
      </c>
      <c r="Y22" s="286">
        <v>502</v>
      </c>
      <c r="AA22" s="385">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1">
        <v>503</v>
      </c>
      <c r="Y23" s="286">
        <v>503</v>
      </c>
      <c r="AA23" s="385">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1">
        <v>344</v>
      </c>
      <c r="Y24" s="286">
        <v>344</v>
      </c>
      <c r="AA24" s="385">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1">
        <v>388</v>
      </c>
      <c r="Y25" s="286">
        <v>388</v>
      </c>
      <c r="AA25" s="385">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1">
        <v>339</v>
      </c>
      <c r="Y26" s="286">
        <v>339</v>
      </c>
      <c r="AA26" s="385">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1">
        <v>504</v>
      </c>
      <c r="Y27" s="286">
        <v>504</v>
      </c>
      <c r="AA27" s="385">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1">
        <v>505</v>
      </c>
      <c r="Y28" s="286">
        <v>505</v>
      </c>
      <c r="AA28" s="385">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1">
        <v>341</v>
      </c>
      <c r="Y29" s="286">
        <v>341</v>
      </c>
      <c r="AA29" s="385">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1">
        <v>386</v>
      </c>
      <c r="Y30" s="286">
        <v>386</v>
      </c>
      <c r="AA30" s="385">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1">
        <v>387</v>
      </c>
      <c r="Y31" s="286">
        <v>387</v>
      </c>
      <c r="AA31" s="385">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1">
        <v>389</v>
      </c>
      <c r="Y32" s="286">
        <v>389</v>
      </c>
      <c r="AA32" s="385">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1">
        <v>255</v>
      </c>
      <c r="Y33" s="286">
        <v>255</v>
      </c>
      <c r="AA33" s="385">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3"/>
      <c r="S34" s="383"/>
      <c r="T34" s="383"/>
      <c r="U34" s="383"/>
      <c r="V34" s="383"/>
      <c r="W34" s="383"/>
      <c r="X34" s="551">
        <v>376</v>
      </c>
      <c r="Y34" s="286">
        <v>376</v>
      </c>
      <c r="Z34" s="383"/>
      <c r="AA34" s="385">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3"/>
      <c r="S35" s="383"/>
      <c r="T35" s="383"/>
      <c r="U35" s="383"/>
      <c r="V35" s="383"/>
      <c r="W35" s="383"/>
      <c r="X35" s="551">
        <v>597</v>
      </c>
      <c r="Y35" s="286">
        <v>597</v>
      </c>
      <c r="Z35" s="383"/>
      <c r="AA35" s="385">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3"/>
      <c r="S36" s="383"/>
      <c r="T36" s="383"/>
      <c r="U36" s="383"/>
      <c r="V36" s="383"/>
      <c r="W36" s="383"/>
      <c r="X36" s="551">
        <v>592</v>
      </c>
      <c r="Y36" s="286">
        <v>592</v>
      </c>
      <c r="Z36" s="383"/>
      <c r="AA36" s="385">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3"/>
      <c r="S37" s="383"/>
      <c r="T37" s="383"/>
      <c r="U37" s="383"/>
      <c r="V37" s="383"/>
      <c r="W37" s="383"/>
      <c r="X37" s="551">
        <v>591</v>
      </c>
      <c r="Y37" s="286">
        <v>591</v>
      </c>
      <c r="Z37" s="383"/>
      <c r="AA37" s="385">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1">
        <v>506</v>
      </c>
      <c r="Y38" s="286">
        <v>506</v>
      </c>
      <c r="AA38" s="385">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1">
        <v>536</v>
      </c>
      <c r="Y39" s="286">
        <v>536</v>
      </c>
      <c r="Z39" s="18"/>
      <c r="AA39" s="385">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1">
        <v>586</v>
      </c>
      <c r="Y40" s="286">
        <v>586</v>
      </c>
      <c r="Z40" s="18"/>
      <c r="AA40" s="385">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1">
        <v>379</v>
      </c>
      <c r="Y41" s="286">
        <v>379</v>
      </c>
      <c r="AA41" s="385">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1">
        <v>368</v>
      </c>
      <c r="Y42" s="286">
        <v>368</v>
      </c>
      <c r="Z42" s="18"/>
      <c r="AA42" s="385">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1">
        <v>4</v>
      </c>
      <c r="Y43" s="286">
        <v>4</v>
      </c>
      <c r="Z43" s="18"/>
      <c r="AA43" s="385">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1">
        <v>5</v>
      </c>
      <c r="Y44" s="286">
        <v>5</v>
      </c>
      <c r="Z44" s="18"/>
      <c r="AA44" s="385">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1">
        <v>380</v>
      </c>
      <c r="Y45" s="286">
        <v>380</v>
      </c>
      <c r="AA45" s="385">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1">
        <v>391</v>
      </c>
      <c r="Y46" s="286">
        <v>391</v>
      </c>
      <c r="AA46" s="385">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1">
        <v>7</v>
      </c>
      <c r="Y47" s="286">
        <v>7</v>
      </c>
      <c r="AA47" s="385">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1">
        <v>11</v>
      </c>
      <c r="Y48" s="286">
        <v>11</v>
      </c>
      <c r="AA48" s="385">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1">
        <v>645</v>
      </c>
      <c r="Y49" s="286">
        <v>645</v>
      </c>
      <c r="Z49" s="3"/>
      <c r="AA49" s="385">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1">
        <v>646</v>
      </c>
      <c r="Y50" s="286">
        <v>646</v>
      </c>
      <c r="Z50" s="3"/>
      <c r="AA50" s="385">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1">
        <v>9</v>
      </c>
      <c r="Y51" s="286">
        <v>9</v>
      </c>
      <c r="AA51" s="385">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1">
        <v>540</v>
      </c>
      <c r="Y52" s="286">
        <v>540</v>
      </c>
      <c r="Z52" s="3"/>
      <c r="AA52" s="385">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1629</v>
      </c>
      <c r="L53" s="295">
        <f t="shared" si="7"/>
        <v>0</v>
      </c>
      <c r="M53"/>
      <c r="P53" s="196"/>
      <c r="Q53" s="279"/>
      <c r="R53" s="385"/>
      <c r="S53" s="385"/>
      <c r="T53" s="385"/>
      <c r="U53" s="385"/>
      <c r="V53" s="385"/>
      <c r="W53" s="385"/>
      <c r="X53" s="551"/>
      <c r="Y53" s="286"/>
      <c r="Z53" s="385"/>
      <c r="AA53" s="385">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1">
        <v>984</v>
      </c>
      <c r="Y54" s="286">
        <v>984</v>
      </c>
      <c r="Z54" s="3"/>
      <c r="AA54" s="385">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1">
        <v>985</v>
      </c>
      <c r="Y55" s="286">
        <v>985</v>
      </c>
      <c r="Z55" s="3"/>
      <c r="AA55" s="385">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1">
        <v>369</v>
      </c>
      <c r="Y56" s="294">
        <v>369</v>
      </c>
      <c r="AA56" s="385">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1">
        <v>16</v>
      </c>
      <c r="Y57" s="294">
        <v>16</v>
      </c>
      <c r="AA57" s="385">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1">
        <v>370</v>
      </c>
      <c r="Y58" s="286">
        <v>370</v>
      </c>
      <c r="AA58" s="385">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1">
        <v>532</v>
      </c>
      <c r="Y59" s="286">
        <v>532</v>
      </c>
      <c r="AA59" s="385">
        <f t="shared" si="0"/>
        <v>0</v>
      </c>
      <c r="AB59" s="286">
        <f t="shared" si="1"/>
        <v>0</v>
      </c>
    </row>
    <row r="60" spans="1:28" s="385"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1529</v>
      </c>
      <c r="L60" s="295">
        <f t="shared" si="7"/>
        <v>0</v>
      </c>
      <c r="M60"/>
      <c r="P60" s="205"/>
      <c r="Q60" s="279"/>
      <c r="X60" s="551"/>
      <c r="Y60" s="286"/>
      <c r="AA60" s="385">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1">
        <v>17</v>
      </c>
      <c r="Y61" s="286">
        <v>17</v>
      </c>
      <c r="AA61" s="385">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1">
        <v>20</v>
      </c>
      <c r="Y62" s="286">
        <v>20</v>
      </c>
      <c r="AA62" s="385">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1">
        <v>533</v>
      </c>
      <c r="Y63" s="286">
        <v>533</v>
      </c>
      <c r="AA63" s="385">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4"/>
      <c r="P64" s="198"/>
      <c r="X64" s="551">
        <v>508</v>
      </c>
      <c r="Y64" s="286">
        <v>508</v>
      </c>
      <c r="AA64" s="385">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5"/>
      <c r="P65" s="205"/>
      <c r="Q65" s="293"/>
      <c r="S65" s="292"/>
      <c r="T65" s="292"/>
      <c r="U65" s="292"/>
      <c r="V65" s="292"/>
      <c r="W65" s="18"/>
      <c r="X65" s="551">
        <v>509</v>
      </c>
      <c r="Y65" s="286">
        <v>509</v>
      </c>
      <c r="Z65" s="18"/>
      <c r="AA65" s="385">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5"/>
      <c r="P66" s="195"/>
      <c r="Q66" s="310"/>
      <c r="S66" s="309"/>
      <c r="T66" s="309"/>
      <c r="U66" s="309"/>
      <c r="V66" s="309"/>
      <c r="W66" s="309"/>
      <c r="X66" s="551">
        <v>22</v>
      </c>
      <c r="Y66" s="286">
        <v>22</v>
      </c>
      <c r="Z66" s="18"/>
      <c r="AA66" s="385">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1">
        <v>23</v>
      </c>
      <c r="Y67" s="286">
        <v>23</v>
      </c>
      <c r="AA67" s="385">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5"/>
      <c r="S68" s="385"/>
      <c r="T68" s="385"/>
      <c r="U68" s="385"/>
      <c r="V68" s="385"/>
      <c r="W68" s="309"/>
      <c r="X68" s="551">
        <v>507</v>
      </c>
      <c r="Y68" s="286">
        <v>507</v>
      </c>
      <c r="Z68" s="385"/>
      <c r="AA68" s="385">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808</v>
      </c>
      <c r="L69" s="302">
        <f>IF(D69="",E69,D69)</f>
        <v>0</v>
      </c>
      <c r="M69"/>
      <c r="N69" s="292"/>
      <c r="O69" s="308"/>
      <c r="P69" s="195"/>
      <c r="Q69" s="279"/>
      <c r="R69" s="3"/>
      <c r="S69" s="3"/>
      <c r="T69" s="3"/>
      <c r="U69" s="3"/>
      <c r="V69" s="3"/>
      <c r="W69" s="3"/>
      <c r="X69" s="551">
        <v>647</v>
      </c>
      <c r="Y69" s="286">
        <v>647</v>
      </c>
      <c r="Z69" s="3"/>
      <c r="AA69" s="385">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1">
        <v>171</v>
      </c>
      <c r="Y70" s="286">
        <v>171</v>
      </c>
      <c r="AA70" s="385">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1">
        <v>596</v>
      </c>
      <c r="Y71" s="286">
        <v>596</v>
      </c>
      <c r="AA71" s="385">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1">
        <v>80</v>
      </c>
      <c r="Y72" s="286">
        <v>80</v>
      </c>
      <c r="AA72" s="385">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1">
        <v>81</v>
      </c>
      <c r="Y73" s="286">
        <v>81</v>
      </c>
      <c r="AA73" s="385">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1">
        <v>579</v>
      </c>
      <c r="Y74" s="286">
        <v>579</v>
      </c>
      <c r="AA74" s="385">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1">
        <v>510</v>
      </c>
      <c r="Y75" s="286">
        <v>510</v>
      </c>
      <c r="AA75" s="385">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1">
        <v>654</v>
      </c>
      <c r="Y76" s="286">
        <v>654</v>
      </c>
      <c r="AA76" s="385">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1">
        <v>655</v>
      </c>
      <c r="Y77" s="286">
        <v>655</v>
      </c>
      <c r="AA77" s="385">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1">
        <v>381</v>
      </c>
      <c r="Y78" s="286">
        <v>381</v>
      </c>
      <c r="AA78" s="385">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1">
        <v>578</v>
      </c>
      <c r="Y79" s="286">
        <v>578</v>
      </c>
      <c r="AA79" s="385">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67">
        <f>'Unit Data from Audit Worksheet'!F94</f>
        <v>0</v>
      </c>
      <c r="F80"/>
      <c r="G80"/>
      <c r="H80"/>
      <c r="I80" s="664"/>
      <c r="J80" s="218">
        <v>633</v>
      </c>
      <c r="K80" s="193" t="s">
        <v>373</v>
      </c>
      <c r="L80" s="302">
        <f>IF(D80="",E80,D80)</f>
        <v>0</v>
      </c>
      <c r="M80"/>
      <c r="N80" s="292"/>
      <c r="O80" s="292"/>
      <c r="P80" s="196"/>
      <c r="Q80" s="279"/>
      <c r="R80" s="3"/>
      <c r="X80" s="551">
        <v>633</v>
      </c>
      <c r="Y80" s="286">
        <v>633</v>
      </c>
      <c r="AA80" s="385">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6"/>
      <c r="G81" s="665"/>
      <c r="H81" s="666"/>
      <c r="I81" s="301"/>
      <c r="J81" s="218">
        <v>634</v>
      </c>
      <c r="K81" s="193" t="s">
        <v>374</v>
      </c>
      <c r="L81" s="302">
        <f>IF(D81="",E81,D81)</f>
        <v>0</v>
      </c>
      <c r="M81"/>
      <c r="N81" s="292"/>
      <c r="O81" s="292"/>
      <c r="P81" s="196"/>
      <c r="Q81" s="279"/>
      <c r="R81" s="3"/>
      <c r="X81" s="551">
        <v>634</v>
      </c>
      <c r="Y81" s="286">
        <v>634</v>
      </c>
      <c r="AA81" s="385">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1">
        <v>635</v>
      </c>
      <c r="Y82" s="286">
        <v>635</v>
      </c>
      <c r="AA82" s="385">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1">
        <v>636</v>
      </c>
      <c r="Y83" s="286">
        <v>636</v>
      </c>
      <c r="AA83" s="385">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1">
        <v>637</v>
      </c>
      <c r="Y84" s="286">
        <v>637</v>
      </c>
      <c r="AA84" s="385">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1">
        <v>638</v>
      </c>
      <c r="Y85" s="286">
        <v>638</v>
      </c>
      <c r="AA85" s="385">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1">
        <v>383</v>
      </c>
      <c r="Y86" s="286">
        <v>383</v>
      </c>
      <c r="AA86" s="385">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1">
        <v>349</v>
      </c>
      <c r="Y87" s="286">
        <v>349</v>
      </c>
      <c r="AA87" s="385">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1">
        <v>375</v>
      </c>
      <c r="Y88" s="286">
        <v>375</v>
      </c>
      <c r="AA88" s="385">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1">
        <v>83</v>
      </c>
      <c r="Y89" s="286">
        <v>83</v>
      </c>
      <c r="AA89" s="385">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1">
        <v>90</v>
      </c>
      <c r="Y90" s="286">
        <v>90</v>
      </c>
      <c r="AA90" s="385">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1">
        <v>91</v>
      </c>
      <c r="Y91" s="286">
        <v>91</v>
      </c>
      <c r="AA91" s="385">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1">
        <v>581</v>
      </c>
      <c r="Y92" s="286">
        <v>581</v>
      </c>
      <c r="AA92" s="385">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1">
        <v>511</v>
      </c>
      <c r="Y93" s="286">
        <v>511</v>
      </c>
      <c r="AA93" s="385">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1">
        <v>657</v>
      </c>
      <c r="Y94" s="286">
        <v>657</v>
      </c>
      <c r="AA94" s="385">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1">
        <v>658</v>
      </c>
      <c r="Y95" s="286">
        <v>658</v>
      </c>
      <c r="AA95" s="385">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1">
        <v>382</v>
      </c>
      <c r="Y96" s="286">
        <v>382</v>
      </c>
      <c r="AA96" s="385">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1">
        <v>360</v>
      </c>
      <c r="Y97" s="286">
        <v>360</v>
      </c>
      <c r="AA97" s="385">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1">
        <v>580</v>
      </c>
      <c r="Y98" s="286">
        <v>580</v>
      </c>
      <c r="AA98" s="385">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68">
        <f>'Unit Data from Audit Worksheet'!F114</f>
        <v>0</v>
      </c>
      <c r="F99"/>
      <c r="G99"/>
      <c r="H99"/>
      <c r="I99" s="32"/>
      <c r="J99" s="222">
        <v>639</v>
      </c>
      <c r="K99" s="221" t="s">
        <v>377</v>
      </c>
      <c r="L99" s="302">
        <f t="shared" ref="L99:L123" si="13">IF(D99="",E99,D99)</f>
        <v>0</v>
      </c>
      <c r="M99"/>
      <c r="P99" s="196"/>
      <c r="Q99" s="279"/>
      <c r="R99" s="3"/>
      <c r="S99" s="3"/>
      <c r="T99" s="3"/>
      <c r="U99" s="3"/>
      <c r="V99" s="3"/>
      <c r="W99" s="3"/>
      <c r="X99" s="551">
        <v>639</v>
      </c>
      <c r="Y99" s="286">
        <v>639</v>
      </c>
      <c r="Z99" s="3"/>
      <c r="AA99" s="385">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1">
        <v>640</v>
      </c>
      <c r="Y100" s="286">
        <v>640</v>
      </c>
      <c r="Z100" s="3"/>
      <c r="AA100" s="385">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1">
        <v>641</v>
      </c>
      <c r="Y101" s="286">
        <v>641</v>
      </c>
      <c r="Z101" s="3"/>
      <c r="AA101" s="385">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1">
        <v>642</v>
      </c>
      <c r="Y102" s="286">
        <v>642</v>
      </c>
      <c r="Z102" s="3"/>
      <c r="AA102" s="385">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1">
        <v>643</v>
      </c>
      <c r="Y103" s="286">
        <v>643</v>
      </c>
      <c r="Z103" s="3"/>
      <c r="AA103" s="385">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1">
        <v>644</v>
      </c>
      <c r="Y104" s="286">
        <v>644</v>
      </c>
      <c r="Z104" s="3"/>
      <c r="AA104" s="385">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1">
        <v>384</v>
      </c>
      <c r="Y105" s="286">
        <v>384</v>
      </c>
      <c r="AA105" s="385">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1">
        <v>361</v>
      </c>
      <c r="Y106" s="286">
        <v>361</v>
      </c>
      <c r="AA106" s="385">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1">
        <v>362</v>
      </c>
      <c r="Y107" s="286">
        <v>362</v>
      </c>
      <c r="AA107" s="385">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1">
        <v>88</v>
      </c>
      <c r="Y108" s="286">
        <v>88</v>
      </c>
      <c r="AA108" s="385">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1">
        <v>84</v>
      </c>
      <c r="Y109" s="286">
        <v>84</v>
      </c>
      <c r="AA109" s="385">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1">
        <v>49</v>
      </c>
      <c r="Y110" s="286">
        <v>49</v>
      </c>
      <c r="AA110" s="385">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1">
        <v>85</v>
      </c>
      <c r="Y111" s="286">
        <v>85</v>
      </c>
      <c r="AA111" s="385">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1">
        <v>89</v>
      </c>
      <c r="Y112" s="286">
        <v>89</v>
      </c>
      <c r="AA112" s="385">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1">
        <v>350</v>
      </c>
      <c r="Y113" s="286">
        <v>350</v>
      </c>
      <c r="AA113" s="385">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1">
        <v>351</v>
      </c>
      <c r="Y114" s="286">
        <v>351</v>
      </c>
      <c r="AA114" s="385">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1">
        <v>191</v>
      </c>
      <c r="Y115" s="286">
        <v>191</v>
      </c>
      <c r="Z115" s="18"/>
      <c r="AA115" s="385">
        <f t="shared" si="9"/>
        <v>0</v>
      </c>
      <c r="AB115" s="286">
        <f t="shared" si="10"/>
        <v>0</v>
      </c>
    </row>
    <row r="116" spans="1:28" s="385"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1630</v>
      </c>
      <c r="L116" s="295">
        <f t="shared" si="13"/>
        <v>0</v>
      </c>
      <c r="M116"/>
      <c r="P116" s="196"/>
      <c r="Q116" s="279"/>
      <c r="S116" s="18"/>
      <c r="T116" s="18"/>
      <c r="U116" s="18"/>
      <c r="V116" s="18"/>
      <c r="X116" s="551"/>
      <c r="Y116" s="286"/>
      <c r="Z116" s="18"/>
      <c r="AA116" s="385">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1">
        <v>352</v>
      </c>
      <c r="Y117" s="286">
        <v>352</v>
      </c>
      <c r="AA117" s="385">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1">
        <v>986</v>
      </c>
      <c r="Y118" s="286">
        <v>986</v>
      </c>
      <c r="AA118" s="385">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1">
        <v>353</v>
      </c>
      <c r="Y119" s="286">
        <v>353</v>
      </c>
      <c r="AA119" s="385">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1">
        <v>50</v>
      </c>
      <c r="Y120" s="286">
        <v>50</v>
      </c>
      <c r="AA120" s="385">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1">
        <v>377</v>
      </c>
      <c r="Y121" s="286">
        <v>377</v>
      </c>
      <c r="AA121" s="385">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1">
        <v>537</v>
      </c>
      <c r="Y122" s="286">
        <v>537</v>
      </c>
      <c r="AA122" s="385">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1">
        <v>538</v>
      </c>
      <c r="Y123" s="286">
        <v>538</v>
      </c>
      <c r="AA123" s="385">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1">
        <v>97</v>
      </c>
      <c r="Y124" s="286">
        <v>97</v>
      </c>
      <c r="AA124" s="385">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1">
        <v>93</v>
      </c>
      <c r="Y125" s="286">
        <v>93</v>
      </c>
      <c r="AA125" s="385">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1">
        <v>99</v>
      </c>
      <c r="Y126" s="286">
        <v>99</v>
      </c>
      <c r="Z126" s="18"/>
      <c r="AA126" s="385">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1">
        <v>52</v>
      </c>
      <c r="Y127" s="286">
        <v>52</v>
      </c>
      <c r="AA127" s="385">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1">
        <v>94</v>
      </c>
      <c r="Y128" s="286">
        <v>94</v>
      </c>
      <c r="AA128" s="385">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1">
        <v>98</v>
      </c>
      <c r="Y129" s="286">
        <v>98</v>
      </c>
      <c r="AA129" s="385">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1">
        <v>363</v>
      </c>
      <c r="Y130" s="286">
        <v>363</v>
      </c>
      <c r="AA130" s="385">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1">
        <v>364</v>
      </c>
      <c r="Y131" s="286">
        <v>364</v>
      </c>
      <c r="AA131" s="385">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1">
        <v>192</v>
      </c>
      <c r="Y132" s="286">
        <v>192</v>
      </c>
      <c r="AA132" s="385">
        <f t="shared" si="9"/>
        <v>0</v>
      </c>
      <c r="AB132" s="286">
        <f t="shared" si="10"/>
        <v>0</v>
      </c>
    </row>
    <row r="133" spans="1:28" s="385"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1533</v>
      </c>
      <c r="L133" s="289">
        <f t="shared" si="15"/>
        <v>0</v>
      </c>
      <c r="M133"/>
      <c r="P133" s="196"/>
      <c r="Q133" s="279"/>
      <c r="X133" s="551"/>
      <c r="Y133" s="286"/>
      <c r="AA133" s="385">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1">
        <v>365</v>
      </c>
      <c r="Y134" s="286">
        <v>365</v>
      </c>
      <c r="AA134" s="385">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1">
        <v>366</v>
      </c>
      <c r="Y135" s="286">
        <v>366</v>
      </c>
      <c r="AA135" s="385">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1">
        <v>53</v>
      </c>
      <c r="Y136" s="286">
        <v>53</v>
      </c>
      <c r="Z136" s="3"/>
      <c r="AA136" s="385">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1">
        <v>378</v>
      </c>
      <c r="Y137" s="286">
        <v>378</v>
      </c>
      <c r="AA137" s="385">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1">
        <v>51</v>
      </c>
      <c r="Y138" s="286">
        <v>51</v>
      </c>
      <c r="AA138" s="385">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1">
        <v>332</v>
      </c>
      <c r="Y139" s="286">
        <v>332</v>
      </c>
      <c r="AA139" s="385">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1">
        <v>331</v>
      </c>
      <c r="Y140" s="286">
        <v>331</v>
      </c>
      <c r="AA140" s="385">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1">
        <v>55</v>
      </c>
      <c r="Y141" s="286">
        <v>55</v>
      </c>
      <c r="AA141" s="385">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1">
        <v>101</v>
      </c>
      <c r="Y142" s="286">
        <v>101</v>
      </c>
      <c r="AA142" s="385">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1">
        <v>100</v>
      </c>
      <c r="Y143" s="286">
        <v>100</v>
      </c>
      <c r="AA143" s="385">
        <f t="shared" si="16"/>
        <v>0</v>
      </c>
      <c r="AB143" s="286">
        <f t="shared" si="17"/>
        <v>0</v>
      </c>
    </row>
    <row r="144" spans="1:28" s="385"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1534</v>
      </c>
      <c r="L144" s="289">
        <f t="shared" si="15"/>
        <v>0</v>
      </c>
      <c r="M144"/>
      <c r="P144" s="196"/>
      <c r="Q144" s="279"/>
      <c r="X144" s="551"/>
      <c r="Y144" s="286"/>
      <c r="AB144" s="286"/>
    </row>
    <row r="145" spans="1:28" s="385"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1618</v>
      </c>
      <c r="L145" s="289">
        <f t="shared" si="15"/>
        <v>0</v>
      </c>
      <c r="M145"/>
      <c r="P145" s="196"/>
      <c r="Q145" s="279"/>
      <c r="X145" s="551"/>
      <c r="Y145" s="286"/>
      <c r="AB145" s="286"/>
    </row>
    <row r="146" spans="1:28" s="385"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1617</v>
      </c>
      <c r="L146" s="289">
        <f t="shared" si="15"/>
        <v>0</v>
      </c>
      <c r="M146"/>
      <c r="P146" s="196"/>
      <c r="Q146" s="279"/>
      <c r="X146" s="551"/>
      <c r="Y146" s="286"/>
      <c r="AB146" s="286"/>
    </row>
    <row r="147" spans="1:28" s="385"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1619</v>
      </c>
      <c r="L147" s="289">
        <f t="shared" si="15"/>
        <v>0</v>
      </c>
      <c r="M147"/>
      <c r="P147" s="196"/>
      <c r="Q147" s="279"/>
      <c r="X147" s="551"/>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1">
        <v>512</v>
      </c>
      <c r="Y148" s="286">
        <v>512</v>
      </c>
      <c r="AA148" s="385">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1">
        <v>656</v>
      </c>
      <c r="Y149" s="286">
        <v>656</v>
      </c>
      <c r="AA149" s="385">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1">
        <v>535</v>
      </c>
      <c r="Y150" s="286">
        <v>535</v>
      </c>
      <c r="Z150" s="3"/>
      <c r="AA150" s="385">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1">
        <v>334</v>
      </c>
      <c r="Y151" s="286">
        <v>334</v>
      </c>
      <c r="AA151" s="385">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1">
        <v>373</v>
      </c>
      <c r="Y152" s="286">
        <v>373</v>
      </c>
      <c r="AA152" s="385">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1">
        <v>987</v>
      </c>
      <c r="Y153" s="286">
        <v>987</v>
      </c>
      <c r="AA153" s="385">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876</v>
      </c>
      <c r="L154" s="295">
        <f t="shared" si="15"/>
        <v>0</v>
      </c>
      <c r="P154" s="196"/>
      <c r="X154" s="551">
        <v>988</v>
      </c>
      <c r="Y154" s="286">
        <v>988</v>
      </c>
      <c r="AA154" s="385">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810</v>
      </c>
      <c r="L155" s="295">
        <f t="shared" si="15"/>
        <v>0</v>
      </c>
      <c r="P155" s="196"/>
      <c r="X155" s="551">
        <v>989</v>
      </c>
      <c r="Y155" s="286">
        <v>989</v>
      </c>
      <c r="AA155" s="385">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1">
        <v>327</v>
      </c>
      <c r="Y156" s="286">
        <v>327</v>
      </c>
      <c r="AA156" s="385">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1">
        <v>328</v>
      </c>
      <c r="Y157" s="286">
        <v>328</v>
      </c>
      <c r="AA157" s="385">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1">
        <v>515</v>
      </c>
      <c r="Y158" s="286">
        <v>515</v>
      </c>
      <c r="AA158" s="385">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1">
        <v>516</v>
      </c>
      <c r="Y159" s="286">
        <v>516</v>
      </c>
      <c r="AA159" s="385">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1">
        <v>517</v>
      </c>
      <c r="Y160" s="286">
        <v>517</v>
      </c>
      <c r="AA160" s="385">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1">
        <v>518</v>
      </c>
      <c r="Y161" s="286">
        <v>518</v>
      </c>
      <c r="AA161" s="385">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1">
        <v>519</v>
      </c>
      <c r="Y162" s="286">
        <v>519</v>
      </c>
      <c r="AA162" s="385">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1">
        <v>520</v>
      </c>
      <c r="Y163" s="286">
        <v>520</v>
      </c>
      <c r="AA163" s="385">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1">
        <v>521</v>
      </c>
      <c r="Y164" s="286">
        <v>521</v>
      </c>
      <c r="AA164" s="385">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1">
        <v>522</v>
      </c>
      <c r="Y165" s="286">
        <v>522</v>
      </c>
      <c r="Z165" s="18"/>
      <c r="AA165" s="385">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1">
        <v>523</v>
      </c>
      <c r="Y166" s="286">
        <v>523</v>
      </c>
      <c r="Z166" s="18"/>
      <c r="AA166" s="385">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1">
        <v>524</v>
      </c>
      <c r="Y167" s="286">
        <v>524</v>
      </c>
      <c r="Z167" s="18"/>
      <c r="AA167" s="385">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1">
        <v>525</v>
      </c>
      <c r="Y168" s="286">
        <v>525</v>
      </c>
      <c r="AA168" s="385">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1">
        <v>526</v>
      </c>
      <c r="Y169" s="286">
        <v>526</v>
      </c>
      <c r="AA169" s="385">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1">
        <v>527</v>
      </c>
      <c r="Y170" s="286">
        <v>527</v>
      </c>
      <c r="AA170" s="385">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1">
        <v>356</v>
      </c>
      <c r="Y171" s="286">
        <v>356</v>
      </c>
      <c r="AA171" s="385">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1">
        <v>357</v>
      </c>
      <c r="Y172" s="286">
        <v>357</v>
      </c>
      <c r="AA172" s="385">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1">
        <v>337</v>
      </c>
      <c r="Y173" s="286">
        <v>337</v>
      </c>
      <c r="AA173" s="385">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1">
        <v>343</v>
      </c>
      <c r="Y174" s="294">
        <v>343</v>
      </c>
      <c r="AA174" s="385">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1">
        <v>82</v>
      </c>
      <c r="Y175" s="286">
        <v>82</v>
      </c>
      <c r="AA175" s="385">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1">
        <v>359</v>
      </c>
      <c r="Y176" s="286">
        <v>359</v>
      </c>
      <c r="AA176" s="385">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1">
        <v>622</v>
      </c>
      <c r="Y177" s="286">
        <v>622</v>
      </c>
      <c r="Z177" s="18"/>
      <c r="AA177" s="385">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1">
        <v>577</v>
      </c>
      <c r="Y178" s="286">
        <v>577</v>
      </c>
      <c r="Z178" s="18"/>
      <c r="AA178" s="385">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1">
        <v>598</v>
      </c>
      <c r="Y179" s="286">
        <v>598</v>
      </c>
      <c r="Z179" s="18"/>
      <c r="AA179" s="385">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1">
        <v>599</v>
      </c>
      <c r="Y180" s="286">
        <v>599</v>
      </c>
      <c r="AA180" s="385">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1">
        <v>602</v>
      </c>
      <c r="Y181" s="286">
        <v>602</v>
      </c>
      <c r="AA181" s="385">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29">
        <f t="shared" si="15"/>
        <v>0</v>
      </c>
      <c r="P182" s="196"/>
      <c r="X182" s="551">
        <v>619</v>
      </c>
      <c r="Y182" s="286">
        <v>619</v>
      </c>
      <c r="AA182" s="385">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1">
        <v>621</v>
      </c>
      <c r="Y183" s="286">
        <v>621</v>
      </c>
      <c r="AA183" s="385">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1">
        <v>547</v>
      </c>
      <c r="Y184" s="286">
        <v>547</v>
      </c>
      <c r="Z184" s="3"/>
      <c r="AA184" s="385">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1579</v>
      </c>
      <c r="H185" s="223"/>
      <c r="I185" s="32"/>
      <c r="J185" s="214">
        <v>659</v>
      </c>
      <c r="K185" s="213" t="s">
        <v>418</v>
      </c>
      <c r="L185" s="302">
        <f t="shared" si="15"/>
        <v>0</v>
      </c>
      <c r="M185"/>
      <c r="P185" s="197"/>
      <c r="Q185" s="279"/>
      <c r="R185" s="3"/>
      <c r="S185" s="3"/>
      <c r="T185" s="3"/>
      <c r="U185" s="3"/>
      <c r="V185" s="3"/>
      <c r="W185" s="3"/>
      <c r="X185" s="551">
        <v>659</v>
      </c>
      <c r="Y185" s="286">
        <v>659</v>
      </c>
      <c r="Z185" s="3"/>
      <c r="AA185" s="385">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1579</v>
      </c>
      <c r="H186" s="223"/>
      <c r="I186" s="32"/>
      <c r="J186" s="214">
        <v>660</v>
      </c>
      <c r="K186" s="213" t="s">
        <v>419</v>
      </c>
      <c r="L186" s="302">
        <f t="shared" si="15"/>
        <v>0</v>
      </c>
      <c r="M186"/>
      <c r="P186" s="197"/>
      <c r="Q186" s="279"/>
      <c r="R186" s="3"/>
      <c r="S186" s="3"/>
      <c r="T186" s="3"/>
      <c r="U186" s="3"/>
      <c r="V186" s="3"/>
      <c r="W186" s="3"/>
      <c r="X186" s="551">
        <v>660</v>
      </c>
      <c r="Y186" s="286">
        <v>660</v>
      </c>
      <c r="Z186" s="3"/>
      <c r="AA186" s="385">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1579</v>
      </c>
      <c r="H187" s="160">
        <f>ROUND(IFERROR((L186/L185)*100,0),1)</f>
        <v>0</v>
      </c>
      <c r="I187" s="32"/>
      <c r="J187" s="214">
        <v>661</v>
      </c>
      <c r="K187" s="228" t="s">
        <v>421</v>
      </c>
      <c r="L187" s="730">
        <f>IF(D187="",E187,D187)</f>
        <v>0</v>
      </c>
      <c r="P187" s="197"/>
      <c r="X187" s="551">
        <v>661</v>
      </c>
      <c r="Y187" s="3">
        <v>661</v>
      </c>
      <c r="AA187" s="385">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1">
        <v>371</v>
      </c>
      <c r="Y188" s="3">
        <v>371</v>
      </c>
      <c r="AA188" s="385">
        <f t="shared" si="16"/>
        <v>0</v>
      </c>
      <c r="AB188" s="286">
        <f t="shared" si="17"/>
        <v>0</v>
      </c>
    </row>
    <row r="189" spans="1:28" s="385"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796">
        <v>1075</v>
      </c>
      <c r="K189" s="118" t="s">
        <v>1700</v>
      </c>
      <c r="L189" s="306">
        <f t="shared" si="15"/>
        <v>0</v>
      </c>
      <c r="M189" s="180"/>
      <c r="P189" s="199"/>
      <c r="Q189" s="279"/>
      <c r="X189" s="551"/>
      <c r="AB189" s="286"/>
    </row>
    <row r="190" spans="1:28" s="385"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796">
        <v>1076</v>
      </c>
      <c r="K190" s="118" t="s">
        <v>1701</v>
      </c>
      <c r="L190" s="306">
        <f t="shared" si="15"/>
        <v>0</v>
      </c>
      <c r="M190" s="180"/>
      <c r="P190" s="199"/>
      <c r="Q190" s="279"/>
      <c r="X190" s="551"/>
      <c r="AB190" s="286"/>
    </row>
    <row r="191" spans="1:28" s="385"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Water and Sewer Capital Project Funds</v>
      </c>
      <c r="D191" s="230"/>
      <c r="E191" s="232">
        <f>'Unit Data from Audit Worksheet'!F241</f>
        <v>0</v>
      </c>
      <c r="F191" s="224"/>
      <c r="G191" s="226"/>
      <c r="H191" s="223"/>
      <c r="I191" s="32"/>
      <c r="J191" s="796">
        <v>1077</v>
      </c>
      <c r="K191" s="118" t="s">
        <v>2790</v>
      </c>
      <c r="L191" s="306">
        <f t="shared" si="15"/>
        <v>0</v>
      </c>
      <c r="M191" s="180"/>
      <c r="P191" s="199"/>
      <c r="Q191" s="279"/>
      <c r="X191" s="551"/>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1">
        <v>513</v>
      </c>
      <c r="Y192" s="3">
        <v>513</v>
      </c>
      <c r="AA192" s="385">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1">
        <v>514</v>
      </c>
      <c r="Y193" s="3">
        <v>514</v>
      </c>
      <c r="AA193" s="385">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1">
        <v>990</v>
      </c>
      <c r="Y194" s="3">
        <v>990</v>
      </c>
      <c r="AA194" s="385">
        <f t="shared" si="16"/>
        <v>0</v>
      </c>
      <c r="AB194" s="286">
        <f t="shared" si="17"/>
        <v>0</v>
      </c>
    </row>
    <row r="195" spans="1:28" s="385"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1522</v>
      </c>
      <c r="L195" s="295">
        <f t="shared" si="15"/>
        <v>0</v>
      </c>
      <c r="M195"/>
      <c r="P195" s="199"/>
      <c r="Q195" s="279"/>
      <c r="X195" s="551"/>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1">
        <v>6</v>
      </c>
      <c r="Y196" s="3">
        <v>6</v>
      </c>
      <c r="AA196" s="385">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1">
        <v>541</v>
      </c>
      <c r="Y197" s="3">
        <v>541</v>
      </c>
      <c r="AA197" s="385">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1">
        <v>542</v>
      </c>
      <c r="Y198" s="3">
        <v>542</v>
      </c>
      <c r="AA198" s="385">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1">
        <v>528</v>
      </c>
      <c r="Y199" s="3">
        <v>528</v>
      </c>
      <c r="AA199" s="385">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1">
        <v>529</v>
      </c>
      <c r="Y200" s="3">
        <v>529</v>
      </c>
      <c r="Z200" s="3"/>
      <c r="AA200" s="385">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1">
        <v>530</v>
      </c>
      <c r="Y201" s="3">
        <v>530</v>
      </c>
      <c r="Z201" s="3"/>
      <c r="AA201" s="385">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1">
        <v>531</v>
      </c>
      <c r="Y202" s="3">
        <v>531</v>
      </c>
      <c r="Z202" s="3"/>
      <c r="AA202" s="385">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1">
        <f t="shared" si="18"/>
        <v>0</v>
      </c>
      <c r="N203" s="76"/>
      <c r="P203" s="199"/>
      <c r="X203" s="551">
        <v>61</v>
      </c>
      <c r="Y203" s="3">
        <v>61</v>
      </c>
      <c r="AA203" s="385">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1">
        <f t="shared" si="18"/>
        <v>0</v>
      </c>
      <c r="N204" s="76"/>
      <c r="P204" s="199"/>
      <c r="X204" s="551">
        <v>102</v>
      </c>
      <c r="Y204" s="3">
        <v>102</v>
      </c>
      <c r="AA204" s="385">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1">
        <f t="shared" si="18"/>
        <v>0</v>
      </c>
      <c r="N205" s="76"/>
      <c r="P205" s="199"/>
      <c r="X205" s="551">
        <v>103</v>
      </c>
      <c r="Y205" s="3">
        <v>103</v>
      </c>
      <c r="AA205" s="385">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1">
        <v>544</v>
      </c>
      <c r="Y206" s="3">
        <v>544</v>
      </c>
      <c r="AA206" s="385">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1">
        <v>545</v>
      </c>
      <c r="Y207" s="3">
        <v>545</v>
      </c>
      <c r="AA207" s="385">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1">
        <v>624</v>
      </c>
      <c r="Y208" s="3">
        <v>624</v>
      </c>
      <c r="AA208" s="385">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2">
        <f t="shared" si="19"/>
        <v>0</v>
      </c>
      <c r="P209" s="199"/>
      <c r="X209" s="551">
        <v>648</v>
      </c>
      <c r="Y209" s="3">
        <v>648</v>
      </c>
      <c r="AA209" s="385">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874</v>
      </c>
      <c r="L210" s="289">
        <f t="shared" si="19"/>
        <v>0</v>
      </c>
      <c r="P210" s="199"/>
      <c r="X210" s="551">
        <v>991</v>
      </c>
      <c r="Y210" s="3">
        <v>991</v>
      </c>
      <c r="AA210" s="385">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1">
        <v>620</v>
      </c>
      <c r="Y211" s="3">
        <v>620</v>
      </c>
      <c r="AA211" s="385">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657</v>
      </c>
      <c r="P212" s="195"/>
      <c r="X212" s="286" t="e">
        <v>#N/A</v>
      </c>
      <c r="AA212" s="385">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657</v>
      </c>
      <c r="P213" s="196"/>
      <c r="X213" s="286" t="e">
        <v>#N/A</v>
      </c>
      <c r="Y213" s="385"/>
      <c r="AA213" s="385">
        <f t="shared" si="20"/>
        <v>0</v>
      </c>
      <c r="AB213" s="286">
        <f t="shared" si="21"/>
        <v>0</v>
      </c>
    </row>
    <row r="214" spans="1:28" s="385"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1620</v>
      </c>
      <c r="L214" s="295">
        <f t="shared" si="19"/>
        <v>0</v>
      </c>
      <c r="M214"/>
      <c r="N214" s="246" t="s">
        <v>657</v>
      </c>
      <c r="P214" s="197"/>
      <c r="Q214" s="279"/>
      <c r="X214" s="286"/>
      <c r="AA214" s="385">
        <f t="shared" si="20"/>
        <v>0</v>
      </c>
      <c r="AB214" s="286"/>
    </row>
    <row r="215" spans="1:28" s="385"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1621</v>
      </c>
      <c r="L215" s="295">
        <f t="shared" si="19"/>
        <v>0</v>
      </c>
      <c r="M215"/>
      <c r="N215" s="246" t="s">
        <v>657</v>
      </c>
      <c r="P215" s="197"/>
      <c r="Q215" s="279"/>
      <c r="X215" s="286"/>
      <c r="AA215" s="385">
        <f t="shared" si="20"/>
        <v>0</v>
      </c>
      <c r="AB215" s="286"/>
    </row>
    <row r="216" spans="1:28" s="385"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5" t="s">
        <v>2774</v>
      </c>
      <c r="L216" s="295">
        <f t="shared" si="19"/>
        <v>0</v>
      </c>
      <c r="M216"/>
      <c r="N216" s="246" t="s">
        <v>657</v>
      </c>
      <c r="P216" s="197"/>
      <c r="Q216" s="279"/>
      <c r="X216" s="286"/>
      <c r="AA216" s="385">
        <f t="shared" si="20"/>
        <v>0</v>
      </c>
      <c r="AB216" s="286"/>
    </row>
    <row r="217" spans="1:28" s="385"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1622</v>
      </c>
      <c r="L217" s="295">
        <f t="shared" si="19"/>
        <v>0</v>
      </c>
      <c r="M217"/>
      <c r="N217" s="246" t="s">
        <v>657</v>
      </c>
      <c r="P217" s="197"/>
      <c r="Q217" s="279"/>
      <c r="X217" s="286"/>
      <c r="AA217" s="385">
        <f t="shared" si="20"/>
        <v>0</v>
      </c>
      <c r="AB217" s="286"/>
    </row>
    <row r="218" spans="1:28" s="385"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5" t="s">
        <v>1684</v>
      </c>
      <c r="L218" s="295">
        <f t="shared" si="19"/>
        <v>0</v>
      </c>
      <c r="M218"/>
      <c r="N218" s="246" t="s">
        <v>657</v>
      </c>
      <c r="P218" s="197"/>
      <c r="Q218" s="279"/>
      <c r="X218" s="286"/>
      <c r="AA218" s="385">
        <f t="shared" si="20"/>
        <v>0</v>
      </c>
      <c r="AB218" s="286"/>
    </row>
    <row r="219" spans="1:28" s="385"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214">
        <f>IF(+'TD Info Completed by Auditor'!C18="Yes",1,IF(+'TD Info Completed by Auditor'!C18="No",2,IF(+'TD Info Completed by Auditor'!C18="N/A",3,0)))</f>
        <v>0</v>
      </c>
      <c r="F219" s="227"/>
      <c r="G219" s="226"/>
      <c r="H219" s="223"/>
      <c r="I219" s="32"/>
      <c r="J219" s="119">
        <v>1078</v>
      </c>
      <c r="K219" s="304" t="s">
        <v>2771</v>
      </c>
      <c r="L219" s="306">
        <f t="shared" si="19"/>
        <v>0</v>
      </c>
      <c r="M219" s="180"/>
      <c r="N219" s="246"/>
      <c r="P219" s="197"/>
      <c r="Q219" s="279"/>
      <c r="X219" s="286"/>
      <c r="AB219" s="286"/>
    </row>
    <row r="220" spans="1:28" s="385"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2772</v>
      </c>
      <c r="L220" s="306">
        <f t="shared" si="19"/>
        <v>0</v>
      </c>
      <c r="M220" s="180"/>
      <c r="N220" s="246" t="s">
        <v>657</v>
      </c>
      <c r="P220" s="197"/>
      <c r="Q220" s="279"/>
      <c r="X220" s="286"/>
      <c r="AB220" s="286"/>
    </row>
    <row r="221" spans="1:28" s="385"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657</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996" t="s">
        <v>2775</v>
      </c>
      <c r="L222" s="295">
        <f t="shared" si="19"/>
        <v>0</v>
      </c>
      <c r="N222" s="246" t="s">
        <v>657</v>
      </c>
      <c r="P222" s="197"/>
      <c r="X222" s="286" t="e">
        <v>#N/A</v>
      </c>
      <c r="Y222" s="385"/>
      <c r="AA222" s="385">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657</v>
      </c>
      <c r="P223" s="197"/>
      <c r="X223" s="286" t="e">
        <v>#N/A</v>
      </c>
      <c r="Y223" s="385"/>
      <c r="AA223" s="385">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657</v>
      </c>
      <c r="P224" s="197"/>
      <c r="X224" s="286" t="e">
        <v>#N/A</v>
      </c>
      <c r="Y224" s="385"/>
      <c r="AA224" s="385">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1582</v>
      </c>
      <c r="L225" s="295">
        <f>IF(D225="",E225,D225)</f>
        <v>0</v>
      </c>
      <c r="N225" s="246" t="s">
        <v>657</v>
      </c>
      <c r="P225" s="203"/>
      <c r="X225" s="286" t="e">
        <v>#N/A</v>
      </c>
      <c r="Y225" s="385"/>
      <c r="AA225" s="385">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659</v>
      </c>
      <c r="L226" s="295">
        <f t="shared" si="19"/>
        <v>0</v>
      </c>
      <c r="N226" s="246" t="s">
        <v>657</v>
      </c>
      <c r="P226" s="197"/>
      <c r="X226" s="286" t="e">
        <v>#N/A</v>
      </c>
      <c r="Y226" s="385"/>
      <c r="AA226" s="385">
        <f t="shared" si="20"/>
        <v>0</v>
      </c>
      <c r="AB226" s="286">
        <f t="shared" si="21"/>
        <v>0</v>
      </c>
    </row>
    <row r="227" spans="1:28" s="385"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809</v>
      </c>
      <c r="L227" s="295">
        <f t="shared" ref="L227" si="22">IF(D227="",E227,D227)</f>
        <v>0</v>
      </c>
      <c r="M227"/>
      <c r="N227" s="246" t="s">
        <v>657</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996" t="s">
        <v>2776</v>
      </c>
      <c r="L228" s="295">
        <f>IF(D228="",E228,D228)</f>
        <v>0</v>
      </c>
      <c r="N228" s="246" t="s">
        <v>657</v>
      </c>
      <c r="P228" s="203"/>
      <c r="Q228" s="318"/>
      <c r="X228" s="286" t="e">
        <v>#N/A</v>
      </c>
      <c r="Y228" s="385"/>
      <c r="AA228" s="385">
        <f t="shared" si="20"/>
        <v>0</v>
      </c>
      <c r="AB228" s="286">
        <f t="shared" si="21"/>
        <v>0</v>
      </c>
    </row>
    <row r="229" spans="1:28" s="385" customFormat="1" ht="87.75" customHeight="1" x14ac:dyDescent="0.3">
      <c r="A229" s="304">
        <v>1068</v>
      </c>
      <c r="B229" s="304" t="s">
        <v>600</v>
      </c>
      <c r="C229" s="304" t="str">
        <f>'TD Info Completed by Auditor'!B35</f>
        <v xml:space="preserve">Does the unit have a self-insurance fund? </v>
      </c>
      <c r="D229" s="230"/>
      <c r="E229" s="778">
        <f>IF(+'TD Info Completed by Auditor'!C35="Yes",1,IF(+'TD Info Completed by Auditor'!C35="No",2,IF(+'TD Info Completed by Auditor'!C35="N/A",3,0)))</f>
        <v>0</v>
      </c>
      <c r="F229" s="779"/>
      <c r="G229" s="780"/>
      <c r="H229" s="781"/>
      <c r="I229" s="32"/>
      <c r="J229" s="782">
        <v>1068</v>
      </c>
      <c r="K229" s="304" t="s">
        <v>1689</v>
      </c>
      <c r="L229" s="997">
        <f t="shared" ref="L229:L232" si="23">IF(D229="",E229,D229)</f>
        <v>0</v>
      </c>
      <c r="M229" s="180"/>
      <c r="N229" s="246" t="s">
        <v>657</v>
      </c>
      <c r="P229" s="203"/>
      <c r="Q229" s="318"/>
      <c r="X229" s="286"/>
      <c r="AB229" s="286"/>
    </row>
    <row r="230" spans="1:28" s="385" customFormat="1" ht="87.75" customHeight="1" x14ac:dyDescent="0.3">
      <c r="A230" s="304">
        <v>1069</v>
      </c>
      <c r="B230" s="304" t="s">
        <v>600</v>
      </c>
      <c r="C230" s="626" t="str">
        <f>'TD Info Completed by Auditor'!B36</f>
        <v>If the unit is self-insured for employee health care, does the unit use a qualified consultant to establish rates and appropriate reserve levels?</v>
      </c>
      <c r="D230" s="230"/>
      <c r="E230" s="778">
        <f>IF(+'TD Info Completed by Auditor'!C36="Yes",1,IF(+'TD Info Completed by Auditor'!C36="No",2,IF(+'TD Info Completed by Auditor'!C36="N/A",3,0)))</f>
        <v>0</v>
      </c>
      <c r="F230" s="779"/>
      <c r="G230" s="780"/>
      <c r="H230" s="781"/>
      <c r="I230" s="32"/>
      <c r="J230" s="782">
        <v>1069</v>
      </c>
      <c r="K230" s="626" t="s">
        <v>1697</v>
      </c>
      <c r="L230" s="997">
        <f t="shared" si="23"/>
        <v>0</v>
      </c>
      <c r="M230" s="180"/>
      <c r="N230" s="246" t="s">
        <v>657</v>
      </c>
      <c r="P230" s="203"/>
      <c r="Q230" s="318"/>
      <c r="X230" s="286"/>
      <c r="AB230" s="286"/>
    </row>
    <row r="231" spans="1:28" s="385" customFormat="1" ht="96" customHeight="1" x14ac:dyDescent="0.3">
      <c r="A231" s="304">
        <v>1070</v>
      </c>
      <c r="B231" s="304" t="s">
        <v>600</v>
      </c>
      <c r="C231" s="304" t="str">
        <f>'TD Info Completed by Auditor'!B37</f>
        <v>Does the Unit have a non-state administered pension plan?
(Note - OPEB is not a pension plan.)</v>
      </c>
      <c r="D231" s="230"/>
      <c r="E231" s="778">
        <f>IF(+'TD Info Completed by Auditor'!C37="Yes",1,IF(+'TD Info Completed by Auditor'!C37="No",2,IF(+'TD Info Completed by Auditor'!C37="N/A",3,0)))</f>
        <v>0</v>
      </c>
      <c r="F231" s="779"/>
      <c r="G231" s="780"/>
      <c r="H231" s="781"/>
      <c r="I231" s="32"/>
      <c r="J231" s="782">
        <v>1070</v>
      </c>
      <c r="K231" s="304" t="s">
        <v>2791</v>
      </c>
      <c r="L231" s="998">
        <f t="shared" si="23"/>
        <v>0</v>
      </c>
      <c r="M231" s="180"/>
      <c r="N231" s="246" t="s">
        <v>657</v>
      </c>
      <c r="P231" s="203"/>
      <c r="Q231" s="318"/>
      <c r="X231" s="286"/>
      <c r="AB231" s="286"/>
    </row>
    <row r="232" spans="1:28" s="385"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4">
        <f>'TD Info Completed by Auditor'!C38</f>
        <v>0</v>
      </c>
      <c r="F232" s="779"/>
      <c r="G232" s="780"/>
      <c r="H232" s="781"/>
      <c r="I232" s="32"/>
      <c r="J232" s="782">
        <v>1071</v>
      </c>
      <c r="K232" s="304" t="s">
        <v>2769</v>
      </c>
      <c r="L232" s="997">
        <f t="shared" si="23"/>
        <v>0</v>
      </c>
      <c r="M232" s="180"/>
      <c r="N232" s="246" t="s">
        <v>657</v>
      </c>
      <c r="P232" s="203"/>
      <c r="Q232" s="318"/>
      <c r="X232" s="286"/>
      <c r="AB232" s="286"/>
    </row>
    <row r="233" spans="1:28" ht="121.2" customHeight="1" x14ac:dyDescent="0.3">
      <c r="A233" s="327">
        <v>336</v>
      </c>
      <c r="B233" s="237"/>
      <c r="C233" s="328" t="s">
        <v>667</v>
      </c>
      <c r="D233" s="329" t="s">
        <v>636</v>
      </c>
      <c r="E233" s="330" t="s">
        <v>637</v>
      </c>
      <c r="F233" s="238" t="s">
        <v>1150</v>
      </c>
      <c r="G233" s="226"/>
      <c r="H233" s="223"/>
      <c r="I233" s="32"/>
      <c r="J233" s="239">
        <v>336</v>
      </c>
      <c r="K233" s="331" t="s">
        <v>640</v>
      </c>
      <c r="L233" s="332">
        <f>L10-L11-L12-L13-L14-L15-L16</f>
        <v>0</v>
      </c>
      <c r="N233" s="247" t="s">
        <v>638</v>
      </c>
      <c r="P233" s="203"/>
      <c r="Q233" s="318"/>
      <c r="X233" s="286" t="e">
        <v>#N/A</v>
      </c>
      <c r="Y233" s="385"/>
      <c r="AA233" s="385">
        <f t="shared" si="20"/>
        <v>0</v>
      </c>
      <c r="AB233" s="286" t="e">
        <f t="shared" si="21"/>
        <v>#VALUE!</v>
      </c>
    </row>
    <row r="234" spans="1:28" ht="129" customHeight="1" x14ac:dyDescent="0.3">
      <c r="A234" s="327">
        <v>44</v>
      </c>
      <c r="B234" s="237"/>
      <c r="C234" s="238" t="s">
        <v>668</v>
      </c>
      <c r="D234" s="329" t="s">
        <v>628</v>
      </c>
      <c r="E234" s="333" t="s">
        <v>629</v>
      </c>
      <c r="F234" s="238" t="s">
        <v>1151</v>
      </c>
      <c r="G234" s="226"/>
      <c r="H234" s="223"/>
      <c r="I234" s="32"/>
      <c r="J234" s="239">
        <v>44</v>
      </c>
      <c r="K234" s="331" t="s">
        <v>641</v>
      </c>
      <c r="L234" s="332">
        <f>L76-L77-L74</f>
        <v>0</v>
      </c>
      <c r="N234" s="247" t="s">
        <v>639</v>
      </c>
      <c r="P234" s="203"/>
      <c r="Q234" s="318"/>
      <c r="X234" s="286" t="e">
        <v>#N/A</v>
      </c>
      <c r="Y234" s="385"/>
      <c r="AA234" s="385">
        <f t="shared" si="20"/>
        <v>0</v>
      </c>
      <c r="AB234" s="286" t="e">
        <f t="shared" si="21"/>
        <v>#VALUE!</v>
      </c>
    </row>
    <row r="235" spans="1:28" ht="169.5" customHeight="1" x14ac:dyDescent="0.3">
      <c r="A235" s="327">
        <v>45</v>
      </c>
      <c r="B235" s="237"/>
      <c r="C235" s="238" t="s">
        <v>669</v>
      </c>
      <c r="D235" s="329" t="s">
        <v>630</v>
      </c>
      <c r="E235" s="330" t="s">
        <v>631</v>
      </c>
      <c r="F235" s="238" t="s">
        <v>1150</v>
      </c>
      <c r="G235" s="226"/>
      <c r="H235" s="223"/>
      <c r="I235" s="32"/>
      <c r="J235" s="239">
        <v>45</v>
      </c>
      <c r="K235" s="331" t="s">
        <v>642</v>
      </c>
      <c r="L235" s="332">
        <f>L80-L81-L82-L83-L84-L85-L79</f>
        <v>0</v>
      </c>
      <c r="N235" s="247" t="s">
        <v>650</v>
      </c>
      <c r="P235" s="203"/>
      <c r="Q235" s="318"/>
      <c r="X235" s="286" t="e">
        <v>#N/A</v>
      </c>
      <c r="Y235" s="385"/>
      <c r="AA235" s="385">
        <f t="shared" si="20"/>
        <v>0</v>
      </c>
      <c r="AB235" s="286" t="e">
        <f t="shared" si="21"/>
        <v>#VALUE!</v>
      </c>
    </row>
    <row r="236" spans="1:28" ht="87.75" customHeight="1" x14ac:dyDescent="0.3">
      <c r="A236" s="327">
        <v>47</v>
      </c>
      <c r="B236" s="237"/>
      <c r="C236" s="238" t="s">
        <v>644</v>
      </c>
      <c r="D236" s="329" t="s">
        <v>632</v>
      </c>
      <c r="E236" s="330" t="s">
        <v>634</v>
      </c>
      <c r="F236" s="238" t="s">
        <v>1150</v>
      </c>
      <c r="G236" s="226"/>
      <c r="H236" s="223"/>
      <c r="I236" s="32"/>
      <c r="J236" s="239">
        <v>47</v>
      </c>
      <c r="K236" s="331" t="s">
        <v>643</v>
      </c>
      <c r="L236" s="332">
        <f>L94-L95-L92</f>
        <v>0</v>
      </c>
      <c r="N236" s="247" t="s">
        <v>651</v>
      </c>
      <c r="P236" s="203"/>
      <c r="Q236" s="318"/>
      <c r="X236" s="286" t="e">
        <v>#N/A</v>
      </c>
      <c r="Y236" s="385"/>
      <c r="AA236" s="385">
        <f t="shared" si="20"/>
        <v>0</v>
      </c>
      <c r="AB236" s="286" t="e">
        <f t="shared" si="21"/>
        <v>#VALUE!</v>
      </c>
    </row>
    <row r="237" spans="1:28" ht="152.25" customHeight="1" x14ac:dyDescent="0.3">
      <c r="A237" s="327">
        <v>48</v>
      </c>
      <c r="B237" s="237"/>
      <c r="C237" s="238" t="s">
        <v>645</v>
      </c>
      <c r="D237" s="329" t="s">
        <v>633</v>
      </c>
      <c r="E237" s="330" t="s">
        <v>635</v>
      </c>
      <c r="F237" s="238" t="s">
        <v>1150</v>
      </c>
      <c r="G237" s="226"/>
      <c r="H237" s="223"/>
      <c r="I237" s="32"/>
      <c r="J237" s="239">
        <v>48</v>
      </c>
      <c r="K237" s="331" t="s">
        <v>115</v>
      </c>
      <c r="L237" s="332">
        <f>L99-L100-L101-L102-L103-L104-L98</f>
        <v>0</v>
      </c>
      <c r="N237" s="247" t="s">
        <v>652</v>
      </c>
      <c r="P237" s="203"/>
      <c r="Q237" s="318"/>
      <c r="X237" s="286" t="e">
        <v>#N/A</v>
      </c>
      <c r="Y237" s="385"/>
      <c r="AA237" s="385">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999" t="e">
        <f>VLOOKUP('Unit Data from Audit Worksheet'!D2,'Unit Names(H)'!$A$2:$C$95,3,FALSE)</f>
        <v>#N/A</v>
      </c>
      <c r="N238" s="247" t="s">
        <v>646</v>
      </c>
      <c r="P238" s="203"/>
      <c r="Q238" s="318"/>
      <c r="X238" s="286" t="e">
        <v>#N/A</v>
      </c>
      <c r="Y238" s="385"/>
      <c r="AA238" s="385">
        <f t="shared" si="20"/>
        <v>-998</v>
      </c>
      <c r="AB238" s="286" t="e">
        <f t="shared" si="21"/>
        <v>#N/A</v>
      </c>
    </row>
    <row r="239" spans="1:28" ht="119.4" customHeight="1" x14ac:dyDescent="0.3">
      <c r="A239" s="334"/>
      <c r="B239" s="90"/>
      <c r="C239" s="335"/>
      <c r="D239" s="336"/>
      <c r="E239" s="337"/>
      <c r="F239" s="338"/>
      <c r="G239" s="339"/>
      <c r="H239" s="340"/>
      <c r="I239" s="32"/>
      <c r="J239" s="242">
        <v>995</v>
      </c>
      <c r="K239" s="243" t="s">
        <v>275</v>
      </c>
      <c r="L239" s="1000" t="e">
        <f>INDEX('PY1 Data(H)'!$A$1:$CZ$282,MATCH('PY1 Data(H)'!$A236,'PY1 Data(H)'!$A$1:$A$282,0),MATCH('Unit Data from Audit Worksheet'!$D$2,'PY1 Data(H)'!$A$1:$CZ$1,0))</f>
        <v>#N/A</v>
      </c>
      <c r="N239" s="247" t="s">
        <v>653</v>
      </c>
      <c r="P239" s="203"/>
      <c r="Q239" s="318"/>
      <c r="X239" s="286" t="e">
        <v>#N/A</v>
      </c>
      <c r="Y239" s="385"/>
      <c r="AA239" s="385">
        <f t="shared" si="20"/>
        <v>-995</v>
      </c>
      <c r="AB239" s="576" t="e">
        <f t="shared" si="21"/>
        <v>#N/A</v>
      </c>
    </row>
    <row r="240" spans="1:28" ht="104.4" customHeight="1" x14ac:dyDescent="0.3">
      <c r="A240" s="334"/>
      <c r="B240" s="90"/>
      <c r="C240" s="335"/>
      <c r="D240" s="336"/>
      <c r="E240" s="337"/>
      <c r="F240" s="338"/>
      <c r="G240" s="339"/>
      <c r="H240" s="340"/>
      <c r="I240" s="32"/>
      <c r="J240" s="242">
        <v>996</v>
      </c>
      <c r="K240" s="243" t="s">
        <v>276</v>
      </c>
      <c r="L240" s="1000" t="e">
        <f>INDEX('PY1 Data(H)'!$A$1:$CZ$282,MATCH('PY1 Data(H)'!$A237,'PY1 Data(H)'!$A$1:$A$282,0),MATCH('Unit Data from Audit Worksheet'!$D$2,'PY1 Data(H)'!$A$1:$CZ$1,0))</f>
        <v>#N/A</v>
      </c>
      <c r="N240" s="247" t="s">
        <v>654</v>
      </c>
      <c r="P240" s="203"/>
      <c r="Q240" s="318"/>
      <c r="X240" s="286" t="e">
        <v>#N/A</v>
      </c>
      <c r="Y240" s="385"/>
      <c r="AA240" s="385">
        <f t="shared" si="20"/>
        <v>-996</v>
      </c>
      <c r="AB240" s="576" t="e">
        <f t="shared" si="21"/>
        <v>#N/A</v>
      </c>
    </row>
    <row r="241" spans="1:28" ht="43.2" x14ac:dyDescent="0.3">
      <c r="A241" s="334"/>
      <c r="B241" s="90"/>
      <c r="C241" s="335"/>
      <c r="D241" s="336"/>
      <c r="E241" s="337"/>
      <c r="F241" s="338"/>
      <c r="G241" s="339"/>
      <c r="H241" s="341"/>
      <c r="I241" s="32"/>
      <c r="J241" s="158">
        <v>554</v>
      </c>
      <c r="K241" s="342" t="s">
        <v>320</v>
      </c>
      <c r="L241" s="313"/>
      <c r="N241" s="343"/>
      <c r="P241" s="203"/>
      <c r="Q241" s="318"/>
      <c r="X241" s="286" t="e">
        <v>#N/A</v>
      </c>
      <c r="Y241" s="385"/>
      <c r="AA241" s="385">
        <f t="shared" si="20"/>
        <v>-554</v>
      </c>
      <c r="AB241" s="286">
        <f t="shared" si="21"/>
        <v>0</v>
      </c>
    </row>
    <row r="242" spans="1:28" ht="43.2" x14ac:dyDescent="0.3">
      <c r="A242" s="334"/>
      <c r="B242" s="90"/>
      <c r="C242" s="335"/>
      <c r="D242" s="336"/>
      <c r="E242" s="337"/>
      <c r="F242" s="338"/>
      <c r="G242" s="339"/>
      <c r="H242" s="341"/>
      <c r="I242" s="32"/>
      <c r="J242" s="158">
        <v>555</v>
      </c>
      <c r="K242" s="342" t="s">
        <v>321</v>
      </c>
      <c r="L242" s="313"/>
      <c r="N242" s="343"/>
      <c r="P242" s="203"/>
      <c r="Q242" s="318"/>
      <c r="X242" s="286" t="e">
        <v>#N/A</v>
      </c>
      <c r="Y242" s="385"/>
      <c r="AA242" s="385">
        <f t="shared" si="20"/>
        <v>-555</v>
      </c>
      <c r="AB242" s="286">
        <f t="shared" si="21"/>
        <v>0</v>
      </c>
    </row>
    <row r="243" spans="1:28" ht="43.2" x14ac:dyDescent="0.3">
      <c r="A243" s="334"/>
      <c r="B243" s="90"/>
      <c r="C243" s="335"/>
      <c r="D243" s="336"/>
      <c r="E243" s="337"/>
      <c r="F243" s="338"/>
      <c r="G243" s="339"/>
      <c r="H243" s="341"/>
      <c r="I243" s="32"/>
      <c r="J243" s="158">
        <v>556</v>
      </c>
      <c r="K243" s="342" t="s">
        <v>322</v>
      </c>
      <c r="L243" s="313"/>
      <c r="N243" s="343"/>
      <c r="P243" s="203"/>
      <c r="Q243" s="318"/>
      <c r="X243" s="286" t="e">
        <v>#N/A</v>
      </c>
      <c r="Y243" s="385"/>
      <c r="AA243" s="385">
        <f t="shared" si="20"/>
        <v>-556</v>
      </c>
      <c r="AB243" s="286">
        <f t="shared" si="21"/>
        <v>0</v>
      </c>
    </row>
    <row r="244" spans="1:28" ht="43.2" x14ac:dyDescent="0.3">
      <c r="A244" s="334"/>
      <c r="B244" s="90"/>
      <c r="C244" s="335"/>
      <c r="D244" s="336"/>
      <c r="E244" s="337"/>
      <c r="F244" s="338"/>
      <c r="G244" s="339"/>
      <c r="H244" s="341"/>
      <c r="I244" s="32"/>
      <c r="J244" s="158">
        <v>557</v>
      </c>
      <c r="K244" s="342" t="s">
        <v>323</v>
      </c>
      <c r="L244" s="313"/>
      <c r="N244" s="343"/>
      <c r="P244" s="204"/>
      <c r="X244" s="286" t="e">
        <v>#N/A</v>
      </c>
      <c r="Y244" s="385"/>
      <c r="AA244" s="385">
        <f t="shared" si="20"/>
        <v>-557</v>
      </c>
      <c r="AB244" s="286">
        <f t="shared" si="21"/>
        <v>0</v>
      </c>
    </row>
    <row r="245" spans="1:28" ht="43.2" x14ac:dyDescent="0.3">
      <c r="A245" s="334"/>
      <c r="B245" s="90"/>
      <c r="C245" s="335"/>
      <c r="D245" s="336"/>
      <c r="E245" s="337"/>
      <c r="F245" s="338"/>
      <c r="G245" s="339"/>
      <c r="H245" s="341"/>
      <c r="I245" s="32"/>
      <c r="J245" s="158">
        <v>606</v>
      </c>
      <c r="K245" s="342" t="s">
        <v>450</v>
      </c>
      <c r="L245" s="313"/>
      <c r="N245" s="343"/>
      <c r="P245" s="204"/>
      <c r="X245" s="286" t="e">
        <v>#N/A</v>
      </c>
      <c r="Y245" s="385"/>
      <c r="AA245" s="385">
        <f t="shared" si="20"/>
        <v>-606</v>
      </c>
      <c r="AB245" s="286">
        <f t="shared" si="21"/>
        <v>0</v>
      </c>
    </row>
    <row r="246" spans="1:28" s="18" customFormat="1" ht="22.5" customHeight="1" x14ac:dyDescent="0.3">
      <c r="A246" s="334"/>
      <c r="B246" s="90"/>
      <c r="C246" s="335"/>
      <c r="D246" s="129"/>
      <c r="E246" s="130"/>
      <c r="F246" s="59"/>
      <c r="G246" s="131"/>
      <c r="H246" s="132"/>
      <c r="I246" s="32"/>
      <c r="J246" s="133"/>
      <c r="K246" s="345"/>
      <c r="L246" s="346"/>
      <c r="M246"/>
      <c r="N246" s="246"/>
      <c r="P246" s="204"/>
      <c r="Q246" s="279"/>
      <c r="R246" s="3"/>
      <c r="S246" s="3"/>
      <c r="T246" s="3"/>
      <c r="U246" s="3"/>
      <c r="V246" s="3"/>
      <c r="W246" s="3"/>
      <c r="X246" s="286" t="e">
        <v>#N/A</v>
      </c>
      <c r="Y246" s="385"/>
      <c r="Z246" s="3"/>
      <c r="AA246" s="385">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7" t="s">
        <v>409</v>
      </c>
      <c r="L247" s="348">
        <f t="shared" ref="L247:L258" si="24">IF(D247="",E247,D247)</f>
        <v>0</v>
      </c>
      <c r="N247" s="343"/>
      <c r="P247" s="204"/>
      <c r="Q247" s="78"/>
      <c r="X247" s="286">
        <v>947</v>
      </c>
      <c r="Y247" s="3">
        <v>947</v>
      </c>
      <c r="AA247" s="385">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49">
        <f>'Unit Data from Audit Worksheet'!F270</f>
        <v>0</v>
      </c>
      <c r="F248" s="224" t="str">
        <f>'Unit Data from Audit Worksheet'!G270</f>
        <v>Please do not leave blank</v>
      </c>
      <c r="G248" s="226"/>
      <c r="H248" s="223"/>
      <c r="I248" s="32"/>
      <c r="J248" s="161">
        <v>948</v>
      </c>
      <c r="K248" s="347" t="s">
        <v>410</v>
      </c>
      <c r="L248" s="348">
        <f t="shared" si="24"/>
        <v>0</v>
      </c>
      <c r="N248" s="343"/>
      <c r="P248" s="204"/>
      <c r="X248" s="286">
        <v>948</v>
      </c>
      <c r="Y248" s="3">
        <v>948</v>
      </c>
      <c r="AA248" s="385">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7" t="s">
        <v>433</v>
      </c>
      <c r="L249" s="348">
        <f t="shared" si="24"/>
        <v>0</v>
      </c>
      <c r="N249" s="343"/>
      <c r="P249" s="204"/>
      <c r="X249" s="286">
        <v>949</v>
      </c>
      <c r="Y249" s="3">
        <v>949</v>
      </c>
      <c r="AA249" s="385">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7" t="s">
        <v>434</v>
      </c>
      <c r="L250" s="348">
        <f t="shared" si="24"/>
        <v>0</v>
      </c>
      <c r="N250" s="343"/>
      <c r="P250" s="204"/>
      <c r="X250" s="286">
        <v>950</v>
      </c>
      <c r="Y250" s="3">
        <v>950</v>
      </c>
      <c r="AA250" s="385">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5" t="str">
        <f>IF('Unit Data from Audit Worksheet'!F273&gt;0,'Unit Data from Audit Worksheet'!F273," ")</f>
        <v xml:space="preserve"> </v>
      </c>
      <c r="F251" s="224" t="str">
        <f>'Unit Data from Audit Worksheet'!G273</f>
        <v>Leave blank if data not available</v>
      </c>
      <c r="G251" s="226"/>
      <c r="H251" s="223"/>
      <c r="I251" s="32"/>
      <c r="J251" s="161">
        <v>952</v>
      </c>
      <c r="K251" s="347" t="s">
        <v>435</v>
      </c>
      <c r="L251" s="350" t="str">
        <f t="shared" si="24"/>
        <v xml:space="preserve"> </v>
      </c>
      <c r="N251" s="343"/>
      <c r="P251" s="204"/>
      <c r="X251" s="286">
        <v>952</v>
      </c>
      <c r="Y251" s="3">
        <v>952</v>
      </c>
      <c r="AA251" s="385">
        <f t="shared" si="20"/>
        <v>0</v>
      </c>
      <c r="AB251" s="286" t="b">
        <f t="shared" si="25"/>
        <v>1</v>
      </c>
    </row>
    <row r="252" spans="1:28" ht="30.75" customHeight="1" x14ac:dyDescent="0.3">
      <c r="A252" s="351">
        <f>'Unit Data from Audit Worksheet'!A281</f>
        <v>960</v>
      </c>
      <c r="B252" s="168"/>
      <c r="C252" s="169" t="str">
        <f>'Unit Data from Audit Worksheet'!B281</f>
        <v>Name of Finance Officer</v>
      </c>
      <c r="D252" s="233"/>
      <c r="E252" s="352">
        <f>'Unit Data from Audit Worksheet'!D281</f>
        <v>0</v>
      </c>
      <c r="F252" s="353" t="str">
        <f>'Unit Data from Audit Worksheet'!F281</f>
        <v>Required</v>
      </c>
      <c r="G252" s="226"/>
      <c r="H252" s="223"/>
      <c r="I252" s="32"/>
      <c r="J252" s="171">
        <v>960</v>
      </c>
      <c r="K252" s="354" t="s">
        <v>429</v>
      </c>
      <c r="L252" s="355">
        <f t="shared" si="24"/>
        <v>0</v>
      </c>
      <c r="N252" s="311"/>
      <c r="P252" s="204"/>
      <c r="X252" s="286">
        <v>960</v>
      </c>
      <c r="Y252" s="3">
        <v>960</v>
      </c>
      <c r="AA252" s="385">
        <f t="shared" si="20"/>
        <v>0</v>
      </c>
      <c r="AB252" s="286" t="b">
        <f t="shared" si="25"/>
        <v>1</v>
      </c>
    </row>
    <row r="253" spans="1:28" ht="30.75" customHeight="1" x14ac:dyDescent="0.3">
      <c r="A253" s="351">
        <f>'Unit Data from Audit Worksheet'!A282</f>
        <v>962</v>
      </c>
      <c r="B253" s="168"/>
      <c r="C253" s="169" t="str">
        <f>'Unit Data from Audit Worksheet'!B282</f>
        <v>Title of Official</v>
      </c>
      <c r="D253" s="233"/>
      <c r="E253" s="352">
        <f>'Unit Data from Audit Worksheet'!D282</f>
        <v>0</v>
      </c>
      <c r="F253" s="353" t="str">
        <f>'Unit Data from Audit Worksheet'!F282</f>
        <v>Required</v>
      </c>
      <c r="G253" s="226"/>
      <c r="H253" s="223"/>
      <c r="I253" s="32"/>
      <c r="J253" s="171">
        <v>962</v>
      </c>
      <c r="K253" s="354" t="s">
        <v>405</v>
      </c>
      <c r="L253" s="355">
        <f t="shared" si="24"/>
        <v>0</v>
      </c>
      <c r="N253" s="311"/>
      <c r="P253" s="204"/>
      <c r="X253" s="286">
        <v>962</v>
      </c>
      <c r="Y253" s="3">
        <v>962</v>
      </c>
      <c r="AA253" s="385">
        <f t="shared" si="20"/>
        <v>0</v>
      </c>
      <c r="AB253" s="286" t="b">
        <f t="shared" si="25"/>
        <v>1</v>
      </c>
    </row>
    <row r="254" spans="1:28" ht="30.75" customHeight="1" x14ac:dyDescent="0.3">
      <c r="A254" s="351">
        <f>'Unit Data from Audit Worksheet'!A283</f>
        <v>964</v>
      </c>
      <c r="B254" s="168"/>
      <c r="C254" s="170" t="str">
        <f>'Unit Data from Audit Worksheet'!B283</f>
        <v>Date                        (Enter as "MM/DD/YYYY")</v>
      </c>
      <c r="D254" s="233"/>
      <c r="E254" s="356">
        <f>'Unit Data from Audit Worksheet'!D283</f>
        <v>0</v>
      </c>
      <c r="F254" s="353" t="str">
        <f>'Unit Data from Audit Worksheet'!F283</f>
        <v>Required</v>
      </c>
      <c r="G254" s="579"/>
      <c r="H254" s="223"/>
      <c r="I254" s="32"/>
      <c r="J254" s="171">
        <v>964</v>
      </c>
      <c r="K254" s="354" t="s">
        <v>460</v>
      </c>
      <c r="L254" s="357">
        <f t="shared" si="24"/>
        <v>0</v>
      </c>
      <c r="N254" s="311"/>
      <c r="P254" s="204"/>
      <c r="X254" s="286">
        <v>964</v>
      </c>
      <c r="Y254" s="3">
        <v>964</v>
      </c>
      <c r="AA254" s="385">
        <f t="shared" si="20"/>
        <v>0</v>
      </c>
      <c r="AB254" s="286" t="b">
        <f t="shared" si="25"/>
        <v>1</v>
      </c>
    </row>
    <row r="255" spans="1:28" ht="30.75" customHeight="1" x14ac:dyDescent="0.3">
      <c r="A255" s="351">
        <f>'Unit Data from Audit Worksheet'!A284</f>
        <v>966</v>
      </c>
      <c r="B255" s="168"/>
      <c r="C255" s="169" t="s">
        <v>1152</v>
      </c>
      <c r="D255" s="233"/>
      <c r="E255" s="578" t="str">
        <f>_xlfn.TEXTJOIN(",",,TEXT('Unit Data from Audit Worksheet'!D284,"###-###-####")," "&amp;'Unit Data from Audit Worksheet'!D285)</f>
        <v xml:space="preserve">--, </v>
      </c>
      <c r="F255" s="353" t="str">
        <f>'Unit Data from Audit Worksheet'!F284</f>
        <v>Required</v>
      </c>
      <c r="G255" s="226"/>
      <c r="H255" s="223"/>
      <c r="I255" s="32"/>
      <c r="J255" s="171">
        <v>966</v>
      </c>
      <c r="K255" s="354" t="s">
        <v>407</v>
      </c>
      <c r="L255" s="355" t="str">
        <f t="shared" si="24"/>
        <v xml:space="preserve">--, </v>
      </c>
      <c r="N255" s="311"/>
      <c r="P255" s="204"/>
      <c r="X255" s="286">
        <v>966</v>
      </c>
      <c r="Y255" s="3">
        <v>966</v>
      </c>
      <c r="AA255" s="385">
        <f t="shared" si="20"/>
        <v>0</v>
      </c>
      <c r="AB255" s="286" t="b">
        <f t="shared" si="25"/>
        <v>1</v>
      </c>
    </row>
    <row r="256" spans="1:28" ht="30.75" customHeight="1" x14ac:dyDescent="0.3">
      <c r="A256" s="351">
        <f>'Unit Data from Audit Worksheet'!A286</f>
        <v>968</v>
      </c>
      <c r="B256" s="168"/>
      <c r="C256" s="169" t="str">
        <f>'Unit Data from Audit Worksheet'!B286</f>
        <v>E-mail address</v>
      </c>
      <c r="D256" s="233"/>
      <c r="E256" s="352">
        <f>'Unit Data from Audit Worksheet'!D286</f>
        <v>0</v>
      </c>
      <c r="F256" s="353" t="str">
        <f>'Unit Data from Audit Worksheet'!F286</f>
        <v>Required</v>
      </c>
      <c r="G256" s="226"/>
      <c r="H256" s="223"/>
      <c r="I256" s="32"/>
      <c r="J256" s="171">
        <v>968</v>
      </c>
      <c r="K256" s="354" t="s">
        <v>408</v>
      </c>
      <c r="L256" s="355">
        <f t="shared" si="24"/>
        <v>0</v>
      </c>
      <c r="N256" s="311"/>
      <c r="P256" s="204"/>
      <c r="X256" s="286">
        <v>968</v>
      </c>
      <c r="Y256" s="3">
        <v>968</v>
      </c>
      <c r="AA256" s="385">
        <f t="shared" si="20"/>
        <v>0</v>
      </c>
      <c r="AB256" s="286" t="b">
        <f t="shared" si="25"/>
        <v>1</v>
      </c>
    </row>
    <row r="257" spans="1:28" ht="111" customHeight="1" x14ac:dyDescent="0.3">
      <c r="A257" s="358">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4" t="str">
        <f>IF('TD Info Completed by Auditor'!C32&gt;0,'TD Info Completed by Auditor'!C32," ")</f>
        <v xml:space="preserve"> </v>
      </c>
      <c r="F257" s="359" t="s">
        <v>656</v>
      </c>
      <c r="G257" s="226"/>
      <c r="H257" s="223"/>
      <c r="I257" s="32"/>
      <c r="J257" s="249">
        <v>980</v>
      </c>
      <c r="K257" s="250" t="s">
        <v>592</v>
      </c>
      <c r="L257" s="360" t="str">
        <f t="shared" si="24"/>
        <v xml:space="preserve"> </v>
      </c>
      <c r="N257" s="388" t="s">
        <v>657</v>
      </c>
      <c r="P257" s="204"/>
      <c r="X257" s="286" t="e">
        <v>#N/A</v>
      </c>
      <c r="AA257" s="385">
        <f t="shared" si="20"/>
        <v>0</v>
      </c>
      <c r="AB257" s="286" t="b">
        <f t="shared" si="25"/>
        <v>1</v>
      </c>
    </row>
    <row r="258" spans="1:28" s="385"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1026" t="str">
        <f>CONCATENATE('Unit Data from Audit Worksheet'!F77," - ",'Unit Data from Audit Worksheet'!G77)</f>
        <v xml:space="preserve"> - </v>
      </c>
      <c r="F258" s="659"/>
      <c r="G258" s="226"/>
      <c r="H258" s="223"/>
      <c r="I258" s="32"/>
      <c r="J258" s="249">
        <v>590</v>
      </c>
      <c r="K258" s="250" t="s">
        <v>1568</v>
      </c>
      <c r="L258" s="663" t="str">
        <f t="shared" si="24"/>
        <v xml:space="preserve"> - </v>
      </c>
      <c r="M258"/>
      <c r="N258" s="388"/>
      <c r="P258" s="204"/>
      <c r="Q258" s="279"/>
      <c r="X258" s="286"/>
      <c r="AB258" s="286"/>
    </row>
    <row r="259" spans="1:28" s="385" customFormat="1" ht="135.6" customHeight="1" x14ac:dyDescent="0.3">
      <c r="A259" s="212">
        <f>'TD Info Completed by Auditor'!A31</f>
        <v>1079</v>
      </c>
      <c r="B259" s="212"/>
      <c r="C259" s="74" t="str">
        <f>'TD Info Completed by Auditor'!B31</f>
        <v>What date was the audit report submitted to the LGC?  (Note audit reports are due four months after fiscal year end regardless of the contract submission date.)  Enter as "MM/DD/YYYY"</v>
      </c>
      <c r="D259" s="233"/>
      <c r="E259" s="1027">
        <f>'TD Info Completed by Auditor'!C31</f>
        <v>0</v>
      </c>
      <c r="F259" s="659"/>
      <c r="G259" s="226"/>
      <c r="H259" s="223"/>
      <c r="I259" s="32"/>
      <c r="J259" s="249">
        <v>1079</v>
      </c>
      <c r="K259" s="74" t="s">
        <v>2789</v>
      </c>
      <c r="L259" s="1025">
        <f>E259</f>
        <v>0</v>
      </c>
      <c r="M259" s="180"/>
      <c r="N259" s="388"/>
      <c r="P259" s="204"/>
      <c r="Q259" s="279"/>
      <c r="X259" s="286"/>
      <c r="AB259" s="286"/>
    </row>
    <row r="260" spans="1:28" ht="83.4" customHeight="1" x14ac:dyDescent="0.3">
      <c r="A260" s="334"/>
      <c r="B260" s="90"/>
      <c r="C260" s="335"/>
      <c r="D260" s="336"/>
      <c r="E260" s="337"/>
      <c r="F260" s="338"/>
      <c r="G260" s="339"/>
      <c r="H260" s="340"/>
      <c r="I260" s="32"/>
      <c r="J260" s="161">
        <v>999</v>
      </c>
      <c r="K260" s="347" t="s">
        <v>278</v>
      </c>
      <c r="L260" s="361" t="e">
        <f>'Unit Data from Audit Worksheet'!D3</f>
        <v>#N/A</v>
      </c>
      <c r="N260" s="362" t="s">
        <v>2792</v>
      </c>
      <c r="O260" s="362" t="s">
        <v>655</v>
      </c>
      <c r="P260" s="204"/>
      <c r="X260" s="286" t="e">
        <v>#N/A</v>
      </c>
      <c r="AA260" s="385">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5"/>
    </row>
    <row r="262" spans="1:28" s="385" customFormat="1" x14ac:dyDescent="0.3">
      <c r="A262" s="187"/>
      <c r="B262" s="187"/>
      <c r="C262" s="187"/>
      <c r="D262" s="187"/>
      <c r="E262" s="187"/>
      <c r="F262" s="187"/>
      <c r="G262" s="187"/>
      <c r="H262" s="187"/>
      <c r="I262" s="187"/>
      <c r="M262"/>
      <c r="N262" s="4"/>
      <c r="P262" s="204"/>
      <c r="Q262" s="279"/>
    </row>
    <row r="263" spans="1:28" x14ac:dyDescent="0.3">
      <c r="C263" s="645"/>
      <c r="D263" s="364"/>
      <c r="E263" s="365"/>
      <c r="F263" s="365"/>
      <c r="G263" s="366"/>
      <c r="H263" s="365"/>
      <c r="I263" s="367"/>
      <c r="K263" s="726" t="s">
        <v>1569</v>
      </c>
      <c r="L263" s="728" t="e">
        <f>SUM(L4:L245)</f>
        <v>#N/A</v>
      </c>
      <c r="N263" s="4"/>
      <c r="P263" s="204"/>
      <c r="AA263" s="385"/>
    </row>
    <row r="264" spans="1:28" ht="19.2" customHeight="1" x14ac:dyDescent="0.3">
      <c r="A264"/>
      <c r="B264"/>
      <c r="C264"/>
      <c r="D264"/>
      <c r="E264"/>
      <c r="F264"/>
      <c r="G264" s="366"/>
      <c r="H264" s="365"/>
      <c r="I264" s="367"/>
      <c r="K264" s="727" t="s">
        <v>1553</v>
      </c>
      <c r="L264" s="728"/>
      <c r="N264" s="4"/>
      <c r="P264" s="204"/>
      <c r="AA264" s="385"/>
    </row>
    <row r="265" spans="1:28" ht="21.6" customHeight="1" x14ac:dyDescent="0.7">
      <c r="B265" s="3"/>
      <c r="C265" s="3"/>
      <c r="D265" s="73"/>
      <c r="E265" s="96"/>
      <c r="F265" s="73"/>
      <c r="G265" s="366"/>
      <c r="H265" s="365"/>
      <c r="I265" s="367"/>
      <c r="J265" s="148"/>
      <c r="K265" s="147"/>
      <c r="L265" s="728" t="e">
        <f>L263-L264</f>
        <v>#N/A</v>
      </c>
      <c r="N265" s="4"/>
      <c r="P265" s="204"/>
      <c r="Y265" s="385">
        <v>590</v>
      </c>
      <c r="AA265" s="385"/>
    </row>
    <row r="266" spans="1:28" ht="25.2" customHeight="1" x14ac:dyDescent="0.3">
      <c r="A266" s="187"/>
      <c r="B266" s="187"/>
      <c r="C266" s="187"/>
      <c r="D266" s="187"/>
      <c r="E266" s="187"/>
      <c r="F266" s="365"/>
      <c r="G266" s="366"/>
      <c r="H266" s="365"/>
      <c r="I266" s="367"/>
      <c r="K266" s="10"/>
      <c r="L266" s="368"/>
      <c r="P266" s="204"/>
      <c r="X266" s="286">
        <f>SUM(X5:X211)</f>
        <v>83710</v>
      </c>
      <c r="Y266" s="3">
        <v>96734</v>
      </c>
      <c r="AA266" s="385"/>
    </row>
    <row r="267" spans="1:28" x14ac:dyDescent="0.3">
      <c r="A267" s="187"/>
      <c r="B267" s="187"/>
      <c r="C267" s="187"/>
      <c r="D267" s="187"/>
      <c r="E267" s="187"/>
      <c r="F267" s="365"/>
      <c r="G267" s="366"/>
      <c r="H267" s="365"/>
      <c r="I267" s="367"/>
      <c r="K267" s="10"/>
      <c r="P267" s="204"/>
      <c r="X267" s="286">
        <f>SUM(X247:X256)</f>
        <v>9566</v>
      </c>
      <c r="AA267" s="385"/>
    </row>
    <row r="268" spans="1:28" ht="18.75" customHeight="1" x14ac:dyDescent="0.3">
      <c r="A268" s="187"/>
      <c r="B268" s="187"/>
      <c r="C268" s="187"/>
      <c r="D268" s="187"/>
      <c r="E268" s="187"/>
      <c r="F268" s="365"/>
      <c r="G268" s="366"/>
      <c r="H268" s="365"/>
      <c r="I268" s="367"/>
      <c r="K268" s="10"/>
      <c r="L268"/>
      <c r="P268" s="204"/>
      <c r="Y268" s="3" t="s">
        <v>892</v>
      </c>
      <c r="AA268" s="385"/>
    </row>
    <row r="269" spans="1:28" ht="30.75" customHeight="1" x14ac:dyDescent="0.3">
      <c r="A269" s="187"/>
      <c r="B269" s="187"/>
      <c r="C269" s="187"/>
      <c r="D269" s="187"/>
      <c r="E269" s="187"/>
      <c r="F269" s="365"/>
      <c r="G269" s="366"/>
      <c r="H269" s="365"/>
      <c r="I269" s="367"/>
      <c r="K269" s="10"/>
      <c r="L269" s="368"/>
      <c r="P269" s="204"/>
      <c r="X269" s="286">
        <f>SUM(X266:X268)</f>
        <v>93276</v>
      </c>
      <c r="Y269" s="3">
        <f>Y266</f>
        <v>96734</v>
      </c>
      <c r="Z269" s="286">
        <f>X269-Y269</f>
        <v>-3458</v>
      </c>
      <c r="AA269" s="385"/>
    </row>
    <row r="270" spans="1:28" ht="30.75" customHeight="1" x14ac:dyDescent="0.3">
      <c r="A270" s="187"/>
      <c r="B270" s="187"/>
      <c r="C270" s="187"/>
      <c r="D270" s="187"/>
      <c r="E270" s="187"/>
      <c r="F270" s="365"/>
      <c r="G270" s="366"/>
      <c r="H270" s="365"/>
      <c r="I270" s="367"/>
      <c r="K270" s="10"/>
      <c r="L270" s="368"/>
      <c r="P270" s="204"/>
      <c r="AA270" s="385"/>
    </row>
    <row r="271" spans="1:28" ht="30.75" customHeight="1" x14ac:dyDescent="0.3">
      <c r="A271" s="187"/>
      <c r="B271" s="187"/>
      <c r="C271" s="187"/>
      <c r="D271" s="187"/>
      <c r="E271" s="187"/>
      <c r="F271" s="365"/>
      <c r="G271" s="366"/>
      <c r="H271" s="365"/>
      <c r="I271" s="367"/>
      <c r="K271" s="10"/>
      <c r="L271" s="368"/>
      <c r="P271" s="204"/>
      <c r="AA271" s="385"/>
    </row>
    <row r="272" spans="1:28" ht="30.75" customHeight="1" x14ac:dyDescent="0.3">
      <c r="A272" s="187"/>
      <c r="B272" s="187"/>
      <c r="C272" s="187"/>
      <c r="D272" s="187"/>
      <c r="E272" s="187"/>
      <c r="F272" s="365"/>
      <c r="G272" s="366"/>
      <c r="H272" s="365"/>
      <c r="I272" s="367"/>
      <c r="K272" s="10"/>
      <c r="L272" s="368"/>
      <c r="P272" s="204"/>
      <c r="AA272" s="385"/>
    </row>
    <row r="273" spans="1:27" ht="30.75" customHeight="1" x14ac:dyDescent="0.3">
      <c r="A273" s="187"/>
      <c r="B273" s="187"/>
      <c r="C273" s="187"/>
      <c r="D273" s="187"/>
      <c r="E273" s="187"/>
      <c r="F273" s="365"/>
      <c r="G273" s="366"/>
      <c r="H273" s="365"/>
      <c r="I273" s="367"/>
      <c r="K273" s="10"/>
      <c r="L273" s="368"/>
      <c r="P273" s="204"/>
      <c r="AA273" s="385"/>
    </row>
    <row r="274" spans="1:27" x14ac:dyDescent="0.3">
      <c r="A274" s="187"/>
      <c r="B274" s="187"/>
      <c r="C274" s="187"/>
      <c r="D274" s="187"/>
      <c r="E274" s="187"/>
      <c r="I274" s="367"/>
      <c r="K274" s="10"/>
      <c r="L274" s="368"/>
      <c r="P274" s="204"/>
      <c r="AA274" s="385"/>
    </row>
    <row r="275" spans="1:27" x14ac:dyDescent="0.3">
      <c r="A275" s="187"/>
      <c r="B275" s="187"/>
      <c r="C275" s="187"/>
      <c r="D275" s="187"/>
      <c r="E275" s="187"/>
      <c r="I275" s="367"/>
      <c r="L275" s="368"/>
      <c r="P275" s="204"/>
      <c r="AA275" s="385"/>
    </row>
    <row r="276" spans="1:27" x14ac:dyDescent="0.3">
      <c r="A276" s="5"/>
      <c r="B276" s="369"/>
      <c r="C276" s="23"/>
      <c r="D276" s="72"/>
      <c r="I276" s="367"/>
      <c r="L276" s="368"/>
      <c r="P276" s="204"/>
      <c r="AA276" s="385"/>
    </row>
    <row r="277" spans="1:27" x14ac:dyDescent="0.3">
      <c r="A277" s="5"/>
      <c r="B277" s="369"/>
      <c r="C277" s="23"/>
      <c r="D277" s="72"/>
      <c r="L277" s="368"/>
      <c r="P277" s="204"/>
      <c r="AA277" s="385"/>
    </row>
    <row r="278" spans="1:27" x14ac:dyDescent="0.3">
      <c r="D278" s="72"/>
      <c r="P278" s="204"/>
      <c r="AA278" s="385"/>
    </row>
    <row r="279" spans="1:27" x14ac:dyDescent="0.3">
      <c r="D279" s="72"/>
      <c r="P279" s="204"/>
      <c r="AA279" s="385"/>
    </row>
    <row r="280" spans="1:27" x14ac:dyDescent="0.3">
      <c r="D280" s="72"/>
      <c r="P280" s="204"/>
      <c r="AA280" s="385"/>
    </row>
    <row r="281" spans="1:27" x14ac:dyDescent="0.3">
      <c r="D281" s="72"/>
      <c r="P281" s="204"/>
      <c r="AA281" s="385"/>
    </row>
    <row r="282" spans="1:27" x14ac:dyDescent="0.3">
      <c r="A282" s="5"/>
      <c r="B282" s="369"/>
      <c r="C282" s="23"/>
      <c r="D282" s="72"/>
      <c r="P282" s="204"/>
      <c r="AA282" s="385"/>
    </row>
    <row r="283" spans="1:27" x14ac:dyDescent="0.3">
      <c r="A283" s="5"/>
      <c r="B283" s="369"/>
      <c r="C283" s="23"/>
      <c r="D283" s="72"/>
      <c r="P283" s="204"/>
      <c r="AA283" s="385"/>
    </row>
    <row r="284" spans="1:27" x14ac:dyDescent="0.3">
      <c r="D284" s="72"/>
      <c r="P284" s="204"/>
      <c r="AA284" s="385"/>
    </row>
    <row r="285" spans="1:27" x14ac:dyDescent="0.3">
      <c r="D285" s="72"/>
      <c r="P285" s="204"/>
      <c r="AA285" s="385"/>
    </row>
    <row r="286" spans="1:27" x14ac:dyDescent="0.3">
      <c r="D286" s="72"/>
      <c r="P286" s="204"/>
      <c r="AA286" s="385"/>
    </row>
    <row r="287" spans="1:27" x14ac:dyDescent="0.3">
      <c r="D287" s="72"/>
      <c r="P287" s="204"/>
      <c r="AA287" s="385"/>
    </row>
    <row r="288" spans="1:27" x14ac:dyDescent="0.3">
      <c r="A288" s="5"/>
      <c r="B288" s="369"/>
      <c r="C288" s="23"/>
      <c r="D288" s="72"/>
      <c r="P288" s="204"/>
      <c r="AA288" s="385"/>
    </row>
    <row r="289" spans="1:27" x14ac:dyDescent="0.3">
      <c r="A289" s="5"/>
      <c r="B289" s="369"/>
      <c r="C289" s="23"/>
      <c r="D289" s="72"/>
      <c r="P289" s="204"/>
      <c r="AA289" s="385"/>
    </row>
    <row r="290" spans="1:27" x14ac:dyDescent="0.3">
      <c r="D290" s="72"/>
      <c r="P290" s="204"/>
      <c r="AA290" s="385"/>
    </row>
    <row r="291" spans="1:27" x14ac:dyDescent="0.3">
      <c r="D291" s="72"/>
      <c r="P291" s="204"/>
      <c r="AA291" s="385"/>
    </row>
    <row r="292" spans="1:27" x14ac:dyDescent="0.3">
      <c r="D292" s="72"/>
      <c r="P292" s="204"/>
      <c r="AA292" s="385"/>
    </row>
    <row r="293" spans="1:27" x14ac:dyDescent="0.3">
      <c r="D293" s="72"/>
      <c r="P293" s="204"/>
      <c r="AA293" s="385"/>
    </row>
    <row r="294" spans="1:27" x14ac:dyDescent="0.3">
      <c r="A294" s="5"/>
      <c r="B294" s="369"/>
      <c r="C294" s="23"/>
      <c r="D294" s="72"/>
      <c r="P294" s="204"/>
      <c r="AA294" s="385"/>
    </row>
    <row r="295" spans="1:27" x14ac:dyDescent="0.3">
      <c r="A295" s="5"/>
      <c r="B295" s="369"/>
      <c r="C295" s="23"/>
      <c r="D295" s="72"/>
      <c r="P295" s="204"/>
      <c r="AA295" s="385"/>
    </row>
    <row r="296" spans="1:27" x14ac:dyDescent="0.3">
      <c r="A296" s="5"/>
      <c r="B296" s="369"/>
      <c r="C296" s="23"/>
      <c r="D296" s="72"/>
      <c r="P296" s="204"/>
      <c r="AA296" s="385"/>
    </row>
    <row r="297" spans="1:27" x14ac:dyDescent="0.3">
      <c r="A297" s="5"/>
      <c r="B297" s="369"/>
      <c r="C297" s="23"/>
      <c r="D297" s="72"/>
      <c r="P297" s="204"/>
      <c r="AA297" s="385"/>
    </row>
    <row r="298" spans="1:27" x14ac:dyDescent="0.3">
      <c r="D298" s="72"/>
      <c r="P298" s="204"/>
      <c r="AA298" s="385"/>
    </row>
    <row r="299" spans="1:27" x14ac:dyDescent="0.3">
      <c r="D299" s="72"/>
      <c r="P299" s="204"/>
      <c r="AA299" s="385"/>
    </row>
    <row r="300" spans="1:27" x14ac:dyDescent="0.3">
      <c r="D300" s="72"/>
      <c r="P300" s="204"/>
      <c r="AA300" s="385"/>
    </row>
    <row r="301" spans="1:27" x14ac:dyDescent="0.3">
      <c r="A301" s="5"/>
      <c r="B301" s="369"/>
      <c r="C301" s="23"/>
      <c r="D301" s="72"/>
      <c r="P301" s="204"/>
      <c r="AA301" s="385"/>
    </row>
    <row r="302" spans="1:27" x14ac:dyDescent="0.3">
      <c r="A302" s="5"/>
      <c r="B302" s="369"/>
      <c r="C302" s="23"/>
      <c r="D302" s="72"/>
      <c r="P302" s="204"/>
      <c r="AA302" s="385"/>
    </row>
    <row r="303" spans="1:27" x14ac:dyDescent="0.3">
      <c r="A303" s="5"/>
      <c r="B303" s="369"/>
      <c r="C303" s="23"/>
      <c r="D303" s="72"/>
      <c r="P303" s="204"/>
      <c r="AA303" s="385"/>
    </row>
    <row r="304" spans="1:27" x14ac:dyDescent="0.3">
      <c r="A304" s="5"/>
      <c r="B304" s="369"/>
      <c r="C304" s="23"/>
      <c r="D304" s="72"/>
      <c r="P304" s="204"/>
      <c r="AA304" s="385"/>
    </row>
    <row r="305" spans="1:27" x14ac:dyDescent="0.3">
      <c r="A305" s="5"/>
      <c r="B305" s="369"/>
      <c r="C305" s="23"/>
      <c r="D305" s="72"/>
      <c r="P305" s="204"/>
      <c r="AA305" s="385"/>
    </row>
    <row r="306" spans="1:27" x14ac:dyDescent="0.3">
      <c r="A306" s="5"/>
      <c r="B306" s="369"/>
      <c r="C306" s="23"/>
      <c r="D306" s="72"/>
      <c r="P306" s="204"/>
      <c r="AA306" s="385"/>
    </row>
    <row r="307" spans="1:27" x14ac:dyDescent="0.3">
      <c r="A307" s="5"/>
      <c r="B307" s="369"/>
      <c r="C307" s="23"/>
      <c r="D307" s="72"/>
      <c r="P307" s="204"/>
      <c r="AA307" s="385"/>
    </row>
    <row r="308" spans="1:27" x14ac:dyDescent="0.3">
      <c r="A308" s="5"/>
      <c r="B308" s="369"/>
      <c r="C308" s="23"/>
      <c r="D308" s="72"/>
      <c r="P308" s="204"/>
      <c r="AA308" s="385"/>
    </row>
    <row r="309" spans="1:27" x14ac:dyDescent="0.3">
      <c r="A309" s="5"/>
      <c r="B309" s="369"/>
      <c r="C309" s="23"/>
      <c r="D309" s="72"/>
      <c r="P309" s="204"/>
      <c r="AA309" s="385"/>
    </row>
    <row r="310" spans="1:27" x14ac:dyDescent="0.3">
      <c r="A310" s="5"/>
      <c r="B310" s="369"/>
      <c r="C310" s="23"/>
      <c r="D310" s="72"/>
      <c r="P310" s="204"/>
      <c r="AA310" s="385"/>
    </row>
    <row r="311" spans="1:27" x14ac:dyDescent="0.3">
      <c r="A311" s="5"/>
      <c r="B311" s="369"/>
      <c r="C311" s="23"/>
      <c r="D311" s="72"/>
      <c r="P311" s="204"/>
      <c r="AA311" s="385"/>
    </row>
    <row r="312" spans="1:27" x14ac:dyDescent="0.3">
      <c r="A312" s="5"/>
      <c r="B312" s="369"/>
      <c r="C312" s="23"/>
      <c r="D312" s="72"/>
      <c r="P312" s="204"/>
      <c r="AA312" s="385"/>
    </row>
    <row r="313" spans="1:27" x14ac:dyDescent="0.3">
      <c r="A313" s="5"/>
      <c r="B313" s="369"/>
      <c r="C313" s="23"/>
      <c r="D313" s="72"/>
      <c r="P313" s="204"/>
      <c r="AA313" s="385"/>
    </row>
    <row r="314" spans="1:27" x14ac:dyDescent="0.3">
      <c r="A314" s="5"/>
      <c r="B314" s="369"/>
      <c r="C314" s="23"/>
      <c r="D314" s="72"/>
      <c r="P314" s="204"/>
      <c r="AA314" s="385"/>
    </row>
    <row r="315" spans="1:27" x14ac:dyDescent="0.3">
      <c r="A315" s="5"/>
      <c r="B315" s="369"/>
      <c r="C315" s="23"/>
      <c r="D315" s="72"/>
      <c r="P315" s="204"/>
      <c r="AA315" s="385"/>
    </row>
    <row r="316" spans="1:27" x14ac:dyDescent="0.3">
      <c r="A316" s="5"/>
      <c r="B316" s="369"/>
      <c r="C316" s="23"/>
      <c r="D316" s="72"/>
      <c r="P316" s="204"/>
      <c r="AA316" s="385"/>
    </row>
    <row r="317" spans="1:27" x14ac:dyDescent="0.3">
      <c r="A317" s="5"/>
      <c r="B317" s="369"/>
      <c r="C317" s="23"/>
      <c r="D317" s="72"/>
      <c r="P317" s="204"/>
      <c r="AA317" s="385"/>
    </row>
    <row r="318" spans="1:27" x14ac:dyDescent="0.3">
      <c r="A318" s="5"/>
      <c r="B318" s="369"/>
      <c r="C318" s="23"/>
      <c r="D318" s="72"/>
      <c r="P318" s="204"/>
      <c r="AA318" s="385"/>
    </row>
    <row r="319" spans="1:27" x14ac:dyDescent="0.3">
      <c r="A319" s="5"/>
      <c r="B319" s="369"/>
      <c r="C319" s="23"/>
      <c r="D319" s="72"/>
      <c r="P319" s="204"/>
      <c r="AA319" s="385"/>
    </row>
    <row r="320" spans="1:27" x14ac:dyDescent="0.3">
      <c r="A320" s="5"/>
      <c r="B320" s="369"/>
      <c r="C320" s="23"/>
      <c r="D320" s="72"/>
      <c r="P320" s="204"/>
    </row>
    <row r="321" spans="1:16" x14ac:dyDescent="0.3">
      <c r="A321" s="5"/>
      <c r="B321" s="369"/>
      <c r="C321" s="23"/>
      <c r="D321" s="72"/>
      <c r="P321" s="204"/>
    </row>
    <row r="322" spans="1:16" x14ac:dyDescent="0.3">
      <c r="A322" s="5"/>
      <c r="B322" s="369"/>
      <c r="C322" s="23"/>
      <c r="D322" s="72"/>
      <c r="P322" s="204"/>
    </row>
    <row r="323" spans="1:16" x14ac:dyDescent="0.3">
      <c r="A323" s="5"/>
      <c r="B323" s="369"/>
      <c r="C323" s="23"/>
      <c r="D323" s="72"/>
      <c r="P323" s="204"/>
    </row>
    <row r="324" spans="1:16" x14ac:dyDescent="0.3">
      <c r="A324" s="5"/>
      <c r="B324" s="369"/>
      <c r="C324" s="23"/>
      <c r="D324" s="72"/>
      <c r="P324" s="204"/>
    </row>
    <row r="325" spans="1:16" x14ac:dyDescent="0.3">
      <c r="A325" s="5"/>
      <c r="B325" s="369"/>
      <c r="C325" s="23"/>
      <c r="D325" s="72"/>
      <c r="P325" s="204"/>
    </row>
    <row r="326" spans="1:16" x14ac:dyDescent="0.3">
      <c r="A326" s="5"/>
      <c r="B326" s="369"/>
      <c r="C326" s="23"/>
      <c r="D326" s="72"/>
      <c r="P326" s="204"/>
    </row>
    <row r="327" spans="1:16" x14ac:dyDescent="0.3">
      <c r="A327" s="5"/>
      <c r="B327" s="369"/>
      <c r="C327" s="23"/>
      <c r="D327" s="72"/>
      <c r="P327" s="204"/>
    </row>
    <row r="328" spans="1:16" x14ac:dyDescent="0.3">
      <c r="A328" s="5"/>
      <c r="B328" s="369"/>
      <c r="C328" s="23"/>
      <c r="D328" s="72"/>
      <c r="P328" s="204"/>
    </row>
    <row r="329" spans="1:16" x14ac:dyDescent="0.3">
      <c r="A329" s="5"/>
      <c r="B329" s="369"/>
      <c r="C329" s="23"/>
      <c r="D329" s="72"/>
      <c r="P329" s="204"/>
    </row>
    <row r="330" spans="1:16" x14ac:dyDescent="0.3">
      <c r="A330" s="5"/>
      <c r="B330" s="369"/>
      <c r="C330" s="23"/>
      <c r="D330" s="72"/>
      <c r="P330" s="204"/>
    </row>
    <row r="331" spans="1:16" x14ac:dyDescent="0.3">
      <c r="A331" s="5"/>
      <c r="B331" s="369"/>
      <c r="C331" s="23"/>
      <c r="D331" s="72"/>
      <c r="P331" s="204"/>
    </row>
    <row r="332" spans="1:16" x14ac:dyDescent="0.3">
      <c r="A332" s="5"/>
      <c r="B332" s="369"/>
      <c r="C332" s="23"/>
      <c r="D332" s="72"/>
      <c r="P332" s="204"/>
    </row>
    <row r="333" spans="1:16" x14ac:dyDescent="0.3">
      <c r="A333" s="5"/>
      <c r="B333" s="369"/>
      <c r="C333" s="23"/>
      <c r="D333" s="72"/>
      <c r="P333" s="204"/>
    </row>
    <row r="334" spans="1:16" x14ac:dyDescent="0.3">
      <c r="A334" s="5"/>
      <c r="B334" s="369"/>
      <c r="C334" s="23"/>
      <c r="D334" s="72"/>
      <c r="P334" s="204"/>
    </row>
    <row r="335" spans="1:16" x14ac:dyDescent="0.3">
      <c r="A335" s="5"/>
      <c r="B335" s="369"/>
      <c r="C335" s="23"/>
      <c r="D335" s="72"/>
      <c r="P335" s="204"/>
    </row>
    <row r="336" spans="1:16" x14ac:dyDescent="0.3">
      <c r="A336" s="5"/>
      <c r="B336" s="369"/>
      <c r="C336" s="23"/>
      <c r="D336" s="72"/>
      <c r="P336" s="204"/>
    </row>
    <row r="337" spans="1:16" x14ac:dyDescent="0.3">
      <c r="A337" s="5"/>
      <c r="B337" s="369"/>
      <c r="C337" s="23"/>
      <c r="D337" s="72"/>
      <c r="P337" s="204"/>
    </row>
    <row r="338" spans="1:16" x14ac:dyDescent="0.3">
      <c r="A338" s="5"/>
      <c r="B338" s="369"/>
      <c r="C338" s="23"/>
      <c r="D338" s="72"/>
      <c r="P338" s="204"/>
    </row>
    <row r="339" spans="1:16" x14ac:dyDescent="0.3">
      <c r="A339" s="5"/>
      <c r="B339" s="369"/>
      <c r="C339" s="23"/>
      <c r="D339" s="72"/>
      <c r="P339" s="204"/>
    </row>
    <row r="340" spans="1:16" x14ac:dyDescent="0.3">
      <c r="A340" s="5"/>
      <c r="B340" s="369"/>
      <c r="C340" s="23"/>
      <c r="D340" s="72"/>
      <c r="P340" s="204"/>
    </row>
    <row r="341" spans="1:16" x14ac:dyDescent="0.3">
      <c r="A341" s="5"/>
      <c r="B341" s="369"/>
      <c r="C341" s="23"/>
      <c r="D341" s="72"/>
      <c r="P341" s="204"/>
    </row>
    <row r="342" spans="1:16" x14ac:dyDescent="0.3">
      <c r="A342" s="5"/>
      <c r="B342" s="369"/>
      <c r="C342" s="23"/>
      <c r="D342" s="72"/>
      <c r="P342" s="204"/>
    </row>
    <row r="343" spans="1:16" x14ac:dyDescent="0.3">
      <c r="A343" s="5"/>
      <c r="B343" s="369"/>
      <c r="C343" s="23"/>
      <c r="D343" s="72"/>
      <c r="P343" s="204"/>
    </row>
    <row r="344" spans="1:16" x14ac:dyDescent="0.3">
      <c r="A344" s="5"/>
      <c r="B344" s="369"/>
      <c r="C344" s="23"/>
      <c r="D344" s="72"/>
      <c r="P344" s="204"/>
    </row>
    <row r="345" spans="1:16" x14ac:dyDescent="0.3">
      <c r="A345" s="5"/>
      <c r="B345" s="369"/>
      <c r="C345" s="23"/>
      <c r="D345" s="72"/>
      <c r="P345" s="204"/>
    </row>
    <row r="346" spans="1:16" x14ac:dyDescent="0.3">
      <c r="A346" s="5"/>
      <c r="B346" s="369"/>
      <c r="C346" s="23"/>
      <c r="D346" s="72"/>
      <c r="P346" s="204"/>
    </row>
    <row r="347" spans="1:16" x14ac:dyDescent="0.3">
      <c r="A347" s="5"/>
      <c r="B347" s="369"/>
      <c r="C347" s="23"/>
      <c r="D347" s="72"/>
      <c r="P347" s="204"/>
    </row>
    <row r="348" spans="1:16" x14ac:dyDescent="0.3">
      <c r="A348" s="5"/>
      <c r="B348" s="369"/>
      <c r="C348" s="23"/>
      <c r="D348" s="72"/>
      <c r="P348" s="204"/>
    </row>
    <row r="349" spans="1:16" x14ac:dyDescent="0.3">
      <c r="A349" s="5"/>
      <c r="B349" s="369"/>
      <c r="C349" s="23"/>
      <c r="D349" s="72"/>
      <c r="P349" s="204"/>
    </row>
    <row r="350" spans="1:16" x14ac:dyDescent="0.3">
      <c r="A350" s="5"/>
      <c r="B350" s="369"/>
      <c r="C350" s="23"/>
      <c r="D350" s="72"/>
      <c r="P350" s="204"/>
    </row>
    <row r="351" spans="1:16" x14ac:dyDescent="0.3">
      <c r="A351" s="5"/>
      <c r="B351" s="369"/>
      <c r="C351" s="23"/>
      <c r="D351" s="72"/>
      <c r="P351" s="204"/>
    </row>
    <row r="352" spans="1:16" x14ac:dyDescent="0.3">
      <c r="A352" s="5"/>
      <c r="B352" s="369"/>
      <c r="C352" s="23"/>
      <c r="D352" s="72"/>
      <c r="P352" s="204"/>
    </row>
    <row r="353" spans="1:16" x14ac:dyDescent="0.3">
      <c r="A353" s="5"/>
      <c r="B353" s="369"/>
      <c r="C353" s="23"/>
      <c r="D353" s="72"/>
      <c r="P353" s="204"/>
    </row>
    <row r="354" spans="1:16" x14ac:dyDescent="0.3">
      <c r="A354" s="5"/>
      <c r="B354" s="369"/>
      <c r="C354" s="23"/>
      <c r="D354" s="72"/>
      <c r="P354" s="204"/>
    </row>
    <row r="355" spans="1:16" x14ac:dyDescent="0.3">
      <c r="A355" s="5"/>
      <c r="B355" s="369"/>
      <c r="C355" s="23"/>
      <c r="D355" s="72"/>
      <c r="P355" s="204"/>
    </row>
    <row r="356" spans="1:16" x14ac:dyDescent="0.3">
      <c r="A356" s="5"/>
      <c r="B356" s="369"/>
      <c r="C356" s="23"/>
      <c r="D356" s="72"/>
      <c r="P356" s="204"/>
    </row>
    <row r="357" spans="1:16" x14ac:dyDescent="0.3">
      <c r="A357" s="5"/>
      <c r="B357" s="369"/>
      <c r="C357" s="23"/>
      <c r="D357" s="72"/>
      <c r="P357" s="204"/>
    </row>
    <row r="358" spans="1:16" x14ac:dyDescent="0.3">
      <c r="A358" s="5"/>
      <c r="B358" s="369"/>
      <c r="C358" s="23"/>
      <c r="D358" s="72"/>
      <c r="P358" s="204"/>
    </row>
    <row r="359" spans="1:16" x14ac:dyDescent="0.3">
      <c r="A359" s="5"/>
      <c r="B359" s="369"/>
      <c r="C359" s="23"/>
      <c r="D359" s="72"/>
      <c r="P359" s="204"/>
    </row>
    <row r="360" spans="1:16" x14ac:dyDescent="0.3">
      <c r="A360" s="5"/>
      <c r="B360" s="369"/>
      <c r="C360" s="23"/>
      <c r="D360" s="72"/>
      <c r="P360" s="204"/>
    </row>
    <row r="361" spans="1:16" x14ac:dyDescent="0.3">
      <c r="A361" s="5"/>
      <c r="B361" s="369"/>
      <c r="C361" s="23"/>
      <c r="D361" s="72"/>
      <c r="P361" s="204"/>
    </row>
    <row r="362" spans="1:16" x14ac:dyDescent="0.3">
      <c r="A362" s="5"/>
      <c r="B362" s="369"/>
      <c r="C362" s="23"/>
      <c r="D362" s="72"/>
      <c r="P362" s="204"/>
    </row>
    <row r="363" spans="1:16" x14ac:dyDescent="0.3">
      <c r="A363" s="5"/>
      <c r="B363" s="369"/>
      <c r="C363" s="23"/>
      <c r="D363" s="72"/>
      <c r="P363" s="204"/>
    </row>
    <row r="364" spans="1:16" x14ac:dyDescent="0.3">
      <c r="A364" s="5"/>
      <c r="B364" s="369"/>
      <c r="C364" s="23"/>
      <c r="D364" s="72"/>
      <c r="P364" s="204"/>
    </row>
    <row r="365" spans="1:16" x14ac:dyDescent="0.3">
      <c r="A365" s="5"/>
      <c r="B365" s="369"/>
      <c r="C365" s="23"/>
      <c r="D365" s="72"/>
      <c r="P365" s="204"/>
    </row>
    <row r="366" spans="1:16" x14ac:dyDescent="0.3">
      <c r="A366" s="5"/>
      <c r="B366" s="369"/>
      <c r="C366" s="23"/>
      <c r="D366" s="72"/>
      <c r="P366" s="204"/>
    </row>
    <row r="367" spans="1:16" x14ac:dyDescent="0.3">
      <c r="A367" s="5"/>
      <c r="B367" s="369"/>
      <c r="C367" s="23"/>
      <c r="D367" s="72"/>
      <c r="P367" s="204"/>
    </row>
    <row r="368" spans="1:16" x14ac:dyDescent="0.3">
      <c r="A368" s="5"/>
      <c r="B368" s="369"/>
      <c r="C368" s="23"/>
      <c r="D368" s="72"/>
      <c r="P368" s="204"/>
    </row>
    <row r="369" spans="1:16" x14ac:dyDescent="0.3">
      <c r="A369" s="5"/>
      <c r="B369" s="369"/>
      <c r="C369" s="23"/>
      <c r="D369" s="72"/>
      <c r="P369" s="204"/>
    </row>
    <row r="370" spans="1:16" x14ac:dyDescent="0.3">
      <c r="A370" s="5"/>
      <c r="B370" s="369"/>
      <c r="C370" s="23"/>
      <c r="D370" s="72"/>
      <c r="P370" s="204"/>
    </row>
    <row r="371" spans="1:16" x14ac:dyDescent="0.3">
      <c r="A371" s="5"/>
      <c r="B371" s="369"/>
      <c r="C371" s="23"/>
      <c r="D371" s="72"/>
      <c r="P371" s="204"/>
    </row>
    <row r="372" spans="1:16" x14ac:dyDescent="0.3">
      <c r="A372" s="5"/>
      <c r="B372" s="369"/>
      <c r="C372" s="23"/>
      <c r="D372" s="72"/>
      <c r="P372" s="204"/>
    </row>
    <row r="373" spans="1:16" x14ac:dyDescent="0.3">
      <c r="A373" s="5"/>
      <c r="B373" s="369"/>
      <c r="C373" s="23"/>
      <c r="D373" s="72"/>
      <c r="P373" s="204"/>
    </row>
    <row r="374" spans="1:16" x14ac:dyDescent="0.3">
      <c r="A374" s="5"/>
      <c r="B374" s="369"/>
      <c r="C374" s="23"/>
      <c r="D374" s="72"/>
      <c r="P374" s="204"/>
    </row>
    <row r="375" spans="1:16" x14ac:dyDescent="0.3">
      <c r="A375" s="5"/>
      <c r="B375" s="369"/>
      <c r="C375" s="23"/>
      <c r="D375" s="72"/>
      <c r="P375" s="204"/>
    </row>
    <row r="376" spans="1:16" x14ac:dyDescent="0.3">
      <c r="A376" s="5"/>
      <c r="B376" s="369"/>
      <c r="C376" s="23"/>
      <c r="D376" s="72"/>
      <c r="P376" s="204"/>
    </row>
    <row r="377" spans="1:16" x14ac:dyDescent="0.3">
      <c r="A377" s="5"/>
      <c r="B377" s="369"/>
      <c r="C377" s="23"/>
      <c r="D377" s="72"/>
      <c r="P377" s="204"/>
    </row>
    <row r="378" spans="1:16" x14ac:dyDescent="0.3">
      <c r="A378" s="5"/>
      <c r="B378" s="369"/>
      <c r="C378" s="23"/>
      <c r="D378" s="72"/>
      <c r="P378" s="204"/>
    </row>
    <row r="379" spans="1:16" x14ac:dyDescent="0.3">
      <c r="A379" s="5"/>
      <c r="B379" s="369"/>
      <c r="C379" s="23"/>
      <c r="D379" s="72"/>
    </row>
    <row r="380" spans="1:16" x14ac:dyDescent="0.3">
      <c r="A380" s="5"/>
      <c r="B380" s="369"/>
      <c r="C380" s="23"/>
      <c r="D380" s="72"/>
      <c r="P380" s="204"/>
    </row>
    <row r="381" spans="1:16" x14ac:dyDescent="0.3">
      <c r="A381" s="5"/>
      <c r="B381" s="369"/>
      <c r="C381" s="23"/>
      <c r="D381" s="72"/>
    </row>
    <row r="382" spans="1:16" x14ac:dyDescent="0.3">
      <c r="A382" s="5"/>
      <c r="B382" s="369"/>
      <c r="C382" s="23"/>
      <c r="D382" s="72"/>
    </row>
    <row r="383" spans="1:16" x14ac:dyDescent="0.3">
      <c r="A383" s="5"/>
      <c r="B383" s="369"/>
      <c r="C383" s="23"/>
      <c r="D383" s="72"/>
    </row>
    <row r="384" spans="1:16" x14ac:dyDescent="0.3">
      <c r="A384" s="5"/>
      <c r="B384" s="369"/>
      <c r="C384" s="23"/>
      <c r="D384" s="72"/>
    </row>
    <row r="385" spans="1:4" x14ac:dyDescent="0.3">
      <c r="A385" s="5"/>
      <c r="B385" s="369"/>
      <c r="C385" s="23"/>
      <c r="D385" s="72"/>
    </row>
    <row r="386" spans="1:4" x14ac:dyDescent="0.3">
      <c r="A386" s="5"/>
      <c r="B386" s="369"/>
      <c r="C386" s="23"/>
      <c r="D386" s="72"/>
    </row>
    <row r="387" spans="1:4" x14ac:dyDescent="0.3">
      <c r="A387" s="5"/>
      <c r="B387" s="369"/>
      <c r="C387" s="23"/>
      <c r="D387" s="72"/>
    </row>
    <row r="388" spans="1:4" x14ac:dyDescent="0.3">
      <c r="A388" s="5"/>
      <c r="B388" s="369"/>
      <c r="C388" s="23"/>
      <c r="D388" s="72"/>
    </row>
    <row r="389" spans="1:4" x14ac:dyDescent="0.3">
      <c r="A389" s="5"/>
      <c r="B389" s="369"/>
      <c r="C389" s="23"/>
      <c r="D389" s="72"/>
    </row>
    <row r="390" spans="1:4" x14ac:dyDescent="0.3">
      <c r="A390" s="5"/>
      <c r="B390" s="369"/>
      <c r="C390" s="23"/>
      <c r="D390" s="72"/>
    </row>
    <row r="391" spans="1:4" x14ac:dyDescent="0.3">
      <c r="A391" s="5"/>
      <c r="B391" s="369"/>
      <c r="C391" s="23"/>
      <c r="D391" s="72"/>
    </row>
    <row r="392" spans="1:4" x14ac:dyDescent="0.3">
      <c r="A392" s="5"/>
      <c r="B392" s="369"/>
      <c r="C392" s="23"/>
      <c r="D392" s="72"/>
    </row>
    <row r="393" spans="1:4" x14ac:dyDescent="0.3">
      <c r="A393" s="5"/>
      <c r="B393" s="369"/>
      <c r="C393" s="23"/>
      <c r="D393" s="72"/>
    </row>
    <row r="394" spans="1:4" x14ac:dyDescent="0.3">
      <c r="A394" s="5"/>
      <c r="B394" s="369"/>
      <c r="C394" s="23"/>
      <c r="D394" s="72"/>
    </row>
    <row r="395" spans="1:4" x14ac:dyDescent="0.3">
      <c r="A395" s="5"/>
      <c r="B395" s="369"/>
      <c r="C395" s="23"/>
      <c r="D395" s="72"/>
    </row>
    <row r="396" spans="1:4" x14ac:dyDescent="0.3">
      <c r="A396" s="5"/>
      <c r="B396" s="369"/>
      <c r="C396" s="23"/>
      <c r="D396" s="72"/>
    </row>
    <row r="397" spans="1:4" x14ac:dyDescent="0.3">
      <c r="A397" s="5"/>
      <c r="B397" s="369"/>
      <c r="C397" s="23"/>
      <c r="D397" s="72"/>
    </row>
    <row r="398" spans="1:4" x14ac:dyDescent="0.3">
      <c r="A398" s="5"/>
      <c r="B398" s="369"/>
      <c r="C398" s="23"/>
      <c r="D398" s="72"/>
    </row>
    <row r="399" spans="1:4" x14ac:dyDescent="0.3">
      <c r="A399" s="5"/>
      <c r="B399" s="369"/>
      <c r="C399" s="23"/>
      <c r="D399" s="72"/>
    </row>
    <row r="400" spans="1:4" x14ac:dyDescent="0.3">
      <c r="A400" s="5"/>
      <c r="B400" s="369"/>
      <c r="C400" s="23"/>
      <c r="D400" s="72"/>
    </row>
    <row r="401" spans="1:4" x14ac:dyDescent="0.3">
      <c r="A401" s="5"/>
      <c r="B401" s="369"/>
      <c r="C401" s="23"/>
      <c r="D401" s="72"/>
    </row>
    <row r="402" spans="1:4" x14ac:dyDescent="0.3">
      <c r="A402" s="5"/>
      <c r="B402" s="369"/>
      <c r="C402" s="23"/>
      <c r="D402" s="72"/>
    </row>
    <row r="403" spans="1:4" x14ac:dyDescent="0.3">
      <c r="A403" s="5"/>
      <c r="B403" s="369"/>
      <c r="C403" s="23"/>
      <c r="D403" s="72"/>
    </row>
    <row r="404" spans="1:4" x14ac:dyDescent="0.3">
      <c r="A404" s="5"/>
      <c r="B404" s="369"/>
      <c r="C404" s="23"/>
      <c r="D404" s="72"/>
    </row>
    <row r="405" spans="1:4" x14ac:dyDescent="0.3">
      <c r="A405" s="5"/>
      <c r="B405" s="369"/>
      <c r="C405" s="23"/>
      <c r="D405" s="72"/>
    </row>
    <row r="406" spans="1:4" x14ac:dyDescent="0.3">
      <c r="A406" s="5"/>
      <c r="B406" s="369"/>
      <c r="C406" s="23"/>
      <c r="D406" s="72"/>
    </row>
    <row r="407" spans="1:4" x14ac:dyDescent="0.3">
      <c r="A407" s="5"/>
      <c r="B407" s="369"/>
      <c r="C407" s="23"/>
      <c r="D407" s="72"/>
    </row>
    <row r="408" spans="1:4" x14ac:dyDescent="0.3">
      <c r="A408" s="5"/>
      <c r="B408" s="369"/>
      <c r="C408" s="23"/>
      <c r="D408" s="72"/>
    </row>
    <row r="409" spans="1:4" x14ac:dyDescent="0.3">
      <c r="A409" s="5"/>
      <c r="B409" s="369"/>
      <c r="C409" s="23"/>
      <c r="D409" s="72"/>
    </row>
    <row r="410" spans="1:4" x14ac:dyDescent="0.3">
      <c r="A410" s="5"/>
      <c r="B410" s="369"/>
      <c r="C410" s="23"/>
      <c r="D410" s="72"/>
    </row>
    <row r="411" spans="1:4" x14ac:dyDescent="0.3">
      <c r="A411" s="5"/>
      <c r="B411" s="369"/>
      <c r="C411" s="23"/>
      <c r="D411" s="72"/>
    </row>
    <row r="412" spans="1:4" x14ac:dyDescent="0.3">
      <c r="A412" s="5"/>
      <c r="B412" s="369"/>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35" priority="93" stopIfTrue="1" operator="notEqual">
      <formula>0</formula>
    </cfRule>
  </conditionalFormatting>
  <conditionalFormatting sqref="G34">
    <cfRule type="cellIs" dxfId="34" priority="92" stopIfTrue="1" operator="notEqual">
      <formula>0</formula>
    </cfRule>
  </conditionalFormatting>
  <conditionalFormatting sqref="G51">
    <cfRule type="cellIs" dxfId="33" priority="91" stopIfTrue="1" operator="notEqual">
      <formula>0</formula>
    </cfRule>
  </conditionalFormatting>
  <conditionalFormatting sqref="G67">
    <cfRule type="cellIs" dxfId="32" priority="90" stopIfTrue="1" operator="notEqual">
      <formula>0</formula>
    </cfRule>
  </conditionalFormatting>
  <conditionalFormatting sqref="G89">
    <cfRule type="cellIs" dxfId="31" priority="88" stopIfTrue="1" operator="notEqual">
      <formula>0</formula>
    </cfRule>
  </conditionalFormatting>
  <conditionalFormatting sqref="G107">
    <cfRule type="cellIs" dxfId="30" priority="87" stopIfTrue="1" operator="notEqual">
      <formula>0</formula>
    </cfRule>
  </conditionalFormatting>
  <conditionalFormatting sqref="G120">
    <cfRule type="cellIs" dxfId="29" priority="86" stopIfTrue="1" operator="notEqual">
      <formula>0</formula>
    </cfRule>
  </conditionalFormatting>
  <conditionalFormatting sqref="G121">
    <cfRule type="cellIs" dxfId="28" priority="85" stopIfTrue="1" operator="notEqual">
      <formula>0</formula>
    </cfRule>
  </conditionalFormatting>
  <conditionalFormatting sqref="G136">
    <cfRule type="cellIs" dxfId="27" priority="84" stopIfTrue="1" operator="notEqual">
      <formula>0</formula>
    </cfRule>
  </conditionalFormatting>
  <conditionalFormatting sqref="G137">
    <cfRule type="cellIs" dxfId="26" priority="83" stopIfTrue="1" operator="notEqual">
      <formula>0</formula>
    </cfRule>
  </conditionalFormatting>
  <conditionalFormatting sqref="H203:H205">
    <cfRule type="cellIs" priority="79" stopIfTrue="1" operator="equal">
      <formula>";;;"</formula>
    </cfRule>
  </conditionalFormatting>
  <conditionalFormatting sqref="H203">
    <cfRule type="cellIs" dxfId="25" priority="78" stopIfTrue="1" operator="equal">
      <formula>0</formula>
    </cfRule>
  </conditionalFormatting>
  <conditionalFormatting sqref="H204">
    <cfRule type="cellIs" dxfId="24" priority="77" stopIfTrue="1" operator="equal">
      <formula>0</formula>
    </cfRule>
  </conditionalFormatting>
  <conditionalFormatting sqref="H205">
    <cfRule type="cellIs" dxfId="23" priority="76" stopIfTrue="1" operator="equal">
      <formula>0</formula>
    </cfRule>
  </conditionalFormatting>
  <conditionalFormatting sqref="H205">
    <cfRule type="cellIs" dxfId="22" priority="75" stopIfTrue="1" operator="equal">
      <formula>0</formula>
    </cfRule>
  </conditionalFormatting>
  <conditionalFormatting sqref="H203">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6:G77">
    <cfRule type="containsText" dxfId="15" priority="67" stopIfTrue="1" operator="containsText" text="Included in error count">
      <formula>NOT(ISERROR(SEARCH("Included in error count",G76)))</formula>
    </cfRule>
    <cfRule type="cellIs" dxfId="14" priority="68" stopIfTrue="1" operator="equal">
      <formula>1</formula>
    </cfRule>
  </conditionalFormatting>
  <conditionalFormatting sqref="G78">
    <cfRule type="containsText" dxfId="13" priority="65" stopIfTrue="1" operator="containsText" text="Included in error count">
      <formula>NOT(ISERROR(SEARCH("Included in error count",G78)))</formula>
    </cfRule>
    <cfRule type="cellIs" dxfId="12" priority="66" stopIfTrue="1" operator="equal">
      <formula>1</formula>
    </cfRule>
  </conditionalFormatting>
  <conditionalFormatting sqref="G87">
    <cfRule type="containsText" dxfId="11" priority="61" stopIfTrue="1" operator="containsText" text="Included in error count">
      <formula>NOT(ISERROR(SEARCH("Included in error count",G87)))</formula>
    </cfRule>
    <cfRule type="cellIs" dxfId="10" priority="62" stopIfTrue="1" operator="equal">
      <formula>1</formula>
    </cfRule>
  </conditionalFormatting>
  <conditionalFormatting sqref="G109">
    <cfRule type="containsText" dxfId="9" priority="57" stopIfTrue="1" operator="containsText" text="Included in error count">
      <formula>NOT(ISERROR(SEARCH("Included in error count",G109)))</formula>
    </cfRule>
    <cfRule type="cellIs" dxfId="8" priority="58" stopIfTrue="1" operator="equal">
      <formula>1</formula>
    </cfRule>
  </conditionalFormatting>
  <conditionalFormatting sqref="G203">
    <cfRule type="containsText" dxfId="7" priority="46" stopIfTrue="1" operator="containsText" text="Included in error count">
      <formula>NOT(ISERROR(SEARCH("Included in error count",G203)))</formula>
    </cfRule>
    <cfRule type="cellIs" dxfId="6" priority="47" stopIfTrue="1" operator="equal">
      <formula>1</formula>
    </cfRule>
  </conditionalFormatting>
  <conditionalFormatting sqref="G204">
    <cfRule type="containsText" dxfId="5" priority="44" stopIfTrue="1" operator="containsText" text="Included in error count">
      <formula>NOT(ISERROR(SEARCH("Included in error count",G204)))</formula>
    </cfRule>
    <cfRule type="cellIs" dxfId="4" priority="45" stopIfTrue="1" operator="equal">
      <formula>1</formula>
    </cfRule>
  </conditionalFormatting>
  <conditionalFormatting sqref="G205">
    <cfRule type="containsText" dxfId="3" priority="42" stopIfTrue="1" operator="containsText" text="Included in error count">
      <formula>NOT(ISERROR(SEARCH("Included in error count",G205)))</formula>
    </cfRule>
    <cfRule type="cellIs" dxfId="2" priority="43" stopIfTrue="1" operator="equal">
      <formula>1</formula>
    </cfRule>
  </conditionalFormatting>
  <conditionalFormatting sqref="G125">
    <cfRule type="containsText" dxfId="1" priority="40" stopIfTrue="1" operator="containsText" text="Included in error count">
      <formula>NOT(ISERROR(SEARCH("Included in error count",G125)))</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6"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6" t="s">
        <v>1615</v>
      </c>
      <c r="C1" s="706"/>
      <c r="D1" s="706"/>
    </row>
    <row r="2" spans="2:8" ht="27" customHeight="1" x14ac:dyDescent="0.3">
      <c r="B2" s="1162"/>
      <c r="C2" s="1162"/>
      <c r="D2" s="1162"/>
    </row>
    <row r="3" spans="2:8" ht="26.4" customHeight="1" x14ac:dyDescent="0.35">
      <c r="B3" s="695" t="str">
        <f>'Unit Data from Audit Worksheet'!D2</f>
        <v>Select Unit Name from Drop Down List</v>
      </c>
      <c r="C3" s="567"/>
      <c r="D3" s="696">
        <v>2023</v>
      </c>
      <c r="F3" s="709" t="s">
        <v>1616</v>
      </c>
      <c r="G3" s="710" t="s">
        <v>41</v>
      </c>
    </row>
    <row r="4" spans="2:8" ht="18.600000000000001" customHeight="1" x14ac:dyDescent="0.3">
      <c r="B4" s="697" t="s">
        <v>71</v>
      </c>
      <c r="C4" s="265"/>
    </row>
    <row r="5" spans="2:8" ht="19.2" customHeight="1" x14ac:dyDescent="0.3">
      <c r="B5" s="606" t="s">
        <v>1594</v>
      </c>
      <c r="C5" s="606"/>
      <c r="D5" s="268"/>
    </row>
    <row r="6" spans="2:8" ht="19.95" customHeight="1" x14ac:dyDescent="0.3">
      <c r="B6" s="683" t="s">
        <v>1610</v>
      </c>
      <c r="C6" s="683"/>
      <c r="D6" s="699">
        <f>Import!L38</f>
        <v>0</v>
      </c>
      <c r="F6" s="679">
        <v>506</v>
      </c>
      <c r="G6" s="526" t="s">
        <v>189</v>
      </c>
    </row>
    <row r="7" spans="2:8" ht="19.95" customHeight="1" x14ac:dyDescent="0.3">
      <c r="B7" s="683" t="s">
        <v>1595</v>
      </c>
      <c r="C7" s="683"/>
      <c r="D7" s="700">
        <f>Import!L39</f>
        <v>0</v>
      </c>
      <c r="F7" s="679">
        <v>536</v>
      </c>
      <c r="G7" s="526" t="s">
        <v>190</v>
      </c>
    </row>
    <row r="8" spans="2:8" ht="19.95" customHeight="1" x14ac:dyDescent="0.3">
      <c r="B8" s="683" t="s">
        <v>1596</v>
      </c>
      <c r="C8" s="683"/>
      <c r="D8" s="700">
        <f>Import!L69</f>
        <v>0</v>
      </c>
      <c r="F8" s="560">
        <v>647</v>
      </c>
      <c r="G8" s="623" t="s">
        <v>808</v>
      </c>
    </row>
    <row r="9" spans="2:8" ht="19.95" customHeight="1" x14ac:dyDescent="0.3">
      <c r="B9" s="689" t="s">
        <v>1614</v>
      </c>
      <c r="C9" s="690"/>
      <c r="D9" s="700">
        <f>-Import!L48</f>
        <v>0</v>
      </c>
      <c r="F9" s="691">
        <v>11</v>
      </c>
      <c r="G9" s="692" t="s">
        <v>194</v>
      </c>
    </row>
    <row r="10" spans="2:8" ht="19.95" customHeight="1" x14ac:dyDescent="0.3">
      <c r="B10" s="607" t="s">
        <v>1513</v>
      </c>
      <c r="C10" s="607"/>
      <c r="D10" s="701"/>
    </row>
    <row r="11" spans="2:8" ht="19.95" customHeight="1" x14ac:dyDescent="0.3">
      <c r="B11" s="683" t="s">
        <v>1597</v>
      </c>
      <c r="C11" s="683"/>
      <c r="D11" s="702">
        <f>Import!L43</f>
        <v>0</v>
      </c>
      <c r="F11" s="155">
        <v>4</v>
      </c>
      <c r="G11" s="526" t="s">
        <v>1598</v>
      </c>
    </row>
    <row r="12" spans="2:8" ht="19.95" customHeight="1" x14ac:dyDescent="0.3">
      <c r="B12" s="683" t="s">
        <v>1514</v>
      </c>
      <c r="C12" s="683"/>
      <c r="D12" s="702">
        <f>Import!L196</f>
        <v>0</v>
      </c>
      <c r="F12" s="155">
        <v>6</v>
      </c>
      <c r="G12" s="526" t="s">
        <v>251</v>
      </c>
    </row>
    <row r="13" spans="2:8" ht="19.95" customHeight="1" x14ac:dyDescent="0.3">
      <c r="B13" s="683" t="s">
        <v>1599</v>
      </c>
      <c r="C13" s="683"/>
      <c r="D13" s="703">
        <f>Import!L44</f>
        <v>0</v>
      </c>
      <c r="F13" s="155">
        <v>5</v>
      </c>
      <c r="G13" s="526" t="s">
        <v>1600</v>
      </c>
    </row>
    <row r="14" spans="2:8" ht="24.6" customHeight="1" thickBot="1" x14ac:dyDescent="0.35">
      <c r="B14" s="684" t="s">
        <v>1612</v>
      </c>
      <c r="C14" s="683"/>
      <c r="D14" s="707">
        <f>SUM(D6:D9)-SUM(D11:D13)</f>
        <v>0</v>
      </c>
      <c r="E14" s="685"/>
      <c r="F14" s="155" t="s">
        <v>1586</v>
      </c>
      <c r="G14" s="693" t="s">
        <v>2011</v>
      </c>
      <c r="H14" s="724"/>
    </row>
    <row r="15" spans="2:8" ht="19.95" customHeight="1" thickTop="1" x14ac:dyDescent="0.3">
      <c r="B15" s="19"/>
      <c r="C15" s="19"/>
      <c r="D15" s="609"/>
    </row>
    <row r="16" spans="2:8" ht="19.95" customHeight="1" x14ac:dyDescent="0.3">
      <c r="B16" s="606"/>
      <c r="C16" s="606"/>
      <c r="D16" s="610"/>
    </row>
    <row r="17" spans="2:18" ht="19.95" customHeight="1" x14ac:dyDescent="0.3">
      <c r="B17" s="19" t="s">
        <v>1515</v>
      </c>
      <c r="C17" s="19"/>
      <c r="D17" s="268"/>
    </row>
    <row r="18" spans="2:18" ht="19.95" customHeight="1" x14ac:dyDescent="0.3">
      <c r="B18" s="683" t="s">
        <v>1601</v>
      </c>
      <c r="C18" s="683"/>
      <c r="D18" s="704">
        <f>Import!L59</f>
        <v>0</v>
      </c>
      <c r="F18" s="155">
        <v>532</v>
      </c>
      <c r="G18" s="526" t="s">
        <v>926</v>
      </c>
    </row>
    <row r="19" spans="2:18" ht="13.95" customHeight="1" x14ac:dyDescent="0.3">
      <c r="C19" s="19"/>
      <c r="D19" s="702"/>
    </row>
    <row r="20" spans="2:18" ht="16.95" customHeight="1" x14ac:dyDescent="0.3">
      <c r="B20" s="19" t="s">
        <v>1516</v>
      </c>
      <c r="C20" s="19"/>
      <c r="D20" s="702"/>
    </row>
    <row r="21" spans="2:18" ht="19.95" customHeight="1" x14ac:dyDescent="0.3">
      <c r="B21" s="683" t="s">
        <v>1602</v>
      </c>
      <c r="C21" s="683"/>
      <c r="D21" s="705">
        <f>Import!L62</f>
        <v>0</v>
      </c>
      <c r="F21" s="155">
        <v>20</v>
      </c>
      <c r="G21" s="526" t="s">
        <v>1603</v>
      </c>
    </row>
    <row r="22" spans="2:18" ht="33.6" customHeight="1" x14ac:dyDescent="0.3">
      <c r="B22" s="683" t="s">
        <v>1604</v>
      </c>
      <c r="C22" s="683"/>
      <c r="D22" s="702">
        <f>Import!L65</f>
        <v>0</v>
      </c>
      <c r="F22" s="155">
        <v>509</v>
      </c>
      <c r="G22" s="526" t="s">
        <v>290</v>
      </c>
    </row>
    <row r="23" spans="2:18" ht="28.95" customHeight="1" x14ac:dyDescent="0.3">
      <c r="B23" s="683" t="s">
        <v>1605</v>
      </c>
      <c r="C23" s="683"/>
      <c r="D23" s="705">
        <f>Import!L63</f>
        <v>0</v>
      </c>
      <c r="F23" s="155">
        <v>533</v>
      </c>
      <c r="G23" s="526" t="s">
        <v>927</v>
      </c>
    </row>
    <row r="24" spans="2:18" ht="38.4" customHeight="1" x14ac:dyDescent="0.3">
      <c r="B24" s="683" t="s">
        <v>1606</v>
      </c>
      <c r="C24" s="683"/>
      <c r="D24" s="705">
        <f>Import!L64</f>
        <v>0</v>
      </c>
      <c r="F24" s="155">
        <v>508</v>
      </c>
      <c r="G24" s="526" t="s">
        <v>292</v>
      </c>
    </row>
    <row r="25" spans="2:18" ht="39" customHeight="1" x14ac:dyDescent="0.3">
      <c r="B25" s="689" t="s">
        <v>1611</v>
      </c>
      <c r="C25" s="683"/>
      <c r="D25" s="723">
        <f>Import!L60</f>
        <v>0</v>
      </c>
      <c r="F25" s="691">
        <v>1050</v>
      </c>
      <c r="G25" s="698" t="s">
        <v>1529</v>
      </c>
    </row>
    <row r="26" spans="2:18" ht="25.95" customHeight="1" thickBot="1" x14ac:dyDescent="0.35">
      <c r="B26" s="684" t="s">
        <v>1607</v>
      </c>
      <c r="C26" s="686"/>
      <c r="D26" s="708">
        <f>D18+D21+D22-D23-D24-D25</f>
        <v>0</v>
      </c>
      <c r="F26" s="155" t="s">
        <v>1586</v>
      </c>
      <c r="G26" s="693" t="s">
        <v>1613</v>
      </c>
    </row>
    <row r="27" spans="2:18" ht="19.95" customHeight="1" thickTop="1" x14ac:dyDescent="0.3">
      <c r="B27" s="268"/>
      <c r="C27" s="268"/>
      <c r="D27" s="268"/>
    </row>
    <row r="28" spans="2:18" s="527" customFormat="1" ht="40.950000000000003" customHeight="1" thickBot="1" x14ac:dyDescent="0.35">
      <c r="B28" s="684" t="s">
        <v>1608</v>
      </c>
      <c r="C28" s="686"/>
      <c r="D28" s="611" t="e">
        <f>D14/D26</f>
        <v>#DIV/0!</v>
      </c>
      <c r="F28" s="155" t="s">
        <v>1586</v>
      </c>
      <c r="G28" s="694" t="s">
        <v>1609</v>
      </c>
      <c r="I28" s="180"/>
      <c r="J28" s="180"/>
      <c r="K28" s="180"/>
      <c r="L28" s="180"/>
      <c r="M28" s="180"/>
      <c r="N28" s="180"/>
      <c r="O28" s="180"/>
      <c r="P28" s="180"/>
      <c r="Q28" s="180"/>
      <c r="R28" s="180"/>
    </row>
    <row r="29" spans="2:18" s="527" customFormat="1" ht="15" thickTop="1" x14ac:dyDescent="0.3">
      <c r="B29" s="607"/>
      <c r="C29" s="607"/>
      <c r="D29" s="687"/>
      <c r="F29" s="155"/>
      <c r="G29" s="694"/>
      <c r="I29" s="180"/>
      <c r="J29" s="180"/>
      <c r="K29" s="180"/>
      <c r="L29" s="180"/>
      <c r="M29" s="180"/>
      <c r="N29" s="180"/>
      <c r="O29" s="180"/>
      <c r="P29" s="180"/>
      <c r="Q29" s="180"/>
      <c r="R29" s="180"/>
    </row>
    <row r="30" spans="2:18" s="527" customFormat="1" x14ac:dyDescent="0.3">
      <c r="B30" s="607"/>
      <c r="C30" s="607"/>
      <c r="D30" s="687"/>
      <c r="F30" s="155"/>
      <c r="G30" s="694"/>
      <c r="I30" s="180"/>
      <c r="J30" s="180"/>
      <c r="K30" s="180"/>
      <c r="L30" s="180"/>
      <c r="M30" s="180"/>
      <c r="N30" s="180"/>
      <c r="O30" s="180"/>
      <c r="P30" s="180"/>
      <c r="Q30" s="180"/>
      <c r="R30" s="180"/>
    </row>
    <row r="31" spans="2:18" s="527" customFormat="1" x14ac:dyDescent="0.3">
      <c r="B31" s="688"/>
      <c r="C31" s="688"/>
      <c r="D31" s="687"/>
      <c r="F31" s="155"/>
      <c r="G31" s="694"/>
      <c r="I31" s="180"/>
      <c r="J31" s="180"/>
      <c r="K31" s="180"/>
      <c r="L31" s="180"/>
      <c r="M31" s="180"/>
      <c r="N31" s="180"/>
      <c r="O31" s="180"/>
      <c r="P31" s="180"/>
      <c r="Q31" s="180"/>
      <c r="R31" s="180"/>
    </row>
    <row r="32" spans="2:18" x14ac:dyDescent="0.3">
      <c r="B32" s="583"/>
      <c r="C32" s="583"/>
      <c r="D32" s="608"/>
    </row>
  </sheetData>
  <sheetProtection algorithmName="SHA-512" hashValue="n03N1mDiVHEyrLciZAwHskISx/8Hqf5NzY28yELfT9l3uy+d0aa1K8Q6a5JyMHPROLpExhjfLzHs5nZA4dGI/A==" saltValue="ZNN+3NUnbPYBsAtWUeXb1g=="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B1" sqref="B1"/>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63" t="s">
        <v>104</v>
      </c>
      <c r="C2" s="1163"/>
      <c r="D2" s="1163"/>
      <c r="E2" s="1163"/>
      <c r="F2" s="605"/>
      <c r="G2" s="261"/>
    </row>
    <row r="4" spans="1:11" ht="15.6" x14ac:dyDescent="0.3">
      <c r="A4" s="261"/>
      <c r="B4" s="262" t="str">
        <f>'Unit Data from Audit Worksheet'!D2</f>
        <v>Select Unit Name from Drop Down List</v>
      </c>
      <c r="C4" s="681">
        <f>'Unit Data from Audit Worksheet'!F5</f>
        <v>2023</v>
      </c>
      <c r="E4" s="671">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2" t="s">
        <v>1583</v>
      </c>
      <c r="C7" s="699">
        <f>Import!L38</f>
        <v>0</v>
      </c>
      <c r="D7" s="269"/>
      <c r="E7" s="699">
        <f>C7</f>
        <v>0</v>
      </c>
      <c r="G7" s="673">
        <v>506</v>
      </c>
      <c r="H7" s="674" t="s">
        <v>189</v>
      </c>
      <c r="I7" s="180"/>
    </row>
    <row r="8" spans="1:11" x14ac:dyDescent="0.3">
      <c r="A8" s="261"/>
      <c r="B8" s="672" t="s">
        <v>1584</v>
      </c>
      <c r="C8" s="701">
        <f>Import!L39</f>
        <v>0</v>
      </c>
      <c r="D8" s="270"/>
      <c r="E8" s="270"/>
      <c r="G8" s="673">
        <v>536</v>
      </c>
      <c r="H8" s="674" t="s">
        <v>190</v>
      </c>
      <c r="I8" s="180"/>
    </row>
    <row r="9" spans="1:11" x14ac:dyDescent="0.3">
      <c r="A9" s="261"/>
      <c r="B9" s="672" t="s">
        <v>173</v>
      </c>
      <c r="C9" s="737">
        <f>Import!L43</f>
        <v>0</v>
      </c>
      <c r="D9" s="270"/>
      <c r="E9" s="737">
        <f>C9</f>
        <v>0</v>
      </c>
      <c r="G9" s="673">
        <v>4</v>
      </c>
      <c r="H9" s="674" t="s">
        <v>111</v>
      </c>
      <c r="I9" s="180"/>
    </row>
    <row r="10" spans="1:11" x14ac:dyDescent="0.3">
      <c r="A10" s="261"/>
      <c r="B10" s="672" t="s">
        <v>75</v>
      </c>
      <c r="C10" s="702">
        <f>Import!L196</f>
        <v>0</v>
      </c>
      <c r="D10" s="270"/>
      <c r="E10" s="737">
        <f>C10</f>
        <v>0</v>
      </c>
      <c r="G10" s="673">
        <v>6</v>
      </c>
      <c r="H10" s="674" t="s">
        <v>251</v>
      </c>
      <c r="I10" s="180"/>
    </row>
    <row r="11" spans="1:11" x14ac:dyDescent="0.3">
      <c r="A11" s="261"/>
      <c r="B11" s="672" t="s">
        <v>76</v>
      </c>
      <c r="C11" s="703">
        <f>Import!L44</f>
        <v>0</v>
      </c>
      <c r="D11" s="271"/>
      <c r="E11" s="737">
        <f>C11</f>
        <v>0</v>
      </c>
      <c r="G11" s="673">
        <v>5</v>
      </c>
      <c r="H11" s="674" t="s">
        <v>112</v>
      </c>
      <c r="I11" s="180"/>
    </row>
    <row r="12" spans="1:11" x14ac:dyDescent="0.3">
      <c r="A12" s="19"/>
      <c r="B12" s="672" t="s">
        <v>77</v>
      </c>
      <c r="C12" s="738">
        <f>C7+C8-SUM(C9:C11)</f>
        <v>0</v>
      </c>
      <c r="E12" s="738">
        <f>E7-SUM(E9:E11)</f>
        <v>0</v>
      </c>
      <c r="G12" s="673" t="s">
        <v>1593</v>
      </c>
      <c r="H12" s="675" t="s">
        <v>1631</v>
      </c>
      <c r="I12" s="674" t="s">
        <v>1634</v>
      </c>
      <c r="J12" s="675" t="s">
        <v>1635</v>
      </c>
      <c r="K12" s="676"/>
    </row>
    <row r="13" spans="1:11" x14ac:dyDescent="0.3">
      <c r="A13" s="261"/>
      <c r="B13" s="261"/>
      <c r="C13" s="268"/>
      <c r="D13" s="268"/>
      <c r="E13" s="268"/>
      <c r="G13" s="673"/>
      <c r="H13" s="674"/>
      <c r="I13" s="180"/>
    </row>
    <row r="14" spans="1:11" x14ac:dyDescent="0.3">
      <c r="A14" s="261"/>
      <c r="B14" s="672" t="s">
        <v>1585</v>
      </c>
      <c r="C14" s="739">
        <f>Import!L51</f>
        <v>0</v>
      </c>
      <c r="D14" s="268"/>
      <c r="E14" s="268"/>
      <c r="G14" s="673">
        <v>9</v>
      </c>
      <c r="H14" s="674" t="s">
        <v>195</v>
      </c>
      <c r="I14" s="180"/>
    </row>
    <row r="15" spans="1:11" x14ac:dyDescent="0.3">
      <c r="A15" s="261"/>
      <c r="B15" s="672" t="s">
        <v>78</v>
      </c>
      <c r="C15" s="740">
        <f>C14-C12</f>
        <v>0</v>
      </c>
      <c r="D15" s="268"/>
      <c r="E15" s="268"/>
      <c r="G15" s="673" t="s">
        <v>1593</v>
      </c>
      <c r="H15" s="675" t="s">
        <v>1632</v>
      </c>
      <c r="I15" s="677"/>
    </row>
    <row r="16" spans="1:11" x14ac:dyDescent="0.3">
      <c r="A16" s="261"/>
      <c r="B16" s="272" t="s">
        <v>79</v>
      </c>
      <c r="C16" s="268"/>
      <c r="D16" s="268"/>
      <c r="E16" s="268"/>
      <c r="G16" s="673"/>
      <c r="H16" s="674"/>
      <c r="I16" s="180"/>
    </row>
    <row r="17" spans="1:9" x14ac:dyDescent="0.3">
      <c r="A17" s="273" t="s">
        <v>80</v>
      </c>
      <c r="B17" s="672" t="s">
        <v>1587</v>
      </c>
      <c r="C17" s="740">
        <f>Import!L47</f>
        <v>0</v>
      </c>
      <c r="D17" s="268"/>
      <c r="E17" s="268"/>
      <c r="G17" s="673">
        <v>7</v>
      </c>
      <c r="H17" s="674" t="s">
        <v>193</v>
      </c>
      <c r="I17" s="180"/>
    </row>
    <row r="18" spans="1:9" ht="15" thickBot="1" x14ac:dyDescent="0.35">
      <c r="B18" s="672" t="s">
        <v>81</v>
      </c>
      <c r="C18" s="741">
        <f>(C15-SUM(C17:C17))</f>
        <v>0</v>
      </c>
      <c r="D18" s="268"/>
      <c r="E18" s="268"/>
      <c r="G18" s="673" t="s">
        <v>1593</v>
      </c>
      <c r="H18" s="675" t="s">
        <v>1633</v>
      </c>
      <c r="I18" s="180"/>
    </row>
    <row r="19" spans="1:9" ht="15" thickTop="1" x14ac:dyDescent="0.3">
      <c r="B19" s="261"/>
      <c r="C19" s="268"/>
      <c r="D19" s="268"/>
      <c r="E19" s="268"/>
      <c r="G19" s="673"/>
      <c r="H19" s="674"/>
      <c r="I19" s="180"/>
    </row>
    <row r="20" spans="1:9" ht="15" thickBot="1" x14ac:dyDescent="0.35">
      <c r="B20" s="672" t="s">
        <v>1588</v>
      </c>
      <c r="C20" s="742">
        <f>Import!L46</f>
        <v>0</v>
      </c>
      <c r="D20" s="268"/>
      <c r="E20" s="268"/>
      <c r="G20" s="673">
        <v>391</v>
      </c>
      <c r="H20" s="674"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3">
        <f>ABS(C18-C20)</f>
        <v>0</v>
      </c>
      <c r="D21" s="268"/>
      <c r="E21" s="268"/>
      <c r="G21" s="155"/>
      <c r="I21" s="180"/>
    </row>
    <row r="22" spans="1:9" ht="15" thickTop="1" x14ac:dyDescent="0.3">
      <c r="B22" s="678" t="str">
        <f>IF(C18&gt;C20,"Since Restricted-Stabilization by State Statute was understated, verfiy that the unit did not appropriate fund balance in excess of legal amount available in row 12 above.","")</f>
        <v/>
      </c>
      <c r="C22" s="678"/>
      <c r="D22" s="678"/>
      <c r="E22" s="678"/>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2" t="s">
        <v>86</v>
      </c>
      <c r="C26" s="699">
        <f>Import!L59</f>
        <v>0</v>
      </c>
      <c r="D26" s="269"/>
      <c r="E26" s="699">
        <f>C26</f>
        <v>0</v>
      </c>
      <c r="G26" s="679">
        <v>532</v>
      </c>
      <c r="H26" s="682" t="s">
        <v>199</v>
      </c>
      <c r="I26" s="180"/>
    </row>
    <row r="27" spans="1:9" x14ac:dyDescent="0.3">
      <c r="B27" s="267" t="s">
        <v>87</v>
      </c>
      <c r="C27" s="268"/>
      <c r="D27" s="268"/>
      <c r="E27" s="268"/>
      <c r="G27" s="155"/>
      <c r="H27" s="674"/>
      <c r="I27" s="180"/>
    </row>
    <row r="28" spans="1:9" x14ac:dyDescent="0.3">
      <c r="B28" s="672" t="s">
        <v>88</v>
      </c>
      <c r="C28" s="701">
        <f>Import!L62</f>
        <v>0</v>
      </c>
      <c r="D28" s="270"/>
      <c r="E28" s="701">
        <f>C28</f>
        <v>0</v>
      </c>
      <c r="G28" s="679">
        <v>20</v>
      </c>
      <c r="H28" s="674" t="s">
        <v>201</v>
      </c>
      <c r="I28" s="180"/>
    </row>
    <row r="29" spans="1:9" ht="41.4" x14ac:dyDescent="0.3">
      <c r="B29" s="672" t="s">
        <v>1589</v>
      </c>
      <c r="C29" s="701">
        <f>Import!L65</f>
        <v>0</v>
      </c>
      <c r="D29" s="270"/>
      <c r="E29" s="701">
        <f>C29</f>
        <v>0</v>
      </c>
      <c r="G29" s="936">
        <v>509</v>
      </c>
      <c r="H29" s="937" t="s">
        <v>290</v>
      </c>
      <c r="I29" s="180"/>
    </row>
    <row r="30" spans="1:9" ht="21" customHeight="1" x14ac:dyDescent="0.3">
      <c r="B30" s="672" t="s">
        <v>89</v>
      </c>
      <c r="C30" s="701">
        <f>Import!L63</f>
        <v>0</v>
      </c>
      <c r="D30" s="270"/>
      <c r="E30" s="701">
        <f>C30</f>
        <v>0</v>
      </c>
      <c r="G30" s="936">
        <v>533</v>
      </c>
      <c r="H30" s="937" t="s">
        <v>927</v>
      </c>
      <c r="I30" s="180"/>
    </row>
    <row r="31" spans="1:9" ht="41.4" x14ac:dyDescent="0.3">
      <c r="B31" s="672" t="s">
        <v>1590</v>
      </c>
      <c r="C31" s="701">
        <f>Import!L64</f>
        <v>0</v>
      </c>
      <c r="D31" s="270"/>
      <c r="E31" s="701">
        <f>C31</f>
        <v>0</v>
      </c>
      <c r="G31" s="936">
        <v>508</v>
      </c>
      <c r="H31" s="937" t="s">
        <v>292</v>
      </c>
      <c r="I31" s="180"/>
    </row>
    <row r="32" spans="1:9" ht="16.95" customHeight="1" thickBot="1" x14ac:dyDescent="0.35">
      <c r="B32" s="680" t="s">
        <v>1591</v>
      </c>
      <c r="C32" s="744">
        <f>C26+C28+C29-C30-C31</f>
        <v>0</v>
      </c>
      <c r="D32" s="269"/>
      <c r="E32" s="744">
        <f>E26+E28+E29-E30-E31</f>
        <v>0</v>
      </c>
      <c r="G32" s="673" t="s">
        <v>1593</v>
      </c>
      <c r="H32" s="676" t="s">
        <v>1592</v>
      </c>
      <c r="I32" s="180"/>
    </row>
    <row r="33" spans="1:9" ht="15" thickTop="1" x14ac:dyDescent="0.3">
      <c r="B33" s="268"/>
      <c r="C33" s="268"/>
      <c r="D33" s="268"/>
      <c r="E33" s="268"/>
      <c r="G33" s="155"/>
      <c r="I33" s="180"/>
    </row>
    <row r="34" spans="1:9" ht="15" thickBot="1" x14ac:dyDescent="0.35">
      <c r="B34" s="680"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29"/>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virsT3e5cVynNrnEGFjhr1obltCFH1DP0o5llM2rhw7G/qB64zTDI9WtLJbmfcGM4mRJU2srLrjirTbFPBd0hg==" saltValue="lP09iYDIFha5PaR6ty/+xw=="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Performance  Indicators Print</vt:lpstr>
      <vt:lpstr>UAL</vt:lpstr>
      <vt:lpstr>Tax Reval Rate</vt:lpstr>
      <vt:lpstr>Import</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2023-09-12T19:20:28Z</cp:lastPrinted>
  <dcterms:created xsi:type="dcterms:W3CDTF">2011-03-11T21:05:05Z</dcterms:created>
  <dcterms:modified xsi:type="dcterms:W3CDTF">2023-10-15T18:52:47Z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